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al Details" sheetId="1" r:id="rId4"/>
    <sheet state="visible" name="Abbreviation" sheetId="2" r:id="rId5"/>
    <sheet state="visible" name="Sales Data" sheetId="3" r:id="rId6"/>
    <sheet state="visible" name="Region-wise Sales" sheetId="4" r:id="rId7"/>
    <sheet state="visible" name="Assumptions" sheetId="5" r:id="rId8"/>
    <sheet state="visible" name="Sales Quantity" sheetId="6" r:id="rId9"/>
    <sheet state="visible" name="RM Consumed" sheetId="7" r:id="rId10"/>
    <sheet state="visible" name="Cost RM" sheetId="8" r:id="rId11"/>
    <sheet state="visible" name="Contribution Old" sheetId="9" r:id="rId12"/>
    <sheet state="visible" name="Contribution New" sheetId="10" r:id="rId13"/>
    <sheet state="visible" name="Cost Benefit Analysis" sheetId="11" r:id="rId14"/>
    <sheet state="visible" name="Dashboard" sheetId="12" r:id="rId15"/>
    <sheet state="hidden" name="FilteredData" sheetId="13" r:id="rId16"/>
    <sheet state="hidden" name="Sheet17" sheetId="14" r:id="rId17"/>
    <sheet state="visible" name="Dashboard 2" sheetId="15" r:id="rId18"/>
  </sheets>
  <definedNames/>
  <calcPr/>
  <extLst>
    <ext uri="GoogleSheetsCustomDataVersion2">
      <go:sheetsCustomData xmlns:go="http://customooxmlschemas.google.com/" r:id="rId19" roundtripDataChecksum="mfhpZPoXttCpI1jqlDfxxeV5u2Lds6+oXOP7eCtdzQ8="/>
    </ext>
  </extLst>
</workbook>
</file>

<file path=xl/sharedStrings.xml><?xml version="1.0" encoding="utf-8"?>
<sst xmlns="http://schemas.openxmlformats.org/spreadsheetml/2006/main" count="1168" uniqueCount="180">
  <si>
    <t>Region</t>
  </si>
  <si>
    <t>North</t>
  </si>
  <si>
    <t>East</t>
  </si>
  <si>
    <t>West</t>
  </si>
  <si>
    <t>South</t>
  </si>
  <si>
    <t>Regional Manager</t>
  </si>
  <si>
    <t>Ajay Kumar</t>
  </si>
  <si>
    <t>Tanvi Sharma</t>
  </si>
  <si>
    <t>Ajay Ghosh</t>
  </si>
  <si>
    <t>Anjali Krishna Murthy</t>
  </si>
  <si>
    <t>City</t>
  </si>
  <si>
    <t>Discount</t>
  </si>
  <si>
    <t>Delhi</t>
  </si>
  <si>
    <t>Kolkata</t>
  </si>
  <si>
    <t>Pune</t>
  </si>
  <si>
    <t>Bengaluru</t>
  </si>
  <si>
    <t>Chandigarh</t>
  </si>
  <si>
    <t>Bhubaneswar</t>
  </si>
  <si>
    <t>Ahmedabad</t>
  </si>
  <si>
    <t>Chennai</t>
  </si>
  <si>
    <t>Lucknow</t>
  </si>
  <si>
    <t>Ranchi</t>
  </si>
  <si>
    <t>Surat</t>
  </si>
  <si>
    <t>Hyderabad</t>
  </si>
  <si>
    <t>Dehradun</t>
  </si>
  <si>
    <t>Patna</t>
  </si>
  <si>
    <t>Jaipur</t>
  </si>
  <si>
    <t>Kochi</t>
  </si>
  <si>
    <t>Standard Product Price</t>
  </si>
  <si>
    <t>NutriKid</t>
  </si>
  <si>
    <t>per unit</t>
  </si>
  <si>
    <t>ZestVita</t>
  </si>
  <si>
    <t>Overall</t>
  </si>
  <si>
    <t>Data Format</t>
  </si>
  <si>
    <t>//Month1 //City_City Name//PRD-ProductName//OPQ  Quantity/NPQ[IPLMARKETTING]Quantity</t>
  </si>
  <si>
    <t>Example</t>
  </si>
  <si>
    <t>//Month1 //City_Delhi//PRD-PowerSip//OPQ  21497/NPQ[IPLMARKETTING]26871</t>
  </si>
  <si>
    <t>Month1</t>
  </si>
  <si>
    <t>Month</t>
  </si>
  <si>
    <t>PowerSip</t>
  </si>
  <si>
    <t>Product Name</t>
  </si>
  <si>
    <t>Sale quantity as per Old Plan</t>
  </si>
  <si>
    <t>Sale quantity as per New Plan</t>
  </si>
  <si>
    <t>Other Abbreviations used in Data</t>
  </si>
  <si>
    <t>Abbreviation</t>
  </si>
  <si>
    <t>Meaning</t>
  </si>
  <si>
    <t>PRD</t>
  </si>
  <si>
    <t>Product</t>
  </si>
  <si>
    <t>OPQ</t>
  </si>
  <si>
    <t>Old plan Quantity</t>
  </si>
  <si>
    <t>NPQ</t>
  </si>
  <si>
    <t>New plan Quantity</t>
  </si>
  <si>
    <t>January</t>
  </si>
  <si>
    <t>Month2</t>
  </si>
  <si>
    <t>February</t>
  </si>
  <si>
    <t>Month3</t>
  </si>
  <si>
    <t>March</t>
  </si>
  <si>
    <t>Month4</t>
  </si>
  <si>
    <t>April</t>
  </si>
  <si>
    <t>Month5</t>
  </si>
  <si>
    <t>May</t>
  </si>
  <si>
    <t>Month6</t>
  </si>
  <si>
    <t>June</t>
  </si>
  <si>
    <t>Month Number</t>
  </si>
  <si>
    <t xml:space="preserve">Month </t>
  </si>
  <si>
    <t>Old Plan Quantity (Without IPL)</t>
  </si>
  <si>
    <t>New Plan Quantity (with IPL)</t>
  </si>
  <si>
    <t>Discount %</t>
  </si>
  <si>
    <t>Standard Price</t>
  </si>
  <si>
    <t>Discounted Price</t>
  </si>
  <si>
    <t>Old Plan Revenue (without IPL)</t>
  </si>
  <si>
    <t>New Plan Revenue (with IPL)</t>
  </si>
  <si>
    <t>Contribution Per Unit Old Plan</t>
  </si>
  <si>
    <t>Contribution Per Unit New Plan</t>
  </si>
  <si>
    <t>Contribution Old</t>
  </si>
  <si>
    <t>Contribution New</t>
  </si>
  <si>
    <t>Region-wise Sales</t>
  </si>
  <si>
    <t>Old Plan</t>
  </si>
  <si>
    <t>New Plan</t>
  </si>
  <si>
    <t>Sales (in Units)</t>
  </si>
  <si>
    <t>Sales (in Rs.)</t>
  </si>
  <si>
    <t>City-wise Monthly Sales for (Region in above Report) Region</t>
  </si>
  <si>
    <t>Expected Change in Quantity</t>
  </si>
  <si>
    <t>Item</t>
  </si>
  <si>
    <t>Pack (in ml)</t>
  </si>
  <si>
    <t>Material Details  ZestVita</t>
  </si>
  <si>
    <t>Material Details NutriKid</t>
  </si>
  <si>
    <t>Material %</t>
  </si>
  <si>
    <t>Price/litre in Rs.</t>
  </si>
  <si>
    <t>Water</t>
  </si>
  <si>
    <t>Milk</t>
  </si>
  <si>
    <t>Dates Extract</t>
  </si>
  <si>
    <t>Pea Protein Extract</t>
  </si>
  <si>
    <t>Other Ingredients</t>
  </si>
  <si>
    <t>Coffee Bean Extract</t>
  </si>
  <si>
    <t>Oats Extract</t>
  </si>
  <si>
    <t>Ragi Extract</t>
  </si>
  <si>
    <t>Monk Fruit Extract</t>
  </si>
  <si>
    <t>Jowar Extract</t>
  </si>
  <si>
    <t>Bajra Extract</t>
  </si>
  <si>
    <t>Existing</t>
  </si>
  <si>
    <t>New</t>
  </si>
  <si>
    <t>Packaging Cost (in Rs.)</t>
  </si>
  <si>
    <t>Processing Cost per Unit (in Rs.)</t>
  </si>
  <si>
    <t>Fixed Costs</t>
  </si>
  <si>
    <t>Factory Expenses (in Rs.)</t>
  </si>
  <si>
    <t>Factory Rent</t>
  </si>
  <si>
    <t>Cold Storage Cost</t>
  </si>
  <si>
    <t>Marketing Expenses (in Rs.)</t>
  </si>
  <si>
    <t>Budget January</t>
  </si>
  <si>
    <t>Old Marketing Budget</t>
  </si>
  <si>
    <t>Incremental Marketing Cost (in Rs.)</t>
  </si>
  <si>
    <t>1st Month</t>
  </si>
  <si>
    <t xml:space="preserve">Ads Preparation </t>
  </si>
  <si>
    <t>IPL Themed Pack</t>
  </si>
  <si>
    <t>1,00,000</t>
  </si>
  <si>
    <t>IPL Marketing Budget</t>
  </si>
  <si>
    <t>12,00,000</t>
  </si>
  <si>
    <t>Old Marketing Expense</t>
  </si>
  <si>
    <t>New Marketing Expense</t>
  </si>
  <si>
    <t>Total</t>
  </si>
  <si>
    <t>ZestVita Sales (in Units)</t>
  </si>
  <si>
    <t>Old Plan Quantity</t>
  </si>
  <si>
    <t>New Plan Quantity</t>
  </si>
  <si>
    <t>NutriKid Sales (in Units)</t>
  </si>
  <si>
    <t>ZestVita Sales (in Rs.)</t>
  </si>
  <si>
    <t>NutriKid Sales (in Rs.)</t>
  </si>
  <si>
    <t>ZestVita Per Unit Material Comsumption (in ml.)</t>
  </si>
  <si>
    <t>ZestVita Per Unit Material Comsumption (in liters) as per Old Plan</t>
  </si>
  <si>
    <t>ZestVita Per Unit Material Comsumption (in liters) as per New Plan</t>
  </si>
  <si>
    <t>NutriKid Per Unit Material Comsumption (in ml.)</t>
  </si>
  <si>
    <t>Nutrikid Per Unit Material Comsumption (in liters) as per Old Plan</t>
  </si>
  <si>
    <t>Nutrikid Per Unit Material Comsumption (in liters) as per New Plan</t>
  </si>
  <si>
    <t>ZestVita Cost (in Rs.) as per Old Plan</t>
  </si>
  <si>
    <t>Total Cost</t>
  </si>
  <si>
    <t>Cost Per Unit</t>
  </si>
  <si>
    <t>ZestVita Cost (in Rs.) as per New Plan</t>
  </si>
  <si>
    <t>NutriKid Cost (in Rs.) as per Old Plan</t>
  </si>
  <si>
    <t>NutriKid Cost (in Rs.) as per New Plan</t>
  </si>
  <si>
    <t>Sales (in Rs.) as per Old Plan</t>
  </si>
  <si>
    <t>Total Sales</t>
  </si>
  <si>
    <t>Variable Cost for ZestVita</t>
  </si>
  <si>
    <t>Material Cost</t>
  </si>
  <si>
    <t>Packaging Cost</t>
  </si>
  <si>
    <t>Processing Cost</t>
  </si>
  <si>
    <t>Total Variable Cost</t>
  </si>
  <si>
    <t>ZestVita Contribution</t>
  </si>
  <si>
    <t>ZestVita Contribution Per Unit</t>
  </si>
  <si>
    <t>Variable Cost for NutriKid</t>
  </si>
  <si>
    <t>NutriKid Contribution</t>
  </si>
  <si>
    <t>NutriKid Contribution Per Unit</t>
  </si>
  <si>
    <t>Combined Contribution Old Plan</t>
  </si>
  <si>
    <t>Sales (in Rs.) as per New Plan</t>
  </si>
  <si>
    <t>Combined Contribution NewPlan</t>
  </si>
  <si>
    <t>Contribution</t>
  </si>
  <si>
    <t>Marketing Budget</t>
  </si>
  <si>
    <t>Incremental Profit</t>
  </si>
  <si>
    <t>Actual Incremental Profits</t>
  </si>
  <si>
    <t>Performance Analysis</t>
  </si>
  <si>
    <t>Product :</t>
  </si>
  <si>
    <t>Both</t>
  </si>
  <si>
    <t>Region:</t>
  </si>
  <si>
    <t>City:</t>
  </si>
  <si>
    <t>Consolidated:</t>
  </si>
  <si>
    <t>City :</t>
  </si>
  <si>
    <t>Region :</t>
  </si>
  <si>
    <t>Region&amp; Product-wise Sales</t>
  </si>
  <si>
    <t>City &amp; Product-wise Sales</t>
  </si>
  <si>
    <t>Revenue</t>
  </si>
  <si>
    <t xml:space="preserve">Old Plan </t>
  </si>
  <si>
    <t>Monthly Sales</t>
  </si>
  <si>
    <t>Cost-Benefit Analysis</t>
  </si>
  <si>
    <t>Incremental Units Sold (in %)</t>
  </si>
  <si>
    <t>Incremental Profits</t>
  </si>
  <si>
    <t>Incremental Contribution</t>
  </si>
  <si>
    <t>Units Sold As Per Old Plan</t>
  </si>
  <si>
    <t>Units Sold As Per New Plan</t>
  </si>
  <si>
    <t>Incremental Units</t>
  </si>
  <si>
    <t>% Increase in Units Sold</t>
  </si>
  <si>
    <t>Cost Benefit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</si>
</sst>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[$₹]#,##0.00"/>
  </numFmts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Noto Serif Georgian"/>
    </font>
    <font>
      <sz val="11.0"/>
      <color theme="1"/>
      <name val="Noto Serif Georgian"/>
    </font>
    <font>
      <color theme="1"/>
      <name val="Noto Serif Georgian"/>
    </font>
    <font>
      <b/>
      <sz val="9.0"/>
      <color theme="1"/>
      <name val="Noto Serif Georgian"/>
    </font>
    <font>
      <sz val="9.0"/>
      <color theme="1"/>
      <name val="Noto Serif Georgian"/>
    </font>
    <font>
      <b/>
      <sz val="17.0"/>
      <color theme="1"/>
      <name val="Noto Serif Georgian"/>
    </font>
    <font/>
    <font>
      <b/>
      <sz val="14.0"/>
      <color theme="1"/>
      <name val="Noto Serif Georgian"/>
    </font>
    <font>
      <sz val="12.0"/>
      <color theme="1"/>
      <name val="Arial"/>
    </font>
    <font>
      <b/>
      <sz val="11.0"/>
      <color theme="1"/>
      <name val="Noto Serif Georgian"/>
    </font>
    <font>
      <color theme="1"/>
      <name val="Arial"/>
      <scheme val="minor"/>
    </font>
    <font>
      <b/>
      <sz val="18.0"/>
      <color theme="1"/>
      <name val="Noto Serif Georgian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9" xfId="0" applyAlignment="1" applyBorder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0" fillId="2" fontId="6" numFmtId="0" xfId="0" applyFill="1" applyFont="1"/>
    <xf borderId="0" fillId="0" fontId="7" numFmtId="0" xfId="0" applyFont="1"/>
    <xf borderId="0" fillId="0" fontId="7" numFmtId="9" xfId="0" applyFont="1" applyNumberFormat="1"/>
    <xf borderId="0" fillId="0" fontId="7" numFmtId="2" xfId="0" applyFont="1" applyNumberFormat="1"/>
    <xf borderId="0" fillId="0" fontId="7" numFmtId="164" xfId="0" applyFont="1" applyNumberFormat="1"/>
    <xf borderId="2" fillId="2" fontId="8" numFmtId="0" xfId="0" applyAlignment="1" applyBorder="1" applyFont="1">
      <alignment horizontal="center"/>
    </xf>
    <xf borderId="3" fillId="0" fontId="9" numFmtId="0" xfId="0" applyBorder="1" applyFont="1"/>
    <xf borderId="4" fillId="0" fontId="9" numFmtId="0" xfId="0" applyBorder="1" applyFont="1"/>
    <xf borderId="0" fillId="0" fontId="5" numFmtId="0" xfId="0" applyFont="1"/>
    <xf borderId="1" fillId="2" fontId="3" numFmtId="0" xfId="0" applyBorder="1" applyFont="1"/>
    <xf borderId="2" fillId="2" fontId="3" numFmtId="0" xfId="0" applyBorder="1" applyFont="1"/>
    <xf borderId="5" fillId="2" fontId="5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/>
    </xf>
    <xf borderId="6" fillId="0" fontId="9" numFmtId="0" xfId="0" applyBorder="1" applyFont="1"/>
    <xf borderId="1" fillId="0" fontId="5" numFmtId="0" xfId="0" applyBorder="1" applyFont="1"/>
    <xf borderId="1" fillId="3" fontId="5" numFmtId="0" xfId="0" applyBorder="1" applyFill="1" applyFont="1"/>
    <xf borderId="2" fillId="2" fontId="10" numFmtId="0" xfId="0" applyAlignment="1" applyBorder="1" applyFont="1">
      <alignment horizontal="center"/>
    </xf>
    <xf borderId="5" fillId="2" fontId="5" numFmtId="0" xfId="0" applyAlignment="1" applyBorder="1" applyFont="1">
      <alignment shrinkToFit="0" wrapText="1"/>
    </xf>
    <xf borderId="1" fillId="2" fontId="5" numFmtId="0" xfId="0" applyBorder="1" applyFont="1"/>
    <xf borderId="2" fillId="0" fontId="5" numFmtId="0" xfId="0" applyBorder="1" applyFont="1"/>
    <xf borderId="1" fillId="0" fontId="5" numFmtId="10" xfId="0" applyBorder="1" applyFont="1" applyNumberForma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5" numFmtId="9" xfId="0" applyAlignment="1" applyFont="1" applyNumberFormat="1">
      <alignment horizontal="right" vertical="bottom"/>
    </xf>
    <xf borderId="0" fillId="0" fontId="11" numFmtId="0" xfId="0" applyFont="1"/>
    <xf borderId="0" fillId="0" fontId="2" numFmtId="9" xfId="0" applyFont="1" applyNumberFormat="1"/>
    <xf borderId="0" fillId="0" fontId="5" numFmtId="3" xfId="0" applyAlignment="1" applyFont="1" applyNumberFormat="1">
      <alignment horizontal="right" vertical="bottom"/>
    </xf>
    <xf borderId="0" fillId="0" fontId="2" numFmtId="3" xfId="0" applyFont="1" applyNumberFormat="1"/>
    <xf borderId="0" fillId="0" fontId="2" numFmtId="4" xfId="0" applyFont="1" applyNumberFormat="1"/>
    <xf borderId="0" fillId="4" fontId="6" numFmtId="0" xfId="0" applyFill="1" applyFont="1"/>
    <xf borderId="0" fillId="0" fontId="7" numFmtId="1" xfId="0" applyFont="1" applyNumberFormat="1"/>
    <xf borderId="0" fillId="2" fontId="6" numFmtId="0" xfId="0" applyAlignment="1" applyFont="1">
      <alignment shrinkToFit="0" wrapText="1"/>
    </xf>
    <xf borderId="0" fillId="0" fontId="6" numFmtId="0" xfId="0" applyFont="1"/>
    <xf borderId="0" fillId="0" fontId="7" numFmtId="3" xfId="0" applyFont="1" applyNumberFormat="1"/>
    <xf borderId="0" fillId="3" fontId="6" numFmtId="0" xfId="0" applyFont="1"/>
    <xf borderId="0" fillId="3" fontId="7" numFmtId="0" xfId="0" applyFont="1"/>
    <xf borderId="0" fillId="2" fontId="8" numFmtId="0" xfId="0" applyAlignment="1" applyFont="1">
      <alignment horizontal="center"/>
    </xf>
    <xf borderId="0" fillId="2" fontId="3" numFmtId="0" xfId="0" applyAlignment="1" applyFont="1">
      <alignment horizontal="right"/>
    </xf>
    <xf borderId="0" fillId="2" fontId="5" numFmtId="0" xfId="0" applyFont="1"/>
    <xf borderId="0" fillId="2" fontId="12" numFmtId="0" xfId="0" applyFont="1"/>
    <xf borderId="0" fillId="2" fontId="3" numFmtId="0" xfId="0" applyFont="1"/>
    <xf borderId="1" fillId="0" fontId="2" numFmtId="0" xfId="0" applyBorder="1" applyFont="1"/>
    <xf borderId="0" fillId="2" fontId="1" numFmtId="0" xfId="0" applyFont="1"/>
    <xf borderId="0" fillId="2" fontId="3" numFmtId="0" xfId="0" applyAlignment="1" applyFont="1">
      <alignment horizontal="center"/>
    </xf>
    <xf borderId="0" fillId="0" fontId="5" numFmtId="2" xfId="0" applyFont="1" applyNumberFormat="1"/>
    <xf borderId="0" fillId="0" fontId="2" numFmtId="2" xfId="0" applyFont="1" applyNumberFormat="1"/>
    <xf borderId="0" fillId="0" fontId="13" numFmtId="0" xfId="0" applyFont="1"/>
    <xf borderId="0" fillId="0" fontId="13" numFmtId="9" xfId="0" applyFont="1" applyNumberFormat="1"/>
    <xf borderId="0" fillId="0" fontId="13" numFmtId="2" xfId="0" applyFont="1" applyNumberFormat="1"/>
    <xf borderId="0" fillId="4" fontId="14" numFmtId="0" xfId="0" applyAlignment="1" applyFont="1">
      <alignment horizontal="center"/>
    </xf>
    <xf borderId="3" fillId="0" fontId="5" numFmtId="10" xfId="0" applyAlignment="1" applyBorder="1" applyFont="1" applyNumberFormat="1">
      <alignment vertical="bottom"/>
    </xf>
    <xf borderId="3" fillId="2" fontId="3" numFmtId="10" xfId="0" applyBorder="1" applyFont="1" applyNumberFormat="1"/>
    <xf borderId="3" fillId="0" fontId="5" numFmtId="10" xfId="0" applyBorder="1" applyFont="1" applyNumberFormat="1"/>
    <xf borderId="0" fillId="0" fontId="7" numFmtId="165" xfId="0" applyFont="1" applyNumberFormat="1"/>
    <xf borderId="0" fillId="0" fontId="5" numFmtId="10" xfId="0" applyAlignment="1" applyFont="1" applyNumberFormat="1">
      <alignment horizontal="right" vertical="bottom"/>
    </xf>
    <xf borderId="0" fillId="0" fontId="5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Arial black"/>
              </a:defRPr>
            </a:pPr>
            <a:r>
              <a:rPr b="1" i="0">
                <a:solidFill>
                  <a:srgbClr val="757575"/>
                </a:solidFill>
                <a:latin typeface="Arial black"/>
              </a:rPr>
              <a:t>Revenue Old Plan vs New Plan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Dashboard!$A$130:$A$131</c:f>
            </c:strRef>
          </c:cat>
          <c:val>
            <c:numRef>
              <c:f>Dashboard!$B$130:$B$131</c:f>
              <c:numCache/>
            </c:numRef>
          </c:val>
        </c:ser>
        <c:axId val="1856079717"/>
        <c:axId val="461970085"/>
      </c:barChart>
      <c:catAx>
        <c:axId val="18560797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61970085"/>
      </c:catAx>
      <c:valAx>
        <c:axId val="461970085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5607971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Arial black"/>
              </a:defRPr>
            </a:pPr>
            <a:r>
              <a:rPr b="1" i="0">
                <a:solidFill>
                  <a:srgbClr val="757575"/>
                </a:solidFill>
                <a:latin typeface="Arial black"/>
              </a:rPr>
              <a:t>Monthly Contribution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Dashboard!$A$134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Dashboard!$B$133:$G$133</c:f>
            </c:strRef>
          </c:cat>
          <c:val>
            <c:numRef>
              <c:f>Dashboard!$B$134:$G$134</c:f>
              <c:numCache/>
            </c:numRef>
          </c:val>
        </c:ser>
        <c:ser>
          <c:idx val="1"/>
          <c:order val="1"/>
          <c:tx>
            <c:strRef>
              <c:f>Dashboard!$A$135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Dashboard!$B$133:$G$133</c:f>
            </c:strRef>
          </c:cat>
          <c:val>
            <c:numRef>
              <c:f>Dashboard!$B$135:$G$135</c:f>
              <c:numCache/>
            </c:numRef>
          </c:val>
        </c:ser>
        <c:ser>
          <c:idx val="2"/>
          <c:order val="2"/>
          <c:tx>
            <c:strRef>
              <c:f>Dashboard!$A$136</c:f>
            </c:strRef>
          </c:tx>
          <c:cat>
            <c:strRef>
              <c:f>Dashboard!$B$133:$G$133</c:f>
            </c:strRef>
          </c:cat>
          <c:val>
            <c:numRef>
              <c:f>Dashboard!$B$136:$G$136</c:f>
              <c:numCache/>
            </c:numRef>
          </c:val>
        </c:ser>
        <c:axId val="315418108"/>
        <c:axId val="299470167"/>
      </c:barChart>
      <c:catAx>
        <c:axId val="3154181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Contribution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99470167"/>
      </c:catAx>
      <c:valAx>
        <c:axId val="29947016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1541810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Arial black"/>
              </a:defRPr>
            </a:pPr>
            <a:r>
              <a:rPr b="1" i="0">
                <a:solidFill>
                  <a:srgbClr val="757575"/>
                </a:solidFill>
                <a:latin typeface="Arial black"/>
              </a:rPr>
              <a:t>Monthly Sales (in Units)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Dashboard!$B$120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Dashboard!$A$121:$A$126</c:f>
            </c:strRef>
          </c:cat>
          <c:val>
            <c:numRef>
              <c:f>Dashboard!$B$121:$B$126</c:f>
              <c:numCache/>
            </c:numRef>
          </c:val>
          <c:smooth val="0"/>
        </c:ser>
        <c:ser>
          <c:idx val="1"/>
          <c:order val="1"/>
          <c:tx>
            <c:strRef>
              <c:f>Dashboard!$C$120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Dashboard!$A$121:$A$126</c:f>
            </c:strRef>
          </c:cat>
          <c:val>
            <c:numRef>
              <c:f>Dashboard!$C$121:$C$126</c:f>
              <c:numCache/>
            </c:numRef>
          </c:val>
          <c:smooth val="0"/>
        </c:ser>
        <c:axId val="1651225605"/>
        <c:axId val="518170282"/>
      </c:lineChart>
      <c:catAx>
        <c:axId val="16512256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18170282"/>
      </c:catAx>
      <c:valAx>
        <c:axId val="51817028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5122560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 black"/>
              </a:defRPr>
            </a:pPr>
            <a:r>
              <a:rPr b="0" i="0">
                <a:solidFill>
                  <a:srgbClr val="757575"/>
                </a:solidFill>
                <a:latin typeface="Arial black"/>
              </a:rPr>
              <a:t>Revenue: Old Plan vs New Plan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Dashboard!$A$116:$A$117</c:f>
            </c:strRef>
          </c:cat>
          <c:val>
            <c:numRef>
              <c:f>Dashboard!$C$116:$C$117</c:f>
              <c:numCache/>
            </c:numRef>
          </c:val>
        </c:ser>
        <c:axId val="1065853364"/>
        <c:axId val="579668994"/>
      </c:barChart>
      <c:catAx>
        <c:axId val="10658533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79668994"/>
      </c:catAx>
      <c:valAx>
        <c:axId val="57966899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6585336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 black"/>
              </a:defRPr>
            </a:pPr>
            <a:r>
              <a:rPr b="0" i="0">
                <a:solidFill>
                  <a:srgbClr val="757575"/>
                </a:solidFill>
                <a:latin typeface="Arial black"/>
              </a:rPr>
              <a:t>Revenue: Old Plan vs New Plan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Dashboard!$E$116:$E$117</c:f>
            </c:strRef>
          </c:cat>
          <c:val>
            <c:numRef>
              <c:f>Dashboard!$F$116:$F$117</c:f>
              <c:numCache/>
            </c:numRef>
          </c:val>
        </c:ser>
        <c:axId val="2053878496"/>
        <c:axId val="470946653"/>
      </c:barChart>
      <c:catAx>
        <c:axId val="205387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70946653"/>
      </c:catAx>
      <c:valAx>
        <c:axId val="470946653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5387849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Arial black"/>
              </a:defRPr>
            </a:pPr>
            <a:r>
              <a:rPr b="1" i="0">
                <a:solidFill>
                  <a:srgbClr val="757575"/>
                </a:solidFill>
                <a:latin typeface="Arial black"/>
              </a:rPr>
              <a:t>Monthly Sales (in Units)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Dashboard!$F$120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Dashboard!$E$121:$E$126</c:f>
            </c:strRef>
          </c:cat>
          <c:val>
            <c:numRef>
              <c:f>Dashboard!$F$121:$F$126</c:f>
              <c:numCache/>
            </c:numRef>
          </c:val>
          <c:smooth val="0"/>
        </c:ser>
        <c:ser>
          <c:idx val="1"/>
          <c:order val="1"/>
          <c:tx>
            <c:strRef>
              <c:f>Dashboard!$G$120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Dashboard!$E$121:$E$126</c:f>
            </c:strRef>
          </c:cat>
          <c:val>
            <c:numRef>
              <c:f>Dashboard!$G$121:$G$126</c:f>
              <c:numCache/>
            </c:numRef>
          </c:val>
          <c:smooth val="0"/>
        </c:ser>
        <c:axId val="1667167497"/>
        <c:axId val="689787275"/>
      </c:lineChart>
      <c:catAx>
        <c:axId val="1667167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89787275"/>
      </c:catAx>
      <c:valAx>
        <c:axId val="689787275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6716749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Arial black"/>
              </a:defRPr>
            </a:pPr>
            <a:r>
              <a:rPr b="1" i="0">
                <a:solidFill>
                  <a:srgbClr val="757575"/>
                </a:solidFill>
                <a:latin typeface="Arial black"/>
              </a:rPr>
              <a:t>Monthly Contribution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Dashboard!$A$140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Dashboard!$B$139:$G$139</c:f>
            </c:strRef>
          </c:cat>
          <c:val>
            <c:numRef>
              <c:f>Dashboard!$B$140:$G$140</c:f>
              <c:numCache/>
            </c:numRef>
          </c:val>
        </c:ser>
        <c:ser>
          <c:idx val="1"/>
          <c:order val="1"/>
          <c:tx>
            <c:strRef>
              <c:f>Dashboard!$A$141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Dashboard!$B$139:$G$139</c:f>
            </c:strRef>
          </c:cat>
          <c:val>
            <c:numRef>
              <c:f>Dashboard!$B$141:$G$141</c:f>
              <c:numCache/>
            </c:numRef>
          </c:val>
        </c:ser>
        <c:axId val="2019800932"/>
        <c:axId val="1990203589"/>
      </c:barChart>
      <c:catAx>
        <c:axId val="20198009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90203589"/>
      </c:catAx>
      <c:valAx>
        <c:axId val="199020358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1980093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Arial black"/>
              </a:defRPr>
            </a:pPr>
            <a:r>
              <a:rPr b="1" i="0">
                <a:solidFill>
                  <a:srgbClr val="757575"/>
                </a:solidFill>
                <a:latin typeface="Arial black"/>
              </a:rPr>
              <a:t>Monthly Contribution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Dashboard!$A$146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Dashboard!$B$145:$G$145</c:f>
            </c:strRef>
          </c:cat>
          <c:val>
            <c:numRef>
              <c:f>Dashboard!$B$146:$G$146</c:f>
              <c:numCache/>
            </c:numRef>
          </c:val>
        </c:ser>
        <c:ser>
          <c:idx val="1"/>
          <c:order val="1"/>
          <c:tx>
            <c:strRef>
              <c:f>Dashboard!$A$147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Dashboard!$B$145:$G$145</c:f>
            </c:strRef>
          </c:cat>
          <c:val>
            <c:numRef>
              <c:f>Dashboard!$B$147:$G$147</c:f>
              <c:numCache/>
            </c:numRef>
          </c:val>
        </c:ser>
        <c:axId val="1412733666"/>
        <c:axId val="902996960"/>
      </c:barChart>
      <c:catAx>
        <c:axId val="1412733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02996960"/>
      </c:catAx>
      <c:valAx>
        <c:axId val="902996960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1273366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Arial black"/>
              </a:defRPr>
            </a:pPr>
            <a:r>
              <a:rPr b="1" i="0">
                <a:solidFill>
                  <a:srgbClr val="757575"/>
                </a:solidFill>
                <a:latin typeface="Arial black"/>
              </a:rPr>
              <a:t>Monthly Sales (in Units)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Dashboard!$A$151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Dashboard!$B$150:$G$150</c:f>
            </c:strRef>
          </c:cat>
          <c:val>
            <c:numRef>
              <c:f>Dashboard!$B$151:$G$151</c:f>
              <c:numCache/>
            </c:numRef>
          </c:val>
          <c:smooth val="0"/>
        </c:ser>
        <c:ser>
          <c:idx val="1"/>
          <c:order val="1"/>
          <c:tx>
            <c:strRef>
              <c:f>Dashboard!$A$152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Dashboard!$B$150:$G$150</c:f>
            </c:strRef>
          </c:cat>
          <c:val>
            <c:numRef>
              <c:f>Dashboard!$B$152:$G$152</c:f>
              <c:numCache/>
            </c:numRef>
          </c:val>
          <c:smooth val="0"/>
        </c:ser>
        <c:axId val="97496284"/>
        <c:axId val="1129947441"/>
      </c:lineChart>
      <c:catAx>
        <c:axId val="97496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Monthly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29947441"/>
      </c:catAx>
      <c:valAx>
        <c:axId val="112994744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749628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400">
                <a:solidFill>
                  <a:srgbClr val="000000"/>
                </a:solidFill>
                <a:latin typeface="Arial black"/>
              </a:defRPr>
            </a:pPr>
            <a:r>
              <a:rPr b="1" i="0" sz="2400">
                <a:solidFill>
                  <a:srgbClr val="000000"/>
                </a:solidFill>
                <a:latin typeface="Arial black"/>
              </a:rPr>
              <a:t>Cost Benefit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'Dashboard 2'!$A$50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'Dashboard 2'!$B$49:$G$49</c:f>
            </c:strRef>
          </c:cat>
          <c:val>
            <c:numRef>
              <c:f>'Dashboard 2'!$B$50:$G$50</c:f>
              <c:numCache/>
            </c:numRef>
          </c:val>
        </c:ser>
        <c:axId val="1039131629"/>
        <c:axId val="439550406"/>
      </c:barChart>
      <c:catAx>
        <c:axId val="10391316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39550406"/>
      </c:catAx>
      <c:valAx>
        <c:axId val="439550406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Cost Benefit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3913162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4819650" cy="2895600"/>
    <xdr:graphicFrame>
      <xdr:nvGraphicFramePr>
        <xdr:cNvPr id="200833438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17</xdr:row>
      <xdr:rowOff>47625</xdr:rowOff>
    </xdr:from>
    <xdr:ext cx="9658350" cy="3286125"/>
    <xdr:graphicFrame>
      <xdr:nvGraphicFramePr>
        <xdr:cNvPr id="22615533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9525</xdr:colOff>
      <xdr:row>71</xdr:row>
      <xdr:rowOff>9525</xdr:rowOff>
    </xdr:from>
    <xdr:ext cx="4762500" cy="3543300"/>
    <xdr:graphicFrame>
      <xdr:nvGraphicFramePr>
        <xdr:cNvPr id="1086944985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71</xdr:row>
      <xdr:rowOff>9525</xdr:rowOff>
    </xdr:from>
    <xdr:ext cx="4819650" cy="3543300"/>
    <xdr:graphicFrame>
      <xdr:nvGraphicFramePr>
        <xdr:cNvPr id="1738037751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36</xdr:row>
      <xdr:rowOff>180975</xdr:rowOff>
    </xdr:from>
    <xdr:ext cx="4819650" cy="2990850"/>
    <xdr:graphicFrame>
      <xdr:nvGraphicFramePr>
        <xdr:cNvPr id="751869092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9525</xdr:colOff>
      <xdr:row>36</xdr:row>
      <xdr:rowOff>180975</xdr:rowOff>
    </xdr:from>
    <xdr:ext cx="4762500" cy="2990850"/>
    <xdr:graphicFrame>
      <xdr:nvGraphicFramePr>
        <xdr:cNvPr id="952015487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51</xdr:row>
      <xdr:rowOff>133350</xdr:rowOff>
    </xdr:from>
    <xdr:ext cx="9572625" cy="2752725"/>
    <xdr:graphicFrame>
      <xdr:nvGraphicFramePr>
        <xdr:cNvPr id="784189340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0</xdr:colOff>
      <xdr:row>88</xdr:row>
      <xdr:rowOff>104775</xdr:rowOff>
    </xdr:from>
    <xdr:ext cx="9572625" cy="3095625"/>
    <xdr:graphicFrame>
      <xdr:nvGraphicFramePr>
        <xdr:cNvPr id="321092025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5</xdr:col>
      <xdr:colOff>9525</xdr:colOff>
      <xdr:row>2</xdr:row>
      <xdr:rowOff>200025</xdr:rowOff>
    </xdr:from>
    <xdr:ext cx="4819650" cy="2895600"/>
    <xdr:graphicFrame>
      <xdr:nvGraphicFramePr>
        <xdr:cNvPr id="1085055112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171450</xdr:rowOff>
    </xdr:from>
    <xdr:ext cx="8782050" cy="3028950"/>
    <xdr:graphicFrame>
      <xdr:nvGraphicFramePr>
        <xdr:cNvPr id="1673168924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3" width="12.63"/>
    <col customWidth="1" min="4" max="4" width="17.13"/>
    <col customWidth="1" min="5" max="6" width="12.63"/>
  </cols>
  <sheetData>
    <row r="1" ht="15.75" customHeight="1">
      <c r="A1" s="1" t="s">
        <v>0</v>
      </c>
      <c r="B1" s="2" t="s">
        <v>1</v>
      </c>
      <c r="C1" s="3"/>
      <c r="D1" s="1" t="s">
        <v>0</v>
      </c>
      <c r="E1" s="2" t="s">
        <v>2</v>
      </c>
      <c r="F1" s="3"/>
      <c r="G1" s="1" t="s">
        <v>0</v>
      </c>
      <c r="H1" s="2" t="s">
        <v>3</v>
      </c>
      <c r="I1" s="3"/>
      <c r="J1" s="1" t="s">
        <v>0</v>
      </c>
      <c r="K1" s="2" t="s">
        <v>4</v>
      </c>
    </row>
    <row r="2" ht="15.75" customHeight="1">
      <c r="A2" s="1" t="s">
        <v>5</v>
      </c>
      <c r="B2" s="2" t="s">
        <v>6</v>
      </c>
      <c r="C2" s="3"/>
      <c r="D2" s="1" t="s">
        <v>5</v>
      </c>
      <c r="E2" s="2" t="s">
        <v>7</v>
      </c>
      <c r="F2" s="3"/>
      <c r="G2" s="1" t="s">
        <v>5</v>
      </c>
      <c r="H2" s="2" t="s">
        <v>8</v>
      </c>
      <c r="I2" s="3"/>
      <c r="J2" s="1" t="s">
        <v>5</v>
      </c>
      <c r="K2" s="2" t="s">
        <v>9</v>
      </c>
    </row>
    <row r="3" ht="15.75" customHeight="1">
      <c r="A3" s="1" t="s">
        <v>10</v>
      </c>
      <c r="B3" s="1" t="s">
        <v>11</v>
      </c>
      <c r="C3" s="3"/>
      <c r="D3" s="1" t="s">
        <v>10</v>
      </c>
      <c r="E3" s="1" t="s">
        <v>11</v>
      </c>
      <c r="F3" s="3"/>
      <c r="G3" s="1" t="s">
        <v>10</v>
      </c>
      <c r="H3" s="1" t="s">
        <v>11</v>
      </c>
      <c r="I3" s="3"/>
      <c r="J3" s="1" t="s">
        <v>10</v>
      </c>
      <c r="K3" s="1" t="s">
        <v>11</v>
      </c>
    </row>
    <row r="4" ht="15.75" customHeight="1">
      <c r="A4" s="2" t="s">
        <v>12</v>
      </c>
      <c r="B4" s="4">
        <v>0.0</v>
      </c>
      <c r="C4" s="3"/>
      <c r="D4" s="2" t="s">
        <v>13</v>
      </c>
      <c r="E4" s="4">
        <v>0.0</v>
      </c>
      <c r="F4" s="3"/>
      <c r="G4" s="2" t="s">
        <v>14</v>
      </c>
      <c r="H4" s="4">
        <v>0.0</v>
      </c>
      <c r="I4" s="3"/>
      <c r="J4" s="2" t="s">
        <v>15</v>
      </c>
      <c r="K4" s="4">
        <v>0.0</v>
      </c>
    </row>
    <row r="5" ht="15.75" customHeight="1">
      <c r="A5" s="2" t="s">
        <v>16</v>
      </c>
      <c r="B5" s="4">
        <v>0.0</v>
      </c>
      <c r="C5" s="3"/>
      <c r="D5" s="2" t="s">
        <v>17</v>
      </c>
      <c r="E5" s="5">
        <v>0.125</v>
      </c>
      <c r="F5" s="3"/>
      <c r="G5" s="2" t="s">
        <v>18</v>
      </c>
      <c r="H5" s="4">
        <v>0.0</v>
      </c>
      <c r="I5" s="3"/>
      <c r="J5" s="2" t="s">
        <v>19</v>
      </c>
      <c r="K5" s="4">
        <v>0.0</v>
      </c>
    </row>
    <row r="6" ht="15.75" customHeight="1">
      <c r="A6" s="2" t="s">
        <v>20</v>
      </c>
      <c r="B6" s="4">
        <v>0.1</v>
      </c>
      <c r="C6" s="3"/>
      <c r="D6" s="2" t="s">
        <v>21</v>
      </c>
      <c r="E6" s="4">
        <v>0.05</v>
      </c>
      <c r="F6" s="3"/>
      <c r="G6" s="2" t="s">
        <v>22</v>
      </c>
      <c r="H6" s="4">
        <v>0.05</v>
      </c>
      <c r="I6" s="3"/>
      <c r="J6" s="2" t="s">
        <v>23</v>
      </c>
      <c r="K6" s="4">
        <v>0.0</v>
      </c>
    </row>
    <row r="7" ht="15.75" customHeight="1">
      <c r="A7" s="2" t="s">
        <v>24</v>
      </c>
      <c r="B7" s="5">
        <v>0.125</v>
      </c>
      <c r="C7" s="3"/>
      <c r="D7" s="2" t="s">
        <v>25</v>
      </c>
      <c r="E7" s="4">
        <v>0.05</v>
      </c>
      <c r="F7" s="3"/>
      <c r="G7" s="2" t="s">
        <v>26</v>
      </c>
      <c r="H7" s="4">
        <v>0.0</v>
      </c>
      <c r="I7" s="3"/>
      <c r="J7" s="2" t="s">
        <v>27</v>
      </c>
      <c r="K7" s="4">
        <v>0.1</v>
      </c>
    </row>
    <row r="8" ht="15.75" customHeight="1"/>
    <row r="9" ht="15.75" customHeight="1">
      <c r="A9" s="6" t="s">
        <v>28</v>
      </c>
    </row>
    <row r="10" ht="15.75" customHeight="1">
      <c r="A10" s="6" t="s">
        <v>29</v>
      </c>
      <c r="B10" s="6">
        <v>60.0</v>
      </c>
      <c r="C10" s="6" t="s">
        <v>30</v>
      </c>
    </row>
    <row r="11" ht="15.75" customHeight="1">
      <c r="A11" s="6" t="s">
        <v>31</v>
      </c>
      <c r="B11" s="6">
        <v>135.0</v>
      </c>
      <c r="C11" s="6" t="s">
        <v>30</v>
      </c>
    </row>
    <row r="12" ht="15.75" customHeight="1"/>
    <row r="13" ht="15.75" customHeight="1">
      <c r="A13" s="1" t="s">
        <v>0</v>
      </c>
      <c r="B13" s="1" t="s">
        <v>10</v>
      </c>
      <c r="C13" s="1" t="s">
        <v>11</v>
      </c>
      <c r="D13" s="1" t="s">
        <v>5</v>
      </c>
    </row>
    <row r="14" ht="15.75" customHeight="1">
      <c r="A14" s="2" t="s">
        <v>1</v>
      </c>
      <c r="B14" s="2" t="s">
        <v>12</v>
      </c>
      <c r="C14" s="4">
        <v>0.0</v>
      </c>
      <c r="D14" s="2" t="s">
        <v>6</v>
      </c>
    </row>
    <row r="15" ht="15.75" customHeight="1">
      <c r="A15" s="2" t="s">
        <v>1</v>
      </c>
      <c r="B15" s="2" t="s">
        <v>16</v>
      </c>
      <c r="C15" s="4">
        <v>0.0</v>
      </c>
      <c r="D15" s="2" t="s">
        <v>6</v>
      </c>
    </row>
    <row r="16" ht="15.75" customHeight="1">
      <c r="A16" s="2" t="s">
        <v>1</v>
      </c>
      <c r="B16" s="2" t="s">
        <v>20</v>
      </c>
      <c r="C16" s="4">
        <v>0.1</v>
      </c>
      <c r="D16" s="2" t="s">
        <v>6</v>
      </c>
    </row>
    <row r="17" ht="15.75" customHeight="1">
      <c r="A17" s="2" t="s">
        <v>1</v>
      </c>
      <c r="B17" s="2" t="s">
        <v>24</v>
      </c>
      <c r="C17" s="5">
        <v>0.125</v>
      </c>
      <c r="D17" s="2" t="s">
        <v>6</v>
      </c>
    </row>
    <row r="18" ht="15.75" customHeight="1">
      <c r="A18" s="2" t="s">
        <v>2</v>
      </c>
      <c r="B18" s="2" t="s">
        <v>13</v>
      </c>
      <c r="C18" s="4">
        <v>0.0</v>
      </c>
      <c r="D18" s="2" t="s">
        <v>7</v>
      </c>
    </row>
    <row r="19" ht="15.75" customHeight="1">
      <c r="A19" s="2" t="s">
        <v>2</v>
      </c>
      <c r="B19" s="2" t="s">
        <v>17</v>
      </c>
      <c r="C19" s="5">
        <v>0.125</v>
      </c>
      <c r="D19" s="2" t="s">
        <v>7</v>
      </c>
    </row>
    <row r="20" ht="15.75" customHeight="1">
      <c r="A20" s="2" t="s">
        <v>2</v>
      </c>
      <c r="B20" s="2" t="s">
        <v>21</v>
      </c>
      <c r="C20" s="4">
        <v>0.05</v>
      </c>
      <c r="D20" s="2" t="s">
        <v>7</v>
      </c>
    </row>
    <row r="21" ht="15.75" customHeight="1">
      <c r="A21" s="2" t="s">
        <v>2</v>
      </c>
      <c r="B21" s="2" t="s">
        <v>25</v>
      </c>
      <c r="C21" s="4">
        <v>0.05</v>
      </c>
      <c r="D21" s="2" t="s">
        <v>7</v>
      </c>
    </row>
    <row r="22" ht="15.75" customHeight="1">
      <c r="A22" s="2" t="s">
        <v>3</v>
      </c>
      <c r="B22" s="2" t="s">
        <v>14</v>
      </c>
      <c r="C22" s="4">
        <v>0.0</v>
      </c>
      <c r="D22" s="2" t="s">
        <v>8</v>
      </c>
    </row>
    <row r="23" ht="15.75" customHeight="1">
      <c r="A23" s="2" t="s">
        <v>3</v>
      </c>
      <c r="B23" s="2" t="s">
        <v>18</v>
      </c>
      <c r="C23" s="4">
        <v>0.0</v>
      </c>
      <c r="D23" s="2" t="s">
        <v>8</v>
      </c>
    </row>
    <row r="24" ht="15.75" customHeight="1">
      <c r="A24" s="2" t="s">
        <v>3</v>
      </c>
      <c r="B24" s="2" t="s">
        <v>22</v>
      </c>
      <c r="C24" s="4">
        <v>0.05</v>
      </c>
      <c r="D24" s="2" t="s">
        <v>8</v>
      </c>
    </row>
    <row r="25" ht="15.75" customHeight="1">
      <c r="A25" s="2" t="s">
        <v>3</v>
      </c>
      <c r="B25" s="2" t="s">
        <v>26</v>
      </c>
      <c r="C25" s="4">
        <v>0.0</v>
      </c>
      <c r="D25" s="2" t="s">
        <v>8</v>
      </c>
    </row>
    <row r="26" ht="15.75" customHeight="1">
      <c r="A26" s="2" t="s">
        <v>4</v>
      </c>
      <c r="B26" s="2" t="s">
        <v>15</v>
      </c>
      <c r="C26" s="4">
        <v>0.0</v>
      </c>
      <c r="D26" s="2" t="s">
        <v>9</v>
      </c>
    </row>
    <row r="27" ht="15.75" customHeight="1">
      <c r="A27" s="2" t="s">
        <v>4</v>
      </c>
      <c r="B27" s="2" t="s">
        <v>19</v>
      </c>
      <c r="C27" s="4">
        <v>0.0</v>
      </c>
      <c r="D27" s="2" t="s">
        <v>9</v>
      </c>
    </row>
    <row r="28" ht="15.75" customHeight="1">
      <c r="A28" s="2" t="s">
        <v>4</v>
      </c>
      <c r="B28" s="2" t="s">
        <v>23</v>
      </c>
      <c r="C28" s="4">
        <v>0.0</v>
      </c>
      <c r="D28" s="2" t="s">
        <v>9</v>
      </c>
    </row>
    <row r="29" ht="15.75" customHeight="1">
      <c r="A29" s="2" t="s">
        <v>4</v>
      </c>
      <c r="B29" s="2" t="s">
        <v>27</v>
      </c>
      <c r="C29" s="4">
        <v>0.1</v>
      </c>
      <c r="D29" s="2" t="s">
        <v>9</v>
      </c>
    </row>
    <row r="30" ht="15.75" customHeight="1">
      <c r="B30" s="6" t="str">
        <f t="array" ref="B30:B33">UNIQUE(A14:A29)</f>
        <v>North</v>
      </c>
    </row>
    <row r="31" ht="15.75" customHeight="1">
      <c r="B31" s="6" t="s">
        <v>2</v>
      </c>
    </row>
    <row r="32" ht="15.75" customHeight="1">
      <c r="B32" s="6" t="s">
        <v>3</v>
      </c>
    </row>
    <row r="33" ht="15.75" customHeight="1">
      <c r="B33" s="6" t="s">
        <v>4</v>
      </c>
    </row>
    <row r="34" ht="15.75" customHeight="1">
      <c r="B34" s="6" t="s">
        <v>32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33</v>
      </c>
      <c r="B1" s="8" t="s">
        <v>34</v>
      </c>
    </row>
    <row r="2" ht="15.75" customHeight="1">
      <c r="A2" s="3"/>
      <c r="B2" s="3"/>
    </row>
    <row r="3" ht="15.75" customHeight="1">
      <c r="A3" s="7" t="s">
        <v>35</v>
      </c>
      <c r="B3" s="3" t="s">
        <v>36</v>
      </c>
    </row>
    <row r="4" ht="15.75" customHeight="1">
      <c r="A4" s="3"/>
      <c r="B4" s="3"/>
    </row>
    <row r="5" ht="15.75" customHeight="1">
      <c r="A5" s="9" t="s">
        <v>37</v>
      </c>
      <c r="B5" s="9" t="s">
        <v>38</v>
      </c>
    </row>
    <row r="6" ht="15.75" customHeight="1">
      <c r="A6" s="9" t="s">
        <v>12</v>
      </c>
      <c r="B6" s="9" t="s">
        <v>10</v>
      </c>
    </row>
    <row r="7" ht="15.75" customHeight="1">
      <c r="A7" s="9" t="s">
        <v>39</v>
      </c>
      <c r="B7" s="9" t="s">
        <v>40</v>
      </c>
    </row>
    <row r="8" ht="15.75" customHeight="1">
      <c r="A8" s="10">
        <v>21497.0</v>
      </c>
      <c r="B8" s="9" t="s">
        <v>41</v>
      </c>
    </row>
    <row r="9" ht="15.75" customHeight="1">
      <c r="A9" s="10">
        <v>26871.0</v>
      </c>
      <c r="B9" s="9" t="s">
        <v>42</v>
      </c>
    </row>
    <row r="10" ht="15.75" customHeight="1">
      <c r="A10" s="3"/>
      <c r="B10" s="3"/>
    </row>
    <row r="11" ht="15.75" customHeight="1">
      <c r="A11" s="7" t="s">
        <v>43</v>
      </c>
      <c r="B11" s="3"/>
    </row>
    <row r="12" ht="15.75" customHeight="1">
      <c r="A12" s="11" t="s">
        <v>44</v>
      </c>
      <c r="B12" s="11" t="s">
        <v>45</v>
      </c>
    </row>
    <row r="13" ht="15.75" customHeight="1">
      <c r="A13" s="9" t="s">
        <v>46</v>
      </c>
      <c r="B13" s="9" t="s">
        <v>47</v>
      </c>
    </row>
    <row r="14" ht="15.75" customHeight="1">
      <c r="A14" s="9" t="s">
        <v>48</v>
      </c>
      <c r="B14" s="9" t="s">
        <v>49</v>
      </c>
    </row>
    <row r="15" ht="15.75" customHeight="1">
      <c r="A15" s="9" t="s">
        <v>50</v>
      </c>
      <c r="B15" s="9" t="s">
        <v>51</v>
      </c>
    </row>
    <row r="16" ht="15.75" customHeight="1"/>
    <row r="17" ht="15.75" customHeight="1">
      <c r="A17" s="6" t="s">
        <v>37</v>
      </c>
      <c r="B17" s="6" t="s">
        <v>52</v>
      </c>
    </row>
    <row r="18" ht="15.75" customHeight="1">
      <c r="A18" s="6" t="s">
        <v>53</v>
      </c>
      <c r="B18" s="6" t="s">
        <v>54</v>
      </c>
    </row>
    <row r="19" ht="15.75" customHeight="1">
      <c r="A19" s="6" t="s">
        <v>55</v>
      </c>
      <c r="B19" s="6" t="s">
        <v>56</v>
      </c>
    </row>
    <row r="20" ht="15.75" customHeight="1">
      <c r="A20" s="6" t="s">
        <v>57</v>
      </c>
      <c r="B20" s="6" t="s">
        <v>58</v>
      </c>
    </row>
    <row r="21" ht="15.75" customHeight="1">
      <c r="A21" s="6" t="s">
        <v>59</v>
      </c>
      <c r="B21" s="6" t="s">
        <v>60</v>
      </c>
    </row>
    <row r="22" ht="15.75" customHeight="1">
      <c r="A22" s="6" t="s">
        <v>61</v>
      </c>
      <c r="B22" s="6" t="s">
        <v>62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5.63"/>
    <col customWidth="1" min="7" max="7" width="18.25"/>
    <col customWidth="1" min="9" max="10" width="15.0"/>
    <col customWidth="1" min="11" max="11" width="26.13"/>
    <col customWidth="1" min="12" max="12" width="23.5"/>
    <col customWidth="1" min="13" max="13" width="25.38"/>
    <col customWidth="1" min="14" max="14" width="25.13"/>
  </cols>
  <sheetData>
    <row r="1" ht="15.75" customHeight="1">
      <c r="A1" s="12" t="s">
        <v>63</v>
      </c>
      <c r="B1" s="12" t="s">
        <v>64</v>
      </c>
      <c r="C1" s="12" t="s">
        <v>0</v>
      </c>
      <c r="D1" s="12" t="s">
        <v>10</v>
      </c>
      <c r="E1" s="12" t="s">
        <v>47</v>
      </c>
      <c r="F1" s="12" t="s">
        <v>65</v>
      </c>
      <c r="G1" s="12" t="s">
        <v>66</v>
      </c>
      <c r="H1" s="12" t="s">
        <v>67</v>
      </c>
      <c r="I1" s="12" t="s">
        <v>68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  <c r="Q1" s="13"/>
    </row>
    <row r="2" ht="15.75" customHeight="1">
      <c r="A2" s="13" t="s">
        <v>37</v>
      </c>
      <c r="B2" s="13" t="str">
        <f t="array" ref="B2">XLOOKUP(A2,Abbreviation!$A$17:$A$22,Abbreviation!$B$17:$B$22)</f>
        <v>January</v>
      </c>
      <c r="C2" s="13" t="str">
        <f t="array" ref="C2">XLOOKUP(D2,'Regional Details'!$B$14:$B$29,'Regional Details'!$A$14:$A$29)</f>
        <v>North</v>
      </c>
      <c r="D2" s="13" t="s">
        <v>12</v>
      </c>
      <c r="E2" s="13" t="s">
        <v>31</v>
      </c>
      <c r="F2" s="13">
        <v>21497.0</v>
      </c>
      <c r="G2" s="13">
        <v>26871.0</v>
      </c>
      <c r="H2" s="14">
        <f t="array" ref="H2">XLOOKUP(D2,'Regional Details'!$B$14:$B$29,'Regional Details'!$C$14:$C$29)</f>
        <v>0</v>
      </c>
      <c r="I2" s="13">
        <f t="shared" ref="I2:I193" si="2">IF(E2="NutriKid",60,135)</f>
        <v>135</v>
      </c>
      <c r="J2" s="13">
        <f t="shared" ref="J2:J193" si="3">I2*(1-H2)</f>
        <v>135</v>
      </c>
      <c r="K2" s="15">
        <f t="shared" ref="K2:K193" si="4">F2*J2</f>
        <v>2902095</v>
      </c>
      <c r="L2" s="13">
        <f t="shared" ref="L2:L193" si="5">G2*I2</f>
        <v>3627585</v>
      </c>
      <c r="M2" s="13">
        <f t="shared" ref="M2:M193" si="6">IF(E2=$E$2,74.03,33.75)</f>
        <v>74.03</v>
      </c>
      <c r="N2" s="13">
        <f t="shared" ref="N2:N193" si="7">IF(E2=$E$2,73.16,29.89)</f>
        <v>73.16</v>
      </c>
      <c r="O2" s="13">
        <f t="shared" ref="O2:P2" si="1">M2*F2</f>
        <v>1591422.91</v>
      </c>
      <c r="P2" s="13">
        <f t="shared" si="1"/>
        <v>1965882.36</v>
      </c>
      <c r="Q2" s="13"/>
    </row>
    <row r="3" ht="15.75" customHeight="1">
      <c r="A3" s="13" t="s">
        <v>37</v>
      </c>
      <c r="B3" s="13" t="str">
        <f t="array" ref="B3">XLOOKUP(A3,Abbreviation!$A$17:$A$22,Abbreviation!$B$17:$B$22)</f>
        <v>January</v>
      </c>
      <c r="C3" s="13" t="str">
        <f t="array" ref="C3">XLOOKUP(D3,'Regional Details'!$B$14:$B$29,'Regional Details'!$A$14:$A$29)</f>
        <v>North</v>
      </c>
      <c r="D3" s="13" t="s">
        <v>12</v>
      </c>
      <c r="E3" s="13" t="s">
        <v>29</v>
      </c>
      <c r="F3" s="13">
        <v>16650.0</v>
      </c>
      <c r="G3" s="13">
        <v>20147.0</v>
      </c>
      <c r="H3" s="14">
        <f t="array" ref="H3">XLOOKUP(D3,'Regional Details'!$B$14:$B$29,'Regional Details'!$C$14:$C$29)</f>
        <v>0</v>
      </c>
      <c r="I3" s="13">
        <f t="shared" si="2"/>
        <v>60</v>
      </c>
      <c r="J3" s="13">
        <f t="shared" si="3"/>
        <v>60</v>
      </c>
      <c r="K3" s="15">
        <f t="shared" si="4"/>
        <v>999000</v>
      </c>
      <c r="L3" s="13">
        <f t="shared" si="5"/>
        <v>1208820</v>
      </c>
      <c r="M3" s="13">
        <f t="shared" si="6"/>
        <v>33.75</v>
      </c>
      <c r="N3" s="13">
        <f t="shared" si="7"/>
        <v>29.89</v>
      </c>
      <c r="O3" s="13">
        <f t="shared" ref="O3:P3" si="8">M3*F3</f>
        <v>561937.5</v>
      </c>
      <c r="P3" s="13">
        <f t="shared" si="8"/>
        <v>602193.83</v>
      </c>
      <c r="Q3" s="13"/>
    </row>
    <row r="4" ht="15.75" customHeight="1">
      <c r="A4" s="13" t="s">
        <v>37</v>
      </c>
      <c r="B4" s="13" t="str">
        <f t="array" ref="B4">XLOOKUP(A4,Abbreviation!$A$17:$A$22,Abbreviation!$B$17:$B$22)</f>
        <v>January</v>
      </c>
      <c r="C4" s="13" t="str">
        <f t="array" ref="C4">XLOOKUP(D4,'Regional Details'!$B$14:$B$29,'Regional Details'!$A$14:$A$29)</f>
        <v>East</v>
      </c>
      <c r="D4" s="13" t="s">
        <v>13</v>
      </c>
      <c r="E4" s="13" t="s">
        <v>31</v>
      </c>
      <c r="F4" s="13">
        <v>11470.0</v>
      </c>
      <c r="G4" s="13">
        <v>12617.0</v>
      </c>
      <c r="H4" s="14">
        <f t="array" ref="H4">XLOOKUP(D4,'Regional Details'!$B$14:$B$29,'Regional Details'!$C$14:$C$29)</f>
        <v>0</v>
      </c>
      <c r="I4" s="13">
        <f t="shared" si="2"/>
        <v>135</v>
      </c>
      <c r="J4" s="13">
        <f t="shared" si="3"/>
        <v>135</v>
      </c>
      <c r="K4" s="15">
        <f t="shared" si="4"/>
        <v>1548450</v>
      </c>
      <c r="L4" s="13">
        <f t="shared" si="5"/>
        <v>1703295</v>
      </c>
      <c r="M4" s="13">
        <f t="shared" si="6"/>
        <v>74.03</v>
      </c>
      <c r="N4" s="13">
        <f t="shared" si="7"/>
        <v>73.16</v>
      </c>
      <c r="O4" s="13">
        <f t="shared" ref="O4:P4" si="9">M4*F4</f>
        <v>849124.1</v>
      </c>
      <c r="P4" s="13">
        <f t="shared" si="9"/>
        <v>923059.72</v>
      </c>
      <c r="Q4" s="13"/>
    </row>
    <row r="5" ht="15.75" customHeight="1">
      <c r="A5" s="13" t="s">
        <v>37</v>
      </c>
      <c r="B5" s="13" t="str">
        <f t="array" ref="B5">XLOOKUP(A5,Abbreviation!$A$17:$A$22,Abbreviation!$B$17:$B$22)</f>
        <v>January</v>
      </c>
      <c r="C5" s="13" t="str">
        <f t="array" ref="C5">XLOOKUP(D5,'Regional Details'!$B$14:$B$29,'Regional Details'!$A$14:$A$29)</f>
        <v>East</v>
      </c>
      <c r="D5" s="13" t="s">
        <v>13</v>
      </c>
      <c r="E5" s="13" t="s">
        <v>29</v>
      </c>
      <c r="F5" s="13">
        <v>22348.0</v>
      </c>
      <c r="G5" s="13">
        <v>27488.0</v>
      </c>
      <c r="H5" s="14">
        <f t="array" ref="H5">XLOOKUP(D5,'Regional Details'!$B$14:$B$29,'Regional Details'!$C$14:$C$29)</f>
        <v>0</v>
      </c>
      <c r="I5" s="13">
        <f t="shared" si="2"/>
        <v>60</v>
      </c>
      <c r="J5" s="13">
        <f t="shared" si="3"/>
        <v>60</v>
      </c>
      <c r="K5" s="15">
        <f t="shared" si="4"/>
        <v>1340880</v>
      </c>
      <c r="L5" s="13">
        <f t="shared" si="5"/>
        <v>1649280</v>
      </c>
      <c r="M5" s="13">
        <f t="shared" si="6"/>
        <v>33.75</v>
      </c>
      <c r="N5" s="13">
        <f t="shared" si="7"/>
        <v>29.89</v>
      </c>
      <c r="O5" s="13">
        <f t="shared" ref="O5:P5" si="10">M5*F5</f>
        <v>754245</v>
      </c>
      <c r="P5" s="13">
        <f t="shared" si="10"/>
        <v>821616.32</v>
      </c>
      <c r="Q5" s="13"/>
    </row>
    <row r="6" ht="15.75" customHeight="1">
      <c r="A6" s="13" t="s">
        <v>37</v>
      </c>
      <c r="B6" s="13" t="str">
        <f t="array" ref="B6">XLOOKUP(A6,Abbreviation!$A$17:$A$22,Abbreviation!$B$17:$B$22)</f>
        <v>January</v>
      </c>
      <c r="C6" s="13" t="str">
        <f t="array" ref="C6">XLOOKUP(D6,'Regional Details'!$B$14:$B$29,'Regional Details'!$A$14:$A$29)</f>
        <v>West</v>
      </c>
      <c r="D6" s="13" t="s">
        <v>14</v>
      </c>
      <c r="E6" s="13" t="s">
        <v>31</v>
      </c>
      <c r="F6" s="13">
        <v>13727.0</v>
      </c>
      <c r="G6" s="13">
        <v>15649.0</v>
      </c>
      <c r="H6" s="14">
        <f t="array" ref="H6">XLOOKUP(D6,'Regional Details'!$B$14:$B$29,'Regional Details'!$C$14:$C$29)</f>
        <v>0</v>
      </c>
      <c r="I6" s="13">
        <f t="shared" si="2"/>
        <v>135</v>
      </c>
      <c r="J6" s="13">
        <f t="shared" si="3"/>
        <v>135</v>
      </c>
      <c r="K6" s="15">
        <f t="shared" si="4"/>
        <v>1853145</v>
      </c>
      <c r="L6" s="13">
        <f t="shared" si="5"/>
        <v>2112615</v>
      </c>
      <c r="M6" s="13">
        <f t="shared" si="6"/>
        <v>74.03</v>
      </c>
      <c r="N6" s="13">
        <f t="shared" si="7"/>
        <v>73.16</v>
      </c>
      <c r="O6" s="13">
        <f t="shared" ref="O6:P6" si="11">M6*F6</f>
        <v>1016209.81</v>
      </c>
      <c r="P6" s="13">
        <f t="shared" si="11"/>
        <v>1144880.84</v>
      </c>
      <c r="Q6" s="13"/>
    </row>
    <row r="7" ht="15.75" customHeight="1">
      <c r="A7" s="13" t="s">
        <v>37</v>
      </c>
      <c r="B7" s="13" t="str">
        <f t="array" ref="B7">XLOOKUP(A7,Abbreviation!$A$17:$A$22,Abbreviation!$B$17:$B$22)</f>
        <v>January</v>
      </c>
      <c r="C7" s="13" t="str">
        <f t="array" ref="C7">XLOOKUP(D7,'Regional Details'!$B$14:$B$29,'Regional Details'!$A$14:$A$29)</f>
        <v>West</v>
      </c>
      <c r="D7" s="13" t="s">
        <v>14</v>
      </c>
      <c r="E7" s="13" t="s">
        <v>29</v>
      </c>
      <c r="F7" s="13">
        <v>15799.0</v>
      </c>
      <c r="G7" s="13">
        <v>19275.0</v>
      </c>
      <c r="H7" s="14">
        <f t="array" ref="H7">XLOOKUP(D7,'Regional Details'!$B$14:$B$29,'Regional Details'!$C$14:$C$29)</f>
        <v>0</v>
      </c>
      <c r="I7" s="13">
        <f t="shared" si="2"/>
        <v>60</v>
      </c>
      <c r="J7" s="13">
        <f t="shared" si="3"/>
        <v>60</v>
      </c>
      <c r="K7" s="15">
        <f t="shared" si="4"/>
        <v>947940</v>
      </c>
      <c r="L7" s="13">
        <f t="shared" si="5"/>
        <v>1156500</v>
      </c>
      <c r="M7" s="13">
        <f t="shared" si="6"/>
        <v>33.75</v>
      </c>
      <c r="N7" s="13">
        <f t="shared" si="7"/>
        <v>29.89</v>
      </c>
      <c r="O7" s="13">
        <f t="shared" ref="O7:P7" si="12">M7*F7</f>
        <v>533216.25</v>
      </c>
      <c r="P7" s="13">
        <f t="shared" si="12"/>
        <v>576129.75</v>
      </c>
      <c r="Q7" s="13"/>
    </row>
    <row r="8" ht="15.75" customHeight="1">
      <c r="A8" s="13" t="s">
        <v>37</v>
      </c>
      <c r="B8" s="13" t="str">
        <f t="array" ref="B8">XLOOKUP(A8,Abbreviation!$A$17:$A$22,Abbreviation!$B$17:$B$22)</f>
        <v>January</v>
      </c>
      <c r="C8" s="13" t="str">
        <f t="array" ref="C8">XLOOKUP(D8,'Regional Details'!$B$14:$B$29,'Regional Details'!$A$14:$A$29)</f>
        <v>South</v>
      </c>
      <c r="D8" s="13" t="s">
        <v>15</v>
      </c>
      <c r="E8" s="13" t="s">
        <v>31</v>
      </c>
      <c r="F8" s="13">
        <v>24827.0</v>
      </c>
      <c r="G8" s="13">
        <v>30537.0</v>
      </c>
      <c r="H8" s="14">
        <f t="array" ref="H8">XLOOKUP(D8,'Regional Details'!$B$14:$B$29,'Regional Details'!$C$14:$C$29)</f>
        <v>0</v>
      </c>
      <c r="I8" s="13">
        <f t="shared" si="2"/>
        <v>135</v>
      </c>
      <c r="J8" s="13">
        <f t="shared" si="3"/>
        <v>135</v>
      </c>
      <c r="K8" s="15">
        <f t="shared" si="4"/>
        <v>3351645</v>
      </c>
      <c r="L8" s="13">
        <f t="shared" si="5"/>
        <v>4122495</v>
      </c>
      <c r="M8" s="13">
        <f t="shared" si="6"/>
        <v>74.03</v>
      </c>
      <c r="N8" s="13">
        <f t="shared" si="7"/>
        <v>73.16</v>
      </c>
      <c r="O8" s="13">
        <f t="shared" ref="O8:P8" si="13">M8*F8</f>
        <v>1837942.81</v>
      </c>
      <c r="P8" s="13">
        <f t="shared" si="13"/>
        <v>2234086.92</v>
      </c>
      <c r="Q8" s="13"/>
    </row>
    <row r="9" ht="15.75" customHeight="1">
      <c r="A9" s="13" t="s">
        <v>37</v>
      </c>
      <c r="B9" s="13" t="str">
        <f t="array" ref="B9">XLOOKUP(A9,Abbreviation!$A$17:$A$22,Abbreviation!$B$17:$B$22)</f>
        <v>January</v>
      </c>
      <c r="C9" s="13" t="str">
        <f t="array" ref="C9">XLOOKUP(D9,'Regional Details'!$B$14:$B$29,'Regional Details'!$A$14:$A$29)</f>
        <v>South</v>
      </c>
      <c r="D9" s="13" t="s">
        <v>15</v>
      </c>
      <c r="E9" s="13" t="s">
        <v>29</v>
      </c>
      <c r="F9" s="13">
        <v>13468.0</v>
      </c>
      <c r="G9" s="13">
        <v>14949.0</v>
      </c>
      <c r="H9" s="14">
        <f t="array" ref="H9">XLOOKUP(D9,'Regional Details'!$B$14:$B$29,'Regional Details'!$C$14:$C$29)</f>
        <v>0</v>
      </c>
      <c r="I9" s="13">
        <f t="shared" si="2"/>
        <v>60</v>
      </c>
      <c r="J9" s="13">
        <f t="shared" si="3"/>
        <v>60</v>
      </c>
      <c r="K9" s="15">
        <f t="shared" si="4"/>
        <v>808080</v>
      </c>
      <c r="L9" s="13">
        <f t="shared" si="5"/>
        <v>896940</v>
      </c>
      <c r="M9" s="13">
        <f t="shared" si="6"/>
        <v>33.75</v>
      </c>
      <c r="N9" s="13">
        <f t="shared" si="7"/>
        <v>29.89</v>
      </c>
      <c r="O9" s="13">
        <f t="shared" ref="O9:P9" si="14">M9*F9</f>
        <v>454545</v>
      </c>
      <c r="P9" s="13">
        <f t="shared" si="14"/>
        <v>446825.61</v>
      </c>
      <c r="Q9" s="13"/>
    </row>
    <row r="10" ht="15.75" customHeight="1">
      <c r="A10" s="13" t="s">
        <v>37</v>
      </c>
      <c r="B10" s="13" t="str">
        <f t="array" ref="B10">XLOOKUP(A10,Abbreviation!$A$17:$A$22,Abbreviation!$B$17:$B$22)</f>
        <v>January</v>
      </c>
      <c r="C10" s="13" t="str">
        <f t="array" ref="C10">XLOOKUP(D10,'Regional Details'!$B$14:$B$29,'Regional Details'!$A$14:$A$29)</f>
        <v>North</v>
      </c>
      <c r="D10" s="13" t="s">
        <v>16</v>
      </c>
      <c r="E10" s="13" t="s">
        <v>31</v>
      </c>
      <c r="F10" s="13">
        <v>22237.0</v>
      </c>
      <c r="G10" s="13">
        <v>24683.0</v>
      </c>
      <c r="H10" s="14">
        <f t="array" ref="H10">XLOOKUP(D10,'Regional Details'!$B$14:$B$29,'Regional Details'!$C$14:$C$29)</f>
        <v>0</v>
      </c>
      <c r="I10" s="13">
        <f t="shared" si="2"/>
        <v>135</v>
      </c>
      <c r="J10" s="13">
        <f t="shared" si="3"/>
        <v>135</v>
      </c>
      <c r="K10" s="15">
        <f t="shared" si="4"/>
        <v>3001995</v>
      </c>
      <c r="L10" s="13">
        <f t="shared" si="5"/>
        <v>3332205</v>
      </c>
      <c r="M10" s="13">
        <f t="shared" si="6"/>
        <v>74.03</v>
      </c>
      <c r="N10" s="13">
        <f t="shared" si="7"/>
        <v>73.16</v>
      </c>
      <c r="O10" s="13">
        <f t="shared" ref="O10:P10" si="15">M10*F10</f>
        <v>1646205.11</v>
      </c>
      <c r="P10" s="13">
        <f t="shared" si="15"/>
        <v>1805808.28</v>
      </c>
      <c r="Q10" s="13"/>
    </row>
    <row r="11" ht="15.75" customHeight="1">
      <c r="A11" s="13" t="s">
        <v>37</v>
      </c>
      <c r="B11" s="13" t="str">
        <f t="array" ref="B11">XLOOKUP(A11,Abbreviation!$A$17:$A$22,Abbreviation!$B$17:$B$22)</f>
        <v>January</v>
      </c>
      <c r="C11" s="13" t="str">
        <f t="array" ref="C11">XLOOKUP(D11,'Regional Details'!$B$14:$B$29,'Regional Details'!$A$14:$A$29)</f>
        <v>North</v>
      </c>
      <c r="D11" s="13" t="s">
        <v>16</v>
      </c>
      <c r="E11" s="13" t="s">
        <v>29</v>
      </c>
      <c r="F11" s="13">
        <v>23421.0</v>
      </c>
      <c r="G11" s="13">
        <v>29042.0</v>
      </c>
      <c r="H11" s="14">
        <f t="array" ref="H11">XLOOKUP(D11,'Regional Details'!$B$14:$B$29,'Regional Details'!$C$14:$C$29)</f>
        <v>0</v>
      </c>
      <c r="I11" s="13">
        <f t="shared" si="2"/>
        <v>60</v>
      </c>
      <c r="J11" s="13">
        <f t="shared" si="3"/>
        <v>60</v>
      </c>
      <c r="K11" s="15">
        <f t="shared" si="4"/>
        <v>1405260</v>
      </c>
      <c r="L11" s="13">
        <f t="shared" si="5"/>
        <v>1742520</v>
      </c>
      <c r="M11" s="13">
        <f t="shared" si="6"/>
        <v>33.75</v>
      </c>
      <c r="N11" s="13">
        <f t="shared" si="7"/>
        <v>29.89</v>
      </c>
      <c r="O11" s="13">
        <f t="shared" ref="O11:P11" si="16">M11*F11</f>
        <v>790458.75</v>
      </c>
      <c r="P11" s="13">
        <f t="shared" si="16"/>
        <v>868065.38</v>
      </c>
      <c r="Q11" s="13"/>
    </row>
    <row r="12" ht="15.75" customHeight="1">
      <c r="A12" s="13" t="s">
        <v>37</v>
      </c>
      <c r="B12" s="13" t="str">
        <f t="array" ref="B12">XLOOKUP(A12,Abbreviation!$A$17:$A$22,Abbreviation!$B$17:$B$22)</f>
        <v>January</v>
      </c>
      <c r="C12" s="13" t="str">
        <f t="array" ref="C12">XLOOKUP(D12,'Regional Details'!$B$14:$B$29,'Regional Details'!$A$14:$A$29)</f>
        <v>East</v>
      </c>
      <c r="D12" s="13" t="s">
        <v>17</v>
      </c>
      <c r="E12" s="13" t="s">
        <v>31</v>
      </c>
      <c r="F12" s="13">
        <v>13092.0</v>
      </c>
      <c r="G12" s="13">
        <v>13878.0</v>
      </c>
      <c r="H12" s="16">
        <f t="array" ref="H12">XLOOKUP(D12,'Regional Details'!$B$14:$B$29,'Regional Details'!$C$14:$C$29)</f>
        <v>0.125</v>
      </c>
      <c r="I12" s="13">
        <f t="shared" si="2"/>
        <v>135</v>
      </c>
      <c r="J12" s="13">
        <f t="shared" si="3"/>
        <v>118.125</v>
      </c>
      <c r="K12" s="15">
        <f t="shared" si="4"/>
        <v>1546492.5</v>
      </c>
      <c r="L12" s="13">
        <f t="shared" si="5"/>
        <v>1873530</v>
      </c>
      <c r="M12" s="13">
        <f t="shared" si="6"/>
        <v>74.03</v>
      </c>
      <c r="N12" s="13">
        <f t="shared" si="7"/>
        <v>73.16</v>
      </c>
      <c r="O12" s="13">
        <f t="shared" ref="O12:P12" si="17">M12*F12</f>
        <v>969200.76</v>
      </c>
      <c r="P12" s="13">
        <f t="shared" si="17"/>
        <v>1015314.48</v>
      </c>
      <c r="Q12" s="13"/>
    </row>
    <row r="13" ht="15.75" customHeight="1">
      <c r="A13" s="13" t="s">
        <v>37</v>
      </c>
      <c r="B13" s="13" t="str">
        <f t="array" ref="B13">XLOOKUP(A13,Abbreviation!$A$17:$A$22,Abbreviation!$B$17:$B$22)</f>
        <v>January</v>
      </c>
      <c r="C13" s="13" t="str">
        <f t="array" ref="C13">XLOOKUP(D13,'Regional Details'!$B$14:$B$29,'Regional Details'!$A$14:$A$29)</f>
        <v>East</v>
      </c>
      <c r="D13" s="13" t="s">
        <v>17</v>
      </c>
      <c r="E13" s="13" t="s">
        <v>29</v>
      </c>
      <c r="F13" s="13">
        <v>17172.0</v>
      </c>
      <c r="G13" s="13">
        <v>18546.0</v>
      </c>
      <c r="H13" s="16">
        <f t="array" ref="H13">XLOOKUP(D13,'Regional Details'!$B$14:$B$29,'Regional Details'!$C$14:$C$29)</f>
        <v>0.125</v>
      </c>
      <c r="I13" s="13">
        <f t="shared" si="2"/>
        <v>60</v>
      </c>
      <c r="J13" s="13">
        <f t="shared" si="3"/>
        <v>52.5</v>
      </c>
      <c r="K13" s="15">
        <f t="shared" si="4"/>
        <v>901530</v>
      </c>
      <c r="L13" s="13">
        <f t="shared" si="5"/>
        <v>1112760</v>
      </c>
      <c r="M13" s="13">
        <f t="shared" si="6"/>
        <v>33.75</v>
      </c>
      <c r="N13" s="13">
        <f t="shared" si="7"/>
        <v>29.89</v>
      </c>
      <c r="O13" s="13">
        <f t="shared" ref="O13:P13" si="18">M13*F13</f>
        <v>579555</v>
      </c>
      <c r="P13" s="13">
        <f t="shared" si="18"/>
        <v>554339.94</v>
      </c>
      <c r="Q13" s="13"/>
    </row>
    <row r="14" ht="15.75" customHeight="1">
      <c r="A14" s="13" t="s">
        <v>37</v>
      </c>
      <c r="B14" s="13" t="str">
        <f t="array" ref="B14">XLOOKUP(A14,Abbreviation!$A$17:$A$22,Abbreviation!$B$17:$B$22)</f>
        <v>January</v>
      </c>
      <c r="C14" s="13" t="str">
        <f t="array" ref="C14">XLOOKUP(D14,'Regional Details'!$B$14:$B$29,'Regional Details'!$A$14:$A$29)</f>
        <v>West</v>
      </c>
      <c r="D14" s="13" t="s">
        <v>18</v>
      </c>
      <c r="E14" s="13" t="s">
        <v>31</v>
      </c>
      <c r="F14" s="13">
        <v>19536.0</v>
      </c>
      <c r="G14" s="13">
        <v>23248.0</v>
      </c>
      <c r="H14" s="14">
        <f t="array" ref="H14">XLOOKUP(D14,'Regional Details'!$B$14:$B$29,'Regional Details'!$C$14:$C$29)</f>
        <v>0</v>
      </c>
      <c r="I14" s="13">
        <f t="shared" si="2"/>
        <v>135</v>
      </c>
      <c r="J14" s="13">
        <f t="shared" si="3"/>
        <v>135</v>
      </c>
      <c r="K14" s="15">
        <f t="shared" si="4"/>
        <v>2637360</v>
      </c>
      <c r="L14" s="13">
        <f t="shared" si="5"/>
        <v>3138480</v>
      </c>
      <c r="M14" s="13">
        <f t="shared" si="6"/>
        <v>74.03</v>
      </c>
      <c r="N14" s="13">
        <f t="shared" si="7"/>
        <v>73.16</v>
      </c>
      <c r="O14" s="13">
        <f t="shared" ref="O14:P14" si="19">M14*F14</f>
        <v>1446250.08</v>
      </c>
      <c r="P14" s="13">
        <f t="shared" si="19"/>
        <v>1700823.68</v>
      </c>
      <c r="Q14" s="13"/>
    </row>
    <row r="15" ht="15.75" customHeight="1">
      <c r="A15" s="13" t="s">
        <v>37</v>
      </c>
      <c r="B15" s="13" t="str">
        <f t="array" ref="B15">XLOOKUP(A15,Abbreviation!$A$17:$A$22,Abbreviation!$B$17:$B$22)</f>
        <v>January</v>
      </c>
      <c r="C15" s="13" t="str">
        <f t="array" ref="C15">XLOOKUP(D15,'Regional Details'!$B$14:$B$29,'Regional Details'!$A$14:$A$29)</f>
        <v>West</v>
      </c>
      <c r="D15" s="13" t="s">
        <v>18</v>
      </c>
      <c r="E15" s="13" t="s">
        <v>29</v>
      </c>
      <c r="F15" s="13">
        <v>11359.0</v>
      </c>
      <c r="G15" s="13">
        <v>13176.0</v>
      </c>
      <c r="H15" s="14">
        <f t="array" ref="H15">XLOOKUP(D15,'Regional Details'!$B$14:$B$29,'Regional Details'!$C$14:$C$29)</f>
        <v>0</v>
      </c>
      <c r="I15" s="13">
        <f t="shared" si="2"/>
        <v>60</v>
      </c>
      <c r="J15" s="13">
        <f t="shared" si="3"/>
        <v>60</v>
      </c>
      <c r="K15" s="15">
        <f t="shared" si="4"/>
        <v>681540</v>
      </c>
      <c r="L15" s="13">
        <f t="shared" si="5"/>
        <v>790560</v>
      </c>
      <c r="M15" s="13">
        <f t="shared" si="6"/>
        <v>33.75</v>
      </c>
      <c r="N15" s="13">
        <f t="shared" si="7"/>
        <v>29.89</v>
      </c>
      <c r="O15" s="13">
        <f t="shared" ref="O15:P15" si="20">M15*F15</f>
        <v>383366.25</v>
      </c>
      <c r="P15" s="13">
        <f t="shared" si="20"/>
        <v>393830.64</v>
      </c>
      <c r="Q15" s="13"/>
    </row>
    <row r="16" ht="15.75" customHeight="1">
      <c r="A16" s="13" t="s">
        <v>37</v>
      </c>
      <c r="B16" s="13" t="str">
        <f t="array" ref="B16">XLOOKUP(A16,Abbreviation!$A$17:$A$22,Abbreviation!$B$17:$B$22)</f>
        <v>January</v>
      </c>
      <c r="C16" s="13" t="str">
        <f t="array" ref="C16">XLOOKUP(D16,'Regional Details'!$B$14:$B$29,'Regional Details'!$A$14:$A$29)</f>
        <v>South</v>
      </c>
      <c r="D16" s="13" t="s">
        <v>19</v>
      </c>
      <c r="E16" s="13" t="s">
        <v>31</v>
      </c>
      <c r="F16" s="13">
        <v>12062.0</v>
      </c>
      <c r="G16" s="13">
        <v>13268.0</v>
      </c>
      <c r="H16" s="14">
        <f t="array" ref="H16">XLOOKUP(D16,'Regional Details'!$B$14:$B$29,'Regional Details'!$C$14:$C$29)</f>
        <v>0</v>
      </c>
      <c r="I16" s="13">
        <f t="shared" si="2"/>
        <v>135</v>
      </c>
      <c r="J16" s="13">
        <f t="shared" si="3"/>
        <v>135</v>
      </c>
      <c r="K16" s="15">
        <f t="shared" si="4"/>
        <v>1628370</v>
      </c>
      <c r="L16" s="13">
        <f t="shared" si="5"/>
        <v>1791180</v>
      </c>
      <c r="M16" s="13">
        <f t="shared" si="6"/>
        <v>74.03</v>
      </c>
      <c r="N16" s="13">
        <f t="shared" si="7"/>
        <v>73.16</v>
      </c>
      <c r="O16" s="13">
        <f t="shared" ref="O16:P16" si="21">M16*F16</f>
        <v>892949.86</v>
      </c>
      <c r="P16" s="13">
        <f t="shared" si="21"/>
        <v>970686.88</v>
      </c>
      <c r="Q16" s="13"/>
    </row>
    <row r="17" ht="15.75" customHeight="1">
      <c r="A17" s="13" t="s">
        <v>37</v>
      </c>
      <c r="B17" s="13" t="str">
        <f t="array" ref="B17">XLOOKUP(A17,Abbreviation!$A$17:$A$22,Abbreviation!$B$17:$B$22)</f>
        <v>January</v>
      </c>
      <c r="C17" s="13" t="str">
        <f t="array" ref="C17">XLOOKUP(D17,'Regional Details'!$B$14:$B$29,'Regional Details'!$A$14:$A$29)</f>
        <v>South</v>
      </c>
      <c r="D17" s="13" t="s">
        <v>19</v>
      </c>
      <c r="E17" s="13" t="s">
        <v>29</v>
      </c>
      <c r="F17" s="13">
        <v>13579.0</v>
      </c>
      <c r="G17" s="13">
        <v>16702.0</v>
      </c>
      <c r="H17" s="14">
        <f t="array" ref="H17">XLOOKUP(D17,'Regional Details'!$B$14:$B$29,'Regional Details'!$C$14:$C$29)</f>
        <v>0</v>
      </c>
      <c r="I17" s="13">
        <f t="shared" si="2"/>
        <v>60</v>
      </c>
      <c r="J17" s="13">
        <f t="shared" si="3"/>
        <v>60</v>
      </c>
      <c r="K17" s="15">
        <f t="shared" si="4"/>
        <v>814740</v>
      </c>
      <c r="L17" s="13">
        <f t="shared" si="5"/>
        <v>1002120</v>
      </c>
      <c r="M17" s="13">
        <f t="shared" si="6"/>
        <v>33.75</v>
      </c>
      <c r="N17" s="13">
        <f t="shared" si="7"/>
        <v>29.89</v>
      </c>
      <c r="O17" s="13">
        <f t="shared" ref="O17:P17" si="22">M17*F17</f>
        <v>458291.25</v>
      </c>
      <c r="P17" s="13">
        <f t="shared" si="22"/>
        <v>499222.78</v>
      </c>
      <c r="Q17" s="13"/>
    </row>
    <row r="18" ht="15.75" customHeight="1">
      <c r="A18" s="13" t="s">
        <v>37</v>
      </c>
      <c r="B18" s="13" t="str">
        <f t="array" ref="B18">XLOOKUP(A18,Abbreviation!$A$17:$A$22,Abbreviation!$B$17:$B$22)</f>
        <v>January</v>
      </c>
      <c r="C18" s="13" t="str">
        <f t="array" ref="C18">XLOOKUP(D18,'Regional Details'!$B$14:$B$29,'Regional Details'!$A$14:$A$29)</f>
        <v>North</v>
      </c>
      <c r="D18" s="13" t="s">
        <v>20</v>
      </c>
      <c r="E18" s="13" t="s">
        <v>31</v>
      </c>
      <c r="F18" s="13">
        <v>22339.0</v>
      </c>
      <c r="G18" s="13">
        <v>25913.0</v>
      </c>
      <c r="H18" s="14">
        <f t="array" ref="H18">XLOOKUP(D18,'Regional Details'!$B$14:$B$29,'Regional Details'!$C$14:$C$29)</f>
        <v>0.1</v>
      </c>
      <c r="I18" s="13">
        <f t="shared" si="2"/>
        <v>135</v>
      </c>
      <c r="J18" s="13">
        <f t="shared" si="3"/>
        <v>121.5</v>
      </c>
      <c r="K18" s="15">
        <f t="shared" si="4"/>
        <v>2714188.5</v>
      </c>
      <c r="L18" s="13">
        <f t="shared" si="5"/>
        <v>3498255</v>
      </c>
      <c r="M18" s="13">
        <f t="shared" si="6"/>
        <v>74.03</v>
      </c>
      <c r="N18" s="13">
        <f t="shared" si="7"/>
        <v>73.16</v>
      </c>
      <c r="O18" s="13">
        <f t="shared" ref="O18:P18" si="23">M18*F18</f>
        <v>1653756.17</v>
      </c>
      <c r="P18" s="13">
        <f t="shared" si="23"/>
        <v>1895795.08</v>
      </c>
      <c r="Q18" s="13"/>
    </row>
    <row r="19" ht="15.75" customHeight="1">
      <c r="A19" s="13" t="s">
        <v>37</v>
      </c>
      <c r="B19" s="13" t="str">
        <f t="array" ref="B19">XLOOKUP(A19,Abbreviation!$A$17:$A$22,Abbreviation!$B$17:$B$22)</f>
        <v>January</v>
      </c>
      <c r="C19" s="13" t="str">
        <f t="array" ref="C19">XLOOKUP(D19,'Regional Details'!$B$14:$B$29,'Regional Details'!$A$14:$A$29)</f>
        <v>North</v>
      </c>
      <c r="D19" s="13" t="s">
        <v>20</v>
      </c>
      <c r="E19" s="13" t="s">
        <v>29</v>
      </c>
      <c r="F19" s="13">
        <v>19542.0</v>
      </c>
      <c r="G19" s="13">
        <v>22082.0</v>
      </c>
      <c r="H19" s="14">
        <f t="array" ref="H19">XLOOKUP(D19,'Regional Details'!$B$14:$B$29,'Regional Details'!$C$14:$C$29)</f>
        <v>0.1</v>
      </c>
      <c r="I19" s="13">
        <f t="shared" si="2"/>
        <v>60</v>
      </c>
      <c r="J19" s="13">
        <f t="shared" si="3"/>
        <v>54</v>
      </c>
      <c r="K19" s="15">
        <f t="shared" si="4"/>
        <v>1055268</v>
      </c>
      <c r="L19" s="13">
        <f t="shared" si="5"/>
        <v>1324920</v>
      </c>
      <c r="M19" s="13">
        <f t="shared" si="6"/>
        <v>33.75</v>
      </c>
      <c r="N19" s="13">
        <f t="shared" si="7"/>
        <v>29.89</v>
      </c>
      <c r="O19" s="13">
        <f t="shared" ref="O19:P19" si="24">M19*F19</f>
        <v>659542.5</v>
      </c>
      <c r="P19" s="13">
        <f t="shared" si="24"/>
        <v>660030.98</v>
      </c>
      <c r="Q19" s="13"/>
    </row>
    <row r="20" ht="15.75" customHeight="1">
      <c r="A20" s="13" t="s">
        <v>37</v>
      </c>
      <c r="B20" s="13" t="str">
        <f t="array" ref="B20">XLOOKUP(A20,Abbreviation!$A$17:$A$22,Abbreviation!$B$17:$B$22)</f>
        <v>January</v>
      </c>
      <c r="C20" s="13" t="str">
        <f t="array" ref="C20">XLOOKUP(D20,'Regional Details'!$B$14:$B$29,'Regional Details'!$A$14:$A$29)</f>
        <v>East</v>
      </c>
      <c r="D20" s="13" t="s">
        <v>21</v>
      </c>
      <c r="E20" s="13" t="s">
        <v>31</v>
      </c>
      <c r="F20" s="13">
        <v>25253.0</v>
      </c>
      <c r="G20" s="13">
        <v>27273.0</v>
      </c>
      <c r="H20" s="14">
        <f t="array" ref="H20">XLOOKUP(D20,'Regional Details'!$B$14:$B$29,'Regional Details'!$C$14:$C$29)</f>
        <v>0.05</v>
      </c>
      <c r="I20" s="13">
        <f t="shared" si="2"/>
        <v>135</v>
      </c>
      <c r="J20" s="13">
        <f t="shared" si="3"/>
        <v>128.25</v>
      </c>
      <c r="K20" s="15">
        <f t="shared" si="4"/>
        <v>3238697.25</v>
      </c>
      <c r="L20" s="13">
        <f t="shared" si="5"/>
        <v>3681855</v>
      </c>
      <c r="M20" s="13">
        <f t="shared" si="6"/>
        <v>74.03</v>
      </c>
      <c r="N20" s="13">
        <f t="shared" si="7"/>
        <v>73.16</v>
      </c>
      <c r="O20" s="13">
        <f t="shared" ref="O20:P20" si="25">M20*F20</f>
        <v>1869479.59</v>
      </c>
      <c r="P20" s="13">
        <f t="shared" si="25"/>
        <v>1995292.68</v>
      </c>
      <c r="Q20" s="13"/>
    </row>
    <row r="21" ht="15.75" customHeight="1">
      <c r="A21" s="13" t="s">
        <v>37</v>
      </c>
      <c r="B21" s="13" t="str">
        <f t="array" ref="B21">XLOOKUP(A21,Abbreviation!$A$17:$A$22,Abbreviation!$B$17:$B$22)</f>
        <v>January</v>
      </c>
      <c r="C21" s="13" t="str">
        <f t="array" ref="C21">XLOOKUP(D21,'Regional Details'!$B$14:$B$29,'Regional Details'!$A$14:$A$29)</f>
        <v>East</v>
      </c>
      <c r="D21" s="13" t="s">
        <v>21</v>
      </c>
      <c r="E21" s="13" t="s">
        <v>29</v>
      </c>
      <c r="F21" s="13">
        <v>15890.0</v>
      </c>
      <c r="G21" s="13">
        <v>16208.0</v>
      </c>
      <c r="H21" s="14">
        <f t="array" ref="H21">XLOOKUP(D21,'Regional Details'!$B$14:$B$29,'Regional Details'!$C$14:$C$29)</f>
        <v>0.05</v>
      </c>
      <c r="I21" s="13">
        <f t="shared" si="2"/>
        <v>60</v>
      </c>
      <c r="J21" s="13">
        <f t="shared" si="3"/>
        <v>57</v>
      </c>
      <c r="K21" s="15">
        <f t="shared" si="4"/>
        <v>905730</v>
      </c>
      <c r="L21" s="13">
        <f t="shared" si="5"/>
        <v>972480</v>
      </c>
      <c r="M21" s="13">
        <f t="shared" si="6"/>
        <v>33.75</v>
      </c>
      <c r="N21" s="13">
        <f t="shared" si="7"/>
        <v>29.89</v>
      </c>
      <c r="O21" s="13">
        <f t="shared" ref="O21:P21" si="26">M21*F21</f>
        <v>536287.5</v>
      </c>
      <c r="P21" s="13">
        <f t="shared" si="26"/>
        <v>484457.12</v>
      </c>
      <c r="Q21" s="13"/>
    </row>
    <row r="22" ht="15.75" customHeight="1">
      <c r="A22" s="13" t="s">
        <v>37</v>
      </c>
      <c r="B22" s="13" t="str">
        <f t="array" ref="B22">XLOOKUP(A22,Abbreviation!$A$17:$A$22,Abbreviation!$B$17:$B$22)</f>
        <v>January</v>
      </c>
      <c r="C22" s="13" t="str">
        <f t="array" ref="C22">XLOOKUP(D22,'Regional Details'!$B$14:$B$29,'Regional Details'!$A$14:$A$29)</f>
        <v>West</v>
      </c>
      <c r="D22" s="13" t="s">
        <v>22</v>
      </c>
      <c r="E22" s="13" t="s">
        <v>31</v>
      </c>
      <c r="F22" s="13">
        <v>17834.0</v>
      </c>
      <c r="G22" s="13">
        <v>18547.0</v>
      </c>
      <c r="H22" s="14">
        <f t="array" ref="H22">XLOOKUP(D22,'Regional Details'!$B$14:$B$29,'Regional Details'!$C$14:$C$29)</f>
        <v>0.05</v>
      </c>
      <c r="I22" s="13">
        <f t="shared" si="2"/>
        <v>135</v>
      </c>
      <c r="J22" s="13">
        <f t="shared" si="3"/>
        <v>128.25</v>
      </c>
      <c r="K22" s="15">
        <f t="shared" si="4"/>
        <v>2287210.5</v>
      </c>
      <c r="L22" s="13">
        <f t="shared" si="5"/>
        <v>2503845</v>
      </c>
      <c r="M22" s="13">
        <f t="shared" si="6"/>
        <v>74.03</v>
      </c>
      <c r="N22" s="13">
        <f t="shared" si="7"/>
        <v>73.16</v>
      </c>
      <c r="O22" s="13">
        <f t="shared" ref="O22:P22" si="27">M22*F22</f>
        <v>1320251.02</v>
      </c>
      <c r="P22" s="13">
        <f t="shared" si="27"/>
        <v>1356898.52</v>
      </c>
      <c r="Q22" s="13"/>
    </row>
    <row r="23" ht="15.75" customHeight="1">
      <c r="A23" s="13" t="s">
        <v>37</v>
      </c>
      <c r="B23" s="13" t="str">
        <f t="array" ref="B23">XLOOKUP(A23,Abbreviation!$A$17:$A$22,Abbreviation!$B$17:$B$22)</f>
        <v>January</v>
      </c>
      <c r="C23" s="13" t="str">
        <f t="array" ref="C23">XLOOKUP(D23,'Regional Details'!$B$14:$B$29,'Regional Details'!$A$14:$A$29)</f>
        <v>West</v>
      </c>
      <c r="D23" s="13" t="s">
        <v>22</v>
      </c>
      <c r="E23" s="13" t="s">
        <v>29</v>
      </c>
      <c r="F23" s="13">
        <v>14097.0</v>
      </c>
      <c r="G23" s="13">
        <v>14943.0</v>
      </c>
      <c r="H23" s="14">
        <f t="array" ref="H23">XLOOKUP(D23,'Regional Details'!$B$14:$B$29,'Regional Details'!$C$14:$C$29)</f>
        <v>0.05</v>
      </c>
      <c r="I23" s="13">
        <f t="shared" si="2"/>
        <v>60</v>
      </c>
      <c r="J23" s="13">
        <f t="shared" si="3"/>
        <v>57</v>
      </c>
      <c r="K23" s="15">
        <f t="shared" si="4"/>
        <v>803529</v>
      </c>
      <c r="L23" s="13">
        <f t="shared" si="5"/>
        <v>896580</v>
      </c>
      <c r="M23" s="13">
        <f t="shared" si="6"/>
        <v>33.75</v>
      </c>
      <c r="N23" s="13">
        <f t="shared" si="7"/>
        <v>29.89</v>
      </c>
      <c r="O23" s="13">
        <f t="shared" ref="O23:P23" si="28">M23*F23</f>
        <v>475773.75</v>
      </c>
      <c r="P23" s="13">
        <f t="shared" si="28"/>
        <v>446646.27</v>
      </c>
      <c r="Q23" s="13"/>
    </row>
    <row r="24" ht="15.75" customHeight="1">
      <c r="A24" s="13" t="s">
        <v>37</v>
      </c>
      <c r="B24" s="13" t="str">
        <f t="array" ref="B24">XLOOKUP(A24,Abbreviation!$A$17:$A$22,Abbreviation!$B$17:$B$22)</f>
        <v>January</v>
      </c>
      <c r="C24" s="13" t="str">
        <f t="array" ref="C24">XLOOKUP(D24,'Regional Details'!$B$14:$B$29,'Regional Details'!$A$14:$A$29)</f>
        <v>South</v>
      </c>
      <c r="D24" s="13" t="s">
        <v>23</v>
      </c>
      <c r="E24" s="13" t="s">
        <v>31</v>
      </c>
      <c r="F24" s="13">
        <v>24642.0</v>
      </c>
      <c r="G24" s="13">
        <v>29078.0</v>
      </c>
      <c r="H24" s="14">
        <f t="array" ref="H24">XLOOKUP(D24,'Regional Details'!$B$14:$B$29,'Regional Details'!$C$14:$C$29)</f>
        <v>0</v>
      </c>
      <c r="I24" s="13">
        <f t="shared" si="2"/>
        <v>135</v>
      </c>
      <c r="J24" s="13">
        <f t="shared" si="3"/>
        <v>135</v>
      </c>
      <c r="K24" s="15">
        <f t="shared" si="4"/>
        <v>3326670</v>
      </c>
      <c r="L24" s="13">
        <f t="shared" si="5"/>
        <v>3925530</v>
      </c>
      <c r="M24" s="13">
        <f t="shared" si="6"/>
        <v>74.03</v>
      </c>
      <c r="N24" s="13">
        <f t="shared" si="7"/>
        <v>73.16</v>
      </c>
      <c r="O24" s="13">
        <f t="shared" ref="O24:P24" si="29">M24*F24</f>
        <v>1824247.26</v>
      </c>
      <c r="P24" s="13">
        <f t="shared" si="29"/>
        <v>2127346.48</v>
      </c>
      <c r="Q24" s="13"/>
    </row>
    <row r="25" ht="15.75" customHeight="1">
      <c r="A25" s="13" t="s">
        <v>37</v>
      </c>
      <c r="B25" s="13" t="str">
        <f t="array" ref="B25">XLOOKUP(A25,Abbreviation!$A$17:$A$22,Abbreviation!$B$17:$B$22)</f>
        <v>January</v>
      </c>
      <c r="C25" s="13" t="str">
        <f t="array" ref="C25">XLOOKUP(D25,'Regional Details'!$B$14:$B$29,'Regional Details'!$A$14:$A$29)</f>
        <v>South</v>
      </c>
      <c r="D25" s="13" t="s">
        <v>23</v>
      </c>
      <c r="E25" s="13" t="s">
        <v>29</v>
      </c>
      <c r="F25" s="13">
        <v>24864.0</v>
      </c>
      <c r="G25" s="13">
        <v>29588.0</v>
      </c>
      <c r="H25" s="14">
        <f t="array" ref="H25">XLOOKUP(D25,'Regional Details'!$B$14:$B$29,'Regional Details'!$C$14:$C$29)</f>
        <v>0</v>
      </c>
      <c r="I25" s="13">
        <f t="shared" si="2"/>
        <v>60</v>
      </c>
      <c r="J25" s="13">
        <f t="shared" si="3"/>
        <v>60</v>
      </c>
      <c r="K25" s="15">
        <f t="shared" si="4"/>
        <v>1491840</v>
      </c>
      <c r="L25" s="13">
        <f t="shared" si="5"/>
        <v>1775280</v>
      </c>
      <c r="M25" s="13">
        <f t="shared" si="6"/>
        <v>33.75</v>
      </c>
      <c r="N25" s="13">
        <f t="shared" si="7"/>
        <v>29.89</v>
      </c>
      <c r="O25" s="13">
        <f t="shared" ref="O25:P25" si="30">M25*F25</f>
        <v>839160</v>
      </c>
      <c r="P25" s="13">
        <f t="shared" si="30"/>
        <v>884385.32</v>
      </c>
      <c r="Q25" s="13"/>
    </row>
    <row r="26" ht="15.75" customHeight="1">
      <c r="A26" s="13" t="s">
        <v>37</v>
      </c>
      <c r="B26" s="13" t="str">
        <f t="array" ref="B26">XLOOKUP(A26,Abbreviation!$A$17:$A$22,Abbreviation!$B$17:$B$22)</f>
        <v>January</v>
      </c>
      <c r="C26" s="13" t="str">
        <f t="array" ref="C26">XLOOKUP(D26,'Regional Details'!$B$14:$B$29,'Regional Details'!$A$14:$A$29)</f>
        <v>North</v>
      </c>
      <c r="D26" s="13" t="s">
        <v>24</v>
      </c>
      <c r="E26" s="13" t="s">
        <v>31</v>
      </c>
      <c r="F26" s="13">
        <v>20824.0</v>
      </c>
      <c r="G26" s="13">
        <v>22490.0</v>
      </c>
      <c r="H26" s="16">
        <f t="array" ref="H26">XLOOKUP(D26,'Regional Details'!$B$14:$B$29,'Regional Details'!$C$14:$C$29)</f>
        <v>0.125</v>
      </c>
      <c r="I26" s="13">
        <f t="shared" si="2"/>
        <v>135</v>
      </c>
      <c r="J26" s="13">
        <f t="shared" si="3"/>
        <v>118.125</v>
      </c>
      <c r="K26" s="15">
        <f t="shared" si="4"/>
        <v>2459835</v>
      </c>
      <c r="L26" s="13">
        <f t="shared" si="5"/>
        <v>3036150</v>
      </c>
      <c r="M26" s="13">
        <f t="shared" si="6"/>
        <v>74.03</v>
      </c>
      <c r="N26" s="13">
        <f t="shared" si="7"/>
        <v>73.16</v>
      </c>
      <c r="O26" s="13">
        <f t="shared" ref="O26:P26" si="31">M26*F26</f>
        <v>1541600.72</v>
      </c>
      <c r="P26" s="13">
        <f t="shared" si="31"/>
        <v>1645368.4</v>
      </c>
      <c r="Q26" s="13"/>
    </row>
    <row r="27" ht="15.75" customHeight="1">
      <c r="A27" s="13" t="s">
        <v>37</v>
      </c>
      <c r="B27" s="13" t="str">
        <f t="array" ref="B27">XLOOKUP(A27,Abbreviation!$A$17:$A$22,Abbreviation!$B$17:$B$22)</f>
        <v>January</v>
      </c>
      <c r="C27" s="13" t="str">
        <f t="array" ref="C27">XLOOKUP(D27,'Regional Details'!$B$14:$B$29,'Regional Details'!$A$14:$A$29)</f>
        <v>North</v>
      </c>
      <c r="D27" s="13" t="s">
        <v>24</v>
      </c>
      <c r="E27" s="13" t="s">
        <v>29</v>
      </c>
      <c r="F27" s="13">
        <v>12937.0</v>
      </c>
      <c r="G27" s="13">
        <v>13584.0</v>
      </c>
      <c r="H27" s="16">
        <f t="array" ref="H27">XLOOKUP(D27,'Regional Details'!$B$14:$B$29,'Regional Details'!$C$14:$C$29)</f>
        <v>0.125</v>
      </c>
      <c r="I27" s="13">
        <f t="shared" si="2"/>
        <v>60</v>
      </c>
      <c r="J27" s="13">
        <f t="shared" si="3"/>
        <v>52.5</v>
      </c>
      <c r="K27" s="15">
        <f t="shared" si="4"/>
        <v>679192.5</v>
      </c>
      <c r="L27" s="13">
        <f t="shared" si="5"/>
        <v>815040</v>
      </c>
      <c r="M27" s="13">
        <f t="shared" si="6"/>
        <v>33.75</v>
      </c>
      <c r="N27" s="13">
        <f t="shared" si="7"/>
        <v>29.89</v>
      </c>
      <c r="O27" s="13">
        <f t="shared" ref="O27:P27" si="32">M27*F27</f>
        <v>436623.75</v>
      </c>
      <c r="P27" s="13">
        <f t="shared" si="32"/>
        <v>406025.76</v>
      </c>
      <c r="Q27" s="13"/>
    </row>
    <row r="28" ht="15.75" customHeight="1">
      <c r="A28" s="13" t="s">
        <v>37</v>
      </c>
      <c r="B28" s="13" t="str">
        <f t="array" ref="B28">XLOOKUP(A28,Abbreviation!$A$17:$A$22,Abbreviation!$B$17:$B$22)</f>
        <v>January</v>
      </c>
      <c r="C28" s="13" t="str">
        <f t="array" ref="C28">XLOOKUP(D28,'Regional Details'!$B$14:$B$29,'Regional Details'!$A$14:$A$29)</f>
        <v>South</v>
      </c>
      <c r="D28" s="13" t="s">
        <v>27</v>
      </c>
      <c r="E28" s="13" t="s">
        <v>31</v>
      </c>
      <c r="F28" s="13">
        <v>22650.0</v>
      </c>
      <c r="G28" s="13">
        <v>23556.0</v>
      </c>
      <c r="H28" s="14">
        <f t="array" ref="H28">XLOOKUP(D28,'Regional Details'!$B$14:$B$29,'Regional Details'!$C$14:$C$29)</f>
        <v>0.1</v>
      </c>
      <c r="I28" s="13">
        <f t="shared" si="2"/>
        <v>135</v>
      </c>
      <c r="J28" s="13">
        <f t="shared" si="3"/>
        <v>121.5</v>
      </c>
      <c r="K28" s="15">
        <f t="shared" si="4"/>
        <v>2751975</v>
      </c>
      <c r="L28" s="13">
        <f t="shared" si="5"/>
        <v>3180060</v>
      </c>
      <c r="M28" s="13">
        <f t="shared" si="6"/>
        <v>74.03</v>
      </c>
      <c r="N28" s="13">
        <f t="shared" si="7"/>
        <v>73.16</v>
      </c>
      <c r="O28" s="13">
        <f t="shared" ref="O28:P28" si="33">M28*F28</f>
        <v>1676779.5</v>
      </c>
      <c r="P28" s="13">
        <f t="shared" si="33"/>
        <v>1723356.96</v>
      </c>
      <c r="Q28" s="13"/>
    </row>
    <row r="29" ht="15.75" customHeight="1">
      <c r="A29" s="13" t="s">
        <v>37</v>
      </c>
      <c r="B29" s="13" t="str">
        <f t="array" ref="B29">XLOOKUP(A29,Abbreviation!$A$17:$A$22,Abbreviation!$B$17:$B$22)</f>
        <v>January</v>
      </c>
      <c r="C29" s="13" t="str">
        <f t="array" ref="C29">XLOOKUP(D29,'Regional Details'!$B$14:$B$29,'Regional Details'!$A$14:$A$29)</f>
        <v>South</v>
      </c>
      <c r="D29" s="13" t="s">
        <v>27</v>
      </c>
      <c r="E29" s="13" t="s">
        <v>29</v>
      </c>
      <c r="F29" s="13">
        <v>13986.0</v>
      </c>
      <c r="G29" s="13">
        <v>14545.0</v>
      </c>
      <c r="H29" s="14">
        <f t="array" ref="H29">XLOOKUP(D29,'Regional Details'!$B$14:$B$29,'Regional Details'!$C$14:$C$29)</f>
        <v>0.1</v>
      </c>
      <c r="I29" s="13">
        <f t="shared" si="2"/>
        <v>60</v>
      </c>
      <c r="J29" s="13">
        <f t="shared" si="3"/>
        <v>54</v>
      </c>
      <c r="K29" s="15">
        <f t="shared" si="4"/>
        <v>755244</v>
      </c>
      <c r="L29" s="13">
        <f t="shared" si="5"/>
        <v>872700</v>
      </c>
      <c r="M29" s="13">
        <f t="shared" si="6"/>
        <v>33.75</v>
      </c>
      <c r="N29" s="13">
        <f t="shared" si="7"/>
        <v>29.89</v>
      </c>
      <c r="O29" s="13">
        <f t="shared" ref="O29:P29" si="34">M29*F29</f>
        <v>472027.5</v>
      </c>
      <c r="P29" s="13">
        <f t="shared" si="34"/>
        <v>434750.05</v>
      </c>
      <c r="Q29" s="13"/>
    </row>
    <row r="30" ht="15.75" customHeight="1">
      <c r="A30" s="13" t="s">
        <v>37</v>
      </c>
      <c r="B30" s="13" t="str">
        <f t="array" ref="B30">XLOOKUP(A30,Abbreviation!$A$17:$A$22,Abbreviation!$B$17:$B$22)</f>
        <v>January</v>
      </c>
      <c r="C30" s="13" t="str">
        <f t="array" ref="C30">XLOOKUP(D30,'Regional Details'!$B$14:$B$29,'Regional Details'!$A$14:$A$29)</f>
        <v>West</v>
      </c>
      <c r="D30" s="13" t="s">
        <v>26</v>
      </c>
      <c r="E30" s="13" t="s">
        <v>31</v>
      </c>
      <c r="F30" s="13">
        <v>20091.0</v>
      </c>
      <c r="G30" s="13">
        <v>23105.0</v>
      </c>
      <c r="H30" s="14">
        <f t="array" ref="H30">XLOOKUP(D30,'Regional Details'!$B$14:$B$29,'Regional Details'!$C$14:$C$29)</f>
        <v>0</v>
      </c>
      <c r="I30" s="13">
        <f t="shared" si="2"/>
        <v>135</v>
      </c>
      <c r="J30" s="13">
        <f t="shared" si="3"/>
        <v>135</v>
      </c>
      <c r="K30" s="15">
        <f t="shared" si="4"/>
        <v>2712285</v>
      </c>
      <c r="L30" s="13">
        <f t="shared" si="5"/>
        <v>3119175</v>
      </c>
      <c r="M30" s="13">
        <f t="shared" si="6"/>
        <v>74.03</v>
      </c>
      <c r="N30" s="13">
        <f t="shared" si="7"/>
        <v>73.16</v>
      </c>
      <c r="O30" s="13">
        <f t="shared" ref="O30:P30" si="35">M30*F30</f>
        <v>1487336.73</v>
      </c>
      <c r="P30" s="13">
        <f t="shared" si="35"/>
        <v>1690361.8</v>
      </c>
      <c r="Q30" s="13"/>
    </row>
    <row r="31" ht="15.75" customHeight="1">
      <c r="A31" s="13" t="s">
        <v>37</v>
      </c>
      <c r="B31" s="13" t="str">
        <f t="array" ref="B31">XLOOKUP(A31,Abbreviation!$A$17:$A$22,Abbreviation!$B$17:$B$22)</f>
        <v>January</v>
      </c>
      <c r="C31" s="13" t="str">
        <f t="array" ref="C31">XLOOKUP(D31,'Regional Details'!$B$14:$B$29,'Regional Details'!$A$14:$A$29)</f>
        <v>West</v>
      </c>
      <c r="D31" s="13" t="s">
        <v>26</v>
      </c>
      <c r="E31" s="13" t="s">
        <v>29</v>
      </c>
      <c r="F31" s="13">
        <v>15244.0</v>
      </c>
      <c r="G31" s="13">
        <v>18598.0</v>
      </c>
      <c r="H31" s="14">
        <f t="array" ref="H31">XLOOKUP(D31,'Regional Details'!$B$14:$B$29,'Regional Details'!$C$14:$C$29)</f>
        <v>0</v>
      </c>
      <c r="I31" s="13">
        <f t="shared" si="2"/>
        <v>60</v>
      </c>
      <c r="J31" s="13">
        <f t="shared" si="3"/>
        <v>60</v>
      </c>
      <c r="K31" s="15">
        <f t="shared" si="4"/>
        <v>914640</v>
      </c>
      <c r="L31" s="13">
        <f t="shared" si="5"/>
        <v>1115880</v>
      </c>
      <c r="M31" s="13">
        <f t="shared" si="6"/>
        <v>33.75</v>
      </c>
      <c r="N31" s="13">
        <f t="shared" si="7"/>
        <v>29.89</v>
      </c>
      <c r="O31" s="13">
        <f t="shared" ref="O31:P31" si="36">M31*F31</f>
        <v>514485</v>
      </c>
      <c r="P31" s="13">
        <f t="shared" si="36"/>
        <v>555894.22</v>
      </c>
      <c r="Q31" s="13"/>
    </row>
    <row r="32" ht="15.75" customHeight="1">
      <c r="A32" s="13" t="s">
        <v>37</v>
      </c>
      <c r="B32" s="13" t="str">
        <f t="array" ref="B32">XLOOKUP(A32,Abbreviation!$A$17:$A$22,Abbreviation!$B$17:$B$22)</f>
        <v>January</v>
      </c>
      <c r="C32" s="13" t="str">
        <f t="array" ref="C32">XLOOKUP(D32,'Regional Details'!$B$14:$B$29,'Regional Details'!$A$14:$A$29)</f>
        <v>East</v>
      </c>
      <c r="D32" s="13" t="s">
        <v>25</v>
      </c>
      <c r="E32" s="13" t="s">
        <v>31</v>
      </c>
      <c r="F32" s="13">
        <v>17316.0</v>
      </c>
      <c r="G32" s="13">
        <v>19740.0</v>
      </c>
      <c r="H32" s="14">
        <f t="array" ref="H32">XLOOKUP(D32,'Regional Details'!$B$14:$B$29,'Regional Details'!$C$14:$C$29)</f>
        <v>0.05</v>
      </c>
      <c r="I32" s="13">
        <f t="shared" si="2"/>
        <v>135</v>
      </c>
      <c r="J32" s="13">
        <f t="shared" si="3"/>
        <v>128.25</v>
      </c>
      <c r="K32" s="15">
        <f t="shared" si="4"/>
        <v>2220777</v>
      </c>
      <c r="L32" s="13">
        <f t="shared" si="5"/>
        <v>2664900</v>
      </c>
      <c r="M32" s="13">
        <f t="shared" si="6"/>
        <v>74.03</v>
      </c>
      <c r="N32" s="13">
        <f t="shared" si="7"/>
        <v>73.16</v>
      </c>
      <c r="O32" s="13">
        <f t="shared" ref="O32:P32" si="37">M32*F32</f>
        <v>1281903.48</v>
      </c>
      <c r="P32" s="13">
        <f t="shared" si="37"/>
        <v>1444178.4</v>
      </c>
      <c r="Q32" s="13"/>
    </row>
    <row r="33" ht="15.75" customHeight="1">
      <c r="A33" s="13" t="s">
        <v>37</v>
      </c>
      <c r="B33" s="13" t="str">
        <f t="array" ref="B33">XLOOKUP(A33,Abbreviation!$A$17:$A$22,Abbreviation!$B$17:$B$22)</f>
        <v>January</v>
      </c>
      <c r="C33" s="13" t="str">
        <f t="array" ref="C33">XLOOKUP(D33,'Regional Details'!$B$14:$B$29,'Regional Details'!$A$14:$A$29)</f>
        <v>East</v>
      </c>
      <c r="D33" s="13" t="s">
        <v>25</v>
      </c>
      <c r="E33" s="13" t="s">
        <v>29</v>
      </c>
      <c r="F33" s="13">
        <v>22866.0</v>
      </c>
      <c r="G33" s="13">
        <v>26982.0</v>
      </c>
      <c r="H33" s="14">
        <f t="array" ref="H33">XLOOKUP(D33,'Regional Details'!$B$14:$B$29,'Regional Details'!$C$14:$C$29)</f>
        <v>0.05</v>
      </c>
      <c r="I33" s="13">
        <f t="shared" si="2"/>
        <v>60</v>
      </c>
      <c r="J33" s="13">
        <f t="shared" si="3"/>
        <v>57</v>
      </c>
      <c r="K33" s="15">
        <f t="shared" si="4"/>
        <v>1303362</v>
      </c>
      <c r="L33" s="13">
        <f t="shared" si="5"/>
        <v>1618920</v>
      </c>
      <c r="M33" s="13">
        <f t="shared" si="6"/>
        <v>33.75</v>
      </c>
      <c r="N33" s="13">
        <f t="shared" si="7"/>
        <v>29.89</v>
      </c>
      <c r="O33" s="13">
        <f t="shared" ref="O33:P33" si="38">M33*F33</f>
        <v>771727.5</v>
      </c>
      <c r="P33" s="13">
        <f t="shared" si="38"/>
        <v>806491.98</v>
      </c>
      <c r="Q33" s="13"/>
    </row>
    <row r="34" ht="15.75" customHeight="1">
      <c r="A34" s="13" t="s">
        <v>53</v>
      </c>
      <c r="B34" s="13" t="str">
        <f t="array" ref="B34">XLOOKUP(A34,Abbreviation!$A$17:$A$22,Abbreviation!$B$17:$B$22)</f>
        <v>February</v>
      </c>
      <c r="C34" s="13" t="str">
        <f t="array" ref="C34">XLOOKUP(D34,'Regional Details'!$B$14:$B$29,'Regional Details'!$A$14:$A$29)</f>
        <v>North</v>
      </c>
      <c r="D34" s="13" t="s">
        <v>12</v>
      </c>
      <c r="E34" s="13" t="s">
        <v>31</v>
      </c>
      <c r="F34" s="13">
        <v>24722.0</v>
      </c>
      <c r="G34" s="13">
        <v>27441.0</v>
      </c>
      <c r="H34" s="14">
        <f t="array" ref="H34">XLOOKUP(D34,'Regional Details'!$B$14:$B$29,'Regional Details'!$C$14:$C$29)</f>
        <v>0</v>
      </c>
      <c r="I34" s="13">
        <f t="shared" si="2"/>
        <v>135</v>
      </c>
      <c r="J34" s="13">
        <f t="shared" si="3"/>
        <v>135</v>
      </c>
      <c r="K34" s="15">
        <f t="shared" si="4"/>
        <v>3337470</v>
      </c>
      <c r="L34" s="13">
        <f t="shared" si="5"/>
        <v>3704535</v>
      </c>
      <c r="M34" s="13">
        <f t="shared" si="6"/>
        <v>74.03</v>
      </c>
      <c r="N34" s="13">
        <f t="shared" si="7"/>
        <v>73.16</v>
      </c>
      <c r="O34" s="13">
        <f t="shared" ref="O34:P34" si="39">M34*F34</f>
        <v>1830169.66</v>
      </c>
      <c r="P34" s="13">
        <f t="shared" si="39"/>
        <v>2007583.56</v>
      </c>
      <c r="Q34" s="13"/>
    </row>
    <row r="35" ht="15.75" customHeight="1">
      <c r="A35" s="13" t="s">
        <v>53</v>
      </c>
      <c r="B35" s="13" t="str">
        <f t="array" ref="B35">XLOOKUP(A35,Abbreviation!$A$17:$A$22,Abbreviation!$B$17:$B$22)</f>
        <v>February</v>
      </c>
      <c r="C35" s="13" t="str">
        <f t="array" ref="C35">XLOOKUP(D35,'Regional Details'!$B$14:$B$29,'Regional Details'!$A$14:$A$29)</f>
        <v>North</v>
      </c>
      <c r="D35" s="13" t="s">
        <v>12</v>
      </c>
      <c r="E35" s="13" t="s">
        <v>29</v>
      </c>
      <c r="F35" s="13">
        <v>19148.0</v>
      </c>
      <c r="G35" s="13">
        <v>23361.0</v>
      </c>
      <c r="H35" s="14">
        <f t="array" ref="H35">XLOOKUP(D35,'Regional Details'!$B$14:$B$29,'Regional Details'!$C$14:$C$29)</f>
        <v>0</v>
      </c>
      <c r="I35" s="13">
        <f t="shared" si="2"/>
        <v>60</v>
      </c>
      <c r="J35" s="13">
        <f t="shared" si="3"/>
        <v>60</v>
      </c>
      <c r="K35" s="15">
        <f t="shared" si="4"/>
        <v>1148880</v>
      </c>
      <c r="L35" s="13">
        <f t="shared" si="5"/>
        <v>1401660</v>
      </c>
      <c r="M35" s="13">
        <f t="shared" si="6"/>
        <v>33.75</v>
      </c>
      <c r="N35" s="13">
        <f t="shared" si="7"/>
        <v>29.89</v>
      </c>
      <c r="O35" s="13">
        <f t="shared" ref="O35:P35" si="40">M35*F35</f>
        <v>646245</v>
      </c>
      <c r="P35" s="13">
        <f t="shared" si="40"/>
        <v>698260.29</v>
      </c>
      <c r="Q35" s="13"/>
    </row>
    <row r="36" ht="15.75" customHeight="1">
      <c r="A36" s="13" t="s">
        <v>53</v>
      </c>
      <c r="B36" s="13" t="str">
        <f t="array" ref="B36">XLOOKUP(A36,Abbreviation!$A$17:$A$22,Abbreviation!$B$17:$B$22)</f>
        <v>February</v>
      </c>
      <c r="C36" s="13" t="str">
        <f t="array" ref="C36">XLOOKUP(D36,'Regional Details'!$B$14:$B$29,'Regional Details'!$A$14:$A$29)</f>
        <v>East</v>
      </c>
      <c r="D36" s="13" t="s">
        <v>13</v>
      </c>
      <c r="E36" s="13" t="s">
        <v>31</v>
      </c>
      <c r="F36" s="13">
        <v>13535.0</v>
      </c>
      <c r="G36" s="13">
        <v>15159.0</v>
      </c>
      <c r="H36" s="14">
        <f t="array" ref="H36">XLOOKUP(D36,'Regional Details'!$B$14:$B$29,'Regional Details'!$C$14:$C$29)</f>
        <v>0</v>
      </c>
      <c r="I36" s="13">
        <f t="shared" si="2"/>
        <v>135</v>
      </c>
      <c r="J36" s="13">
        <f t="shared" si="3"/>
        <v>135</v>
      </c>
      <c r="K36" s="15">
        <f t="shared" si="4"/>
        <v>1827225</v>
      </c>
      <c r="L36" s="13">
        <f t="shared" si="5"/>
        <v>2046465</v>
      </c>
      <c r="M36" s="13">
        <f t="shared" si="6"/>
        <v>74.03</v>
      </c>
      <c r="N36" s="13">
        <f t="shared" si="7"/>
        <v>73.16</v>
      </c>
      <c r="O36" s="13">
        <f t="shared" ref="O36:P36" si="41">M36*F36</f>
        <v>1001996.05</v>
      </c>
      <c r="P36" s="13">
        <f t="shared" si="41"/>
        <v>1109032.44</v>
      </c>
      <c r="Q36" s="13"/>
    </row>
    <row r="37" ht="15.75" customHeight="1">
      <c r="A37" s="13" t="s">
        <v>53</v>
      </c>
      <c r="B37" s="13" t="str">
        <f t="array" ref="B37">XLOOKUP(A37,Abbreviation!$A$17:$A$22,Abbreviation!$B$17:$B$22)</f>
        <v>February</v>
      </c>
      <c r="C37" s="13" t="str">
        <f t="array" ref="C37">XLOOKUP(D37,'Regional Details'!$B$14:$B$29,'Regional Details'!$A$14:$A$29)</f>
        <v>East</v>
      </c>
      <c r="D37" s="13" t="s">
        <v>13</v>
      </c>
      <c r="E37" s="13" t="s">
        <v>29</v>
      </c>
      <c r="F37" s="13">
        <v>25924.0</v>
      </c>
      <c r="G37" s="13">
        <v>30072.0</v>
      </c>
      <c r="H37" s="14">
        <f t="array" ref="H37">XLOOKUP(D37,'Regional Details'!$B$14:$B$29,'Regional Details'!$C$14:$C$29)</f>
        <v>0</v>
      </c>
      <c r="I37" s="13">
        <f t="shared" si="2"/>
        <v>60</v>
      </c>
      <c r="J37" s="13">
        <f t="shared" si="3"/>
        <v>60</v>
      </c>
      <c r="K37" s="15">
        <f t="shared" si="4"/>
        <v>1555440</v>
      </c>
      <c r="L37" s="13">
        <f t="shared" si="5"/>
        <v>1804320</v>
      </c>
      <c r="M37" s="13">
        <f t="shared" si="6"/>
        <v>33.75</v>
      </c>
      <c r="N37" s="13">
        <f t="shared" si="7"/>
        <v>29.89</v>
      </c>
      <c r="O37" s="13">
        <f t="shared" ref="O37:P37" si="42">M37*F37</f>
        <v>874935</v>
      </c>
      <c r="P37" s="13">
        <f t="shared" si="42"/>
        <v>898852.08</v>
      </c>
      <c r="Q37" s="13"/>
    </row>
    <row r="38" ht="15.75" customHeight="1">
      <c r="A38" s="13" t="s">
        <v>53</v>
      </c>
      <c r="B38" s="13" t="str">
        <f t="array" ref="B38">XLOOKUP(A38,Abbreviation!$A$17:$A$22,Abbreviation!$B$17:$B$22)</f>
        <v>February</v>
      </c>
      <c r="C38" s="13" t="str">
        <f t="array" ref="C38">XLOOKUP(D38,'Regional Details'!$B$14:$B$29,'Regional Details'!$A$14:$A$29)</f>
        <v>West</v>
      </c>
      <c r="D38" s="13" t="s">
        <v>14</v>
      </c>
      <c r="E38" s="13" t="s">
        <v>31</v>
      </c>
      <c r="F38" s="13">
        <v>15923.0</v>
      </c>
      <c r="G38" s="13">
        <v>19267.0</v>
      </c>
      <c r="H38" s="14">
        <f t="array" ref="H38">XLOOKUP(D38,'Regional Details'!$B$14:$B$29,'Regional Details'!$C$14:$C$29)</f>
        <v>0</v>
      </c>
      <c r="I38" s="13">
        <f t="shared" si="2"/>
        <v>135</v>
      </c>
      <c r="J38" s="13">
        <f t="shared" si="3"/>
        <v>135</v>
      </c>
      <c r="K38" s="15">
        <f t="shared" si="4"/>
        <v>2149605</v>
      </c>
      <c r="L38" s="13">
        <f t="shared" si="5"/>
        <v>2601045</v>
      </c>
      <c r="M38" s="13">
        <f t="shared" si="6"/>
        <v>74.03</v>
      </c>
      <c r="N38" s="13">
        <f t="shared" si="7"/>
        <v>73.16</v>
      </c>
      <c r="O38" s="13">
        <f t="shared" ref="O38:P38" si="43">M38*F38</f>
        <v>1178779.69</v>
      </c>
      <c r="P38" s="13">
        <f t="shared" si="43"/>
        <v>1409573.72</v>
      </c>
      <c r="Q38" s="13"/>
    </row>
    <row r="39" ht="15.75" customHeight="1">
      <c r="A39" s="13" t="s">
        <v>53</v>
      </c>
      <c r="B39" s="13" t="str">
        <f t="array" ref="B39">XLOOKUP(A39,Abbreviation!$A$17:$A$22,Abbreviation!$B$17:$B$22)</f>
        <v>February</v>
      </c>
      <c r="C39" s="13" t="str">
        <f t="array" ref="C39">XLOOKUP(D39,'Regional Details'!$B$14:$B$29,'Regional Details'!$A$14:$A$29)</f>
        <v>West</v>
      </c>
      <c r="D39" s="13" t="s">
        <v>14</v>
      </c>
      <c r="E39" s="13" t="s">
        <v>29</v>
      </c>
      <c r="F39" s="13">
        <v>18643.0</v>
      </c>
      <c r="G39" s="13">
        <v>21626.0</v>
      </c>
      <c r="H39" s="14">
        <f t="array" ref="H39">XLOOKUP(D39,'Regional Details'!$B$14:$B$29,'Regional Details'!$C$14:$C$29)</f>
        <v>0</v>
      </c>
      <c r="I39" s="13">
        <f t="shared" si="2"/>
        <v>60</v>
      </c>
      <c r="J39" s="13">
        <f t="shared" si="3"/>
        <v>60</v>
      </c>
      <c r="K39" s="15">
        <f t="shared" si="4"/>
        <v>1118580</v>
      </c>
      <c r="L39" s="13">
        <f t="shared" si="5"/>
        <v>1297560</v>
      </c>
      <c r="M39" s="13">
        <f t="shared" si="6"/>
        <v>33.75</v>
      </c>
      <c r="N39" s="13">
        <f t="shared" si="7"/>
        <v>29.89</v>
      </c>
      <c r="O39" s="13">
        <f t="shared" ref="O39:P39" si="44">M39*F39</f>
        <v>629201.25</v>
      </c>
      <c r="P39" s="13">
        <f t="shared" si="44"/>
        <v>646401.14</v>
      </c>
      <c r="Q39" s="13"/>
    </row>
    <row r="40" ht="15.75" customHeight="1">
      <c r="A40" s="13" t="s">
        <v>53</v>
      </c>
      <c r="B40" s="13" t="str">
        <f t="array" ref="B40">XLOOKUP(A40,Abbreviation!$A$17:$A$22,Abbreviation!$B$17:$B$22)</f>
        <v>February</v>
      </c>
      <c r="C40" s="13" t="str">
        <f t="array" ref="C40">XLOOKUP(D40,'Regional Details'!$B$14:$B$29,'Regional Details'!$A$14:$A$29)</f>
        <v>South</v>
      </c>
      <c r="D40" s="13" t="s">
        <v>15</v>
      </c>
      <c r="E40" s="13" t="s">
        <v>31</v>
      </c>
      <c r="F40" s="13">
        <v>29296.0</v>
      </c>
      <c r="G40" s="13">
        <v>32812.0</v>
      </c>
      <c r="H40" s="14">
        <f t="array" ref="H40">XLOOKUP(D40,'Regional Details'!$B$14:$B$29,'Regional Details'!$C$14:$C$29)</f>
        <v>0</v>
      </c>
      <c r="I40" s="13">
        <f t="shared" si="2"/>
        <v>135</v>
      </c>
      <c r="J40" s="13">
        <f t="shared" si="3"/>
        <v>135</v>
      </c>
      <c r="K40" s="15">
        <f t="shared" si="4"/>
        <v>3954960</v>
      </c>
      <c r="L40" s="13">
        <f t="shared" si="5"/>
        <v>4429620</v>
      </c>
      <c r="M40" s="13">
        <f t="shared" si="6"/>
        <v>74.03</v>
      </c>
      <c r="N40" s="13">
        <f t="shared" si="7"/>
        <v>73.16</v>
      </c>
      <c r="O40" s="13">
        <f t="shared" ref="O40:P40" si="45">M40*F40</f>
        <v>2168782.88</v>
      </c>
      <c r="P40" s="13">
        <f t="shared" si="45"/>
        <v>2400525.92</v>
      </c>
      <c r="Q40" s="13"/>
    </row>
    <row r="41" ht="15.75" customHeight="1">
      <c r="A41" s="13" t="s">
        <v>53</v>
      </c>
      <c r="B41" s="13" t="str">
        <f t="array" ref="B41">XLOOKUP(A41,Abbreviation!$A$17:$A$22,Abbreviation!$B$17:$B$22)</f>
        <v>February</v>
      </c>
      <c r="C41" s="13" t="str">
        <f t="array" ref="C41">XLOOKUP(D41,'Regional Details'!$B$14:$B$29,'Regional Details'!$A$14:$A$29)</f>
        <v>South</v>
      </c>
      <c r="D41" s="13" t="s">
        <v>15</v>
      </c>
      <c r="E41" s="13" t="s">
        <v>29</v>
      </c>
      <c r="F41" s="13">
        <v>15623.0</v>
      </c>
      <c r="G41" s="13">
        <v>18748.0</v>
      </c>
      <c r="H41" s="14">
        <f t="array" ref="H41">XLOOKUP(D41,'Regional Details'!$B$14:$B$29,'Regional Details'!$C$14:$C$29)</f>
        <v>0</v>
      </c>
      <c r="I41" s="13">
        <f t="shared" si="2"/>
        <v>60</v>
      </c>
      <c r="J41" s="13">
        <f t="shared" si="3"/>
        <v>60</v>
      </c>
      <c r="K41" s="15">
        <f t="shared" si="4"/>
        <v>937380</v>
      </c>
      <c r="L41" s="13">
        <f t="shared" si="5"/>
        <v>1124880</v>
      </c>
      <c r="M41" s="13">
        <f t="shared" si="6"/>
        <v>33.75</v>
      </c>
      <c r="N41" s="13">
        <f t="shared" si="7"/>
        <v>29.89</v>
      </c>
      <c r="O41" s="13">
        <f t="shared" ref="O41:P41" si="46">M41*F41</f>
        <v>527276.25</v>
      </c>
      <c r="P41" s="13">
        <f t="shared" si="46"/>
        <v>560377.72</v>
      </c>
      <c r="Q41" s="13"/>
    </row>
    <row r="42" ht="15.75" customHeight="1">
      <c r="A42" s="13" t="s">
        <v>53</v>
      </c>
      <c r="B42" s="13" t="str">
        <f t="array" ref="B42">XLOOKUP(A42,Abbreviation!$A$17:$A$22,Abbreviation!$B$17:$B$22)</f>
        <v>February</v>
      </c>
      <c r="C42" s="13" t="str">
        <f t="array" ref="C42">XLOOKUP(D42,'Regional Details'!$B$14:$B$29,'Regional Details'!$A$14:$A$29)</f>
        <v>North</v>
      </c>
      <c r="D42" s="13" t="s">
        <v>16</v>
      </c>
      <c r="E42" s="13" t="s">
        <v>31</v>
      </c>
      <c r="F42" s="13">
        <v>25573.0</v>
      </c>
      <c r="G42" s="13">
        <v>29409.0</v>
      </c>
      <c r="H42" s="14">
        <f t="array" ref="H42">XLOOKUP(D42,'Regional Details'!$B$14:$B$29,'Regional Details'!$C$14:$C$29)</f>
        <v>0</v>
      </c>
      <c r="I42" s="13">
        <f t="shared" si="2"/>
        <v>135</v>
      </c>
      <c r="J42" s="13">
        <f t="shared" si="3"/>
        <v>135</v>
      </c>
      <c r="K42" s="15">
        <f t="shared" si="4"/>
        <v>3452355</v>
      </c>
      <c r="L42" s="13">
        <f t="shared" si="5"/>
        <v>3970215</v>
      </c>
      <c r="M42" s="13">
        <f t="shared" si="6"/>
        <v>74.03</v>
      </c>
      <c r="N42" s="13">
        <f t="shared" si="7"/>
        <v>73.16</v>
      </c>
      <c r="O42" s="13">
        <f t="shared" ref="O42:P42" si="47">M42*F42</f>
        <v>1893169.19</v>
      </c>
      <c r="P42" s="13">
        <f t="shared" si="47"/>
        <v>2151562.44</v>
      </c>
      <c r="Q42" s="13"/>
    </row>
    <row r="43" ht="15.75" customHeight="1">
      <c r="A43" s="13" t="s">
        <v>53</v>
      </c>
      <c r="B43" s="13" t="str">
        <f t="array" ref="B43">XLOOKUP(A43,Abbreviation!$A$17:$A$22,Abbreviation!$B$17:$B$22)</f>
        <v>February</v>
      </c>
      <c r="C43" s="13" t="str">
        <f t="array" ref="C43">XLOOKUP(D43,'Regional Details'!$B$14:$B$29,'Regional Details'!$A$14:$A$29)</f>
        <v>North</v>
      </c>
      <c r="D43" s="13" t="s">
        <v>16</v>
      </c>
      <c r="E43" s="13" t="s">
        <v>29</v>
      </c>
      <c r="F43" s="13">
        <v>27637.0</v>
      </c>
      <c r="G43" s="13">
        <v>32059.0</v>
      </c>
      <c r="H43" s="14">
        <f t="array" ref="H43">XLOOKUP(D43,'Regional Details'!$B$14:$B$29,'Regional Details'!$C$14:$C$29)</f>
        <v>0</v>
      </c>
      <c r="I43" s="13">
        <f t="shared" si="2"/>
        <v>60</v>
      </c>
      <c r="J43" s="13">
        <f t="shared" si="3"/>
        <v>60</v>
      </c>
      <c r="K43" s="15">
        <f t="shared" si="4"/>
        <v>1658220</v>
      </c>
      <c r="L43" s="13">
        <f t="shared" si="5"/>
        <v>1923540</v>
      </c>
      <c r="M43" s="13">
        <f t="shared" si="6"/>
        <v>33.75</v>
      </c>
      <c r="N43" s="13">
        <f t="shared" si="7"/>
        <v>29.89</v>
      </c>
      <c r="O43" s="13">
        <f t="shared" ref="O43:P43" si="48">M43*F43</f>
        <v>932748.75</v>
      </c>
      <c r="P43" s="13">
        <f t="shared" si="48"/>
        <v>958243.51</v>
      </c>
      <c r="Q43" s="13"/>
    </row>
    <row r="44" ht="15.75" customHeight="1">
      <c r="A44" s="13" t="s">
        <v>53</v>
      </c>
      <c r="B44" s="13" t="str">
        <f t="array" ref="B44">XLOOKUP(A44,Abbreviation!$A$17:$A$22,Abbreviation!$B$17:$B$22)</f>
        <v>February</v>
      </c>
      <c r="C44" s="13" t="str">
        <f t="array" ref="C44">XLOOKUP(D44,'Regional Details'!$B$14:$B$29,'Regional Details'!$A$14:$A$29)</f>
        <v>East</v>
      </c>
      <c r="D44" s="13" t="s">
        <v>17</v>
      </c>
      <c r="E44" s="13" t="s">
        <v>31</v>
      </c>
      <c r="F44" s="13">
        <v>13878.0</v>
      </c>
      <c r="G44" s="13">
        <v>14433.0</v>
      </c>
      <c r="H44" s="16">
        <f t="array" ref="H44">XLOOKUP(D44,'Regional Details'!$B$14:$B$29,'Regional Details'!$C$14:$C$29)</f>
        <v>0.125</v>
      </c>
      <c r="I44" s="13">
        <f t="shared" si="2"/>
        <v>135</v>
      </c>
      <c r="J44" s="13">
        <f t="shared" si="3"/>
        <v>118.125</v>
      </c>
      <c r="K44" s="15">
        <f t="shared" si="4"/>
        <v>1639338.75</v>
      </c>
      <c r="L44" s="13">
        <f t="shared" si="5"/>
        <v>1948455</v>
      </c>
      <c r="M44" s="13">
        <f t="shared" si="6"/>
        <v>74.03</v>
      </c>
      <c r="N44" s="13">
        <f t="shared" si="7"/>
        <v>73.16</v>
      </c>
      <c r="O44" s="13">
        <f t="shared" ref="O44:P44" si="49">M44*F44</f>
        <v>1027388.34</v>
      </c>
      <c r="P44" s="13">
        <f t="shared" si="49"/>
        <v>1055918.28</v>
      </c>
      <c r="Q44" s="13"/>
    </row>
    <row r="45" ht="15.75" customHeight="1">
      <c r="A45" s="13" t="s">
        <v>53</v>
      </c>
      <c r="B45" s="13" t="str">
        <f t="array" ref="B45">XLOOKUP(A45,Abbreviation!$A$17:$A$22,Abbreviation!$B$17:$B$22)</f>
        <v>February</v>
      </c>
      <c r="C45" s="13" t="str">
        <f t="array" ref="C45">XLOOKUP(D45,'Regional Details'!$B$14:$B$29,'Regional Details'!$A$14:$A$29)</f>
        <v>East</v>
      </c>
      <c r="D45" s="13" t="s">
        <v>17</v>
      </c>
      <c r="E45" s="13" t="s">
        <v>29</v>
      </c>
      <c r="F45" s="13">
        <v>18202.0</v>
      </c>
      <c r="G45" s="13">
        <v>19476.0</v>
      </c>
      <c r="H45" s="16">
        <f t="array" ref="H45">XLOOKUP(D45,'Regional Details'!$B$14:$B$29,'Regional Details'!$C$14:$C$29)</f>
        <v>0.125</v>
      </c>
      <c r="I45" s="13">
        <f t="shared" si="2"/>
        <v>60</v>
      </c>
      <c r="J45" s="13">
        <f t="shared" si="3"/>
        <v>52.5</v>
      </c>
      <c r="K45" s="15">
        <f t="shared" si="4"/>
        <v>955605</v>
      </c>
      <c r="L45" s="13">
        <f t="shared" si="5"/>
        <v>1168560</v>
      </c>
      <c r="M45" s="13">
        <f t="shared" si="6"/>
        <v>33.75</v>
      </c>
      <c r="N45" s="13">
        <f t="shared" si="7"/>
        <v>29.89</v>
      </c>
      <c r="O45" s="13">
        <f t="shared" ref="O45:P45" si="50">M45*F45</f>
        <v>614317.5</v>
      </c>
      <c r="P45" s="13">
        <f t="shared" si="50"/>
        <v>582137.64</v>
      </c>
      <c r="Q45" s="13"/>
    </row>
    <row r="46" ht="15.75" customHeight="1">
      <c r="A46" s="13" t="s">
        <v>53</v>
      </c>
      <c r="B46" s="13" t="str">
        <f t="array" ref="B46">XLOOKUP(A46,Abbreviation!$A$17:$A$22,Abbreviation!$B$17:$B$22)</f>
        <v>February</v>
      </c>
      <c r="C46" s="13" t="str">
        <f t="array" ref="C46">XLOOKUP(D46,'Regional Details'!$B$14:$B$29,'Regional Details'!$A$14:$A$29)</f>
        <v>West</v>
      </c>
      <c r="D46" s="13" t="s">
        <v>18</v>
      </c>
      <c r="E46" s="13" t="s">
        <v>31</v>
      </c>
      <c r="F46" s="13">
        <v>22662.0</v>
      </c>
      <c r="G46" s="13">
        <v>28101.0</v>
      </c>
      <c r="H46" s="14">
        <f t="array" ref="H46">XLOOKUP(D46,'Regional Details'!$B$14:$B$29,'Regional Details'!$C$14:$C$29)</f>
        <v>0</v>
      </c>
      <c r="I46" s="13">
        <f t="shared" si="2"/>
        <v>135</v>
      </c>
      <c r="J46" s="13">
        <f t="shared" si="3"/>
        <v>135</v>
      </c>
      <c r="K46" s="15">
        <f t="shared" si="4"/>
        <v>3059370</v>
      </c>
      <c r="L46" s="13">
        <f t="shared" si="5"/>
        <v>3793635</v>
      </c>
      <c r="M46" s="13">
        <f t="shared" si="6"/>
        <v>74.03</v>
      </c>
      <c r="N46" s="13">
        <f t="shared" si="7"/>
        <v>73.16</v>
      </c>
      <c r="O46" s="13">
        <f t="shared" ref="O46:P46" si="51">M46*F46</f>
        <v>1677667.86</v>
      </c>
      <c r="P46" s="13">
        <f t="shared" si="51"/>
        <v>2055869.16</v>
      </c>
      <c r="Q46" s="13"/>
    </row>
    <row r="47" ht="15.75" customHeight="1">
      <c r="A47" s="13" t="s">
        <v>53</v>
      </c>
      <c r="B47" s="13" t="str">
        <f t="array" ref="B47">XLOOKUP(A47,Abbreviation!$A$17:$A$22,Abbreviation!$B$17:$B$22)</f>
        <v>February</v>
      </c>
      <c r="C47" s="13" t="str">
        <f t="array" ref="C47">XLOOKUP(D47,'Regional Details'!$B$14:$B$29,'Regional Details'!$A$14:$A$29)</f>
        <v>West</v>
      </c>
      <c r="D47" s="13" t="s">
        <v>18</v>
      </c>
      <c r="E47" s="13" t="s">
        <v>29</v>
      </c>
      <c r="F47" s="13">
        <v>13063.0</v>
      </c>
      <c r="G47" s="13">
        <v>16329.0</v>
      </c>
      <c r="H47" s="14">
        <f t="array" ref="H47">XLOOKUP(D47,'Regional Details'!$B$14:$B$29,'Regional Details'!$C$14:$C$29)</f>
        <v>0</v>
      </c>
      <c r="I47" s="13">
        <f t="shared" si="2"/>
        <v>60</v>
      </c>
      <c r="J47" s="13">
        <f t="shared" si="3"/>
        <v>60</v>
      </c>
      <c r="K47" s="15">
        <f t="shared" si="4"/>
        <v>783780</v>
      </c>
      <c r="L47" s="13">
        <f t="shared" si="5"/>
        <v>979740</v>
      </c>
      <c r="M47" s="13">
        <f t="shared" si="6"/>
        <v>33.75</v>
      </c>
      <c r="N47" s="13">
        <f t="shared" si="7"/>
        <v>29.89</v>
      </c>
      <c r="O47" s="13">
        <f t="shared" ref="O47:P47" si="52">M47*F47</f>
        <v>440876.25</v>
      </c>
      <c r="P47" s="13">
        <f t="shared" si="52"/>
        <v>488073.81</v>
      </c>
      <c r="Q47" s="13"/>
    </row>
    <row r="48" ht="15.75" customHeight="1">
      <c r="A48" s="13" t="s">
        <v>53</v>
      </c>
      <c r="B48" s="13" t="str">
        <f t="array" ref="B48">XLOOKUP(A48,Abbreviation!$A$17:$A$22,Abbreviation!$B$17:$B$22)</f>
        <v>February</v>
      </c>
      <c r="C48" s="13" t="str">
        <f t="array" ref="C48">XLOOKUP(D48,'Regional Details'!$B$14:$B$29,'Regional Details'!$A$14:$A$29)</f>
        <v>South</v>
      </c>
      <c r="D48" s="13" t="s">
        <v>19</v>
      </c>
      <c r="E48" s="13" t="s">
        <v>31</v>
      </c>
      <c r="F48" s="13">
        <v>14233.0</v>
      </c>
      <c r="G48" s="13">
        <v>17364.0</v>
      </c>
      <c r="H48" s="14">
        <f t="array" ref="H48">XLOOKUP(D48,'Regional Details'!$B$14:$B$29,'Regional Details'!$C$14:$C$29)</f>
        <v>0</v>
      </c>
      <c r="I48" s="13">
        <f t="shared" si="2"/>
        <v>135</v>
      </c>
      <c r="J48" s="13">
        <f t="shared" si="3"/>
        <v>135</v>
      </c>
      <c r="K48" s="15">
        <f t="shared" si="4"/>
        <v>1921455</v>
      </c>
      <c r="L48" s="13">
        <f t="shared" si="5"/>
        <v>2344140</v>
      </c>
      <c r="M48" s="13">
        <f t="shared" si="6"/>
        <v>74.03</v>
      </c>
      <c r="N48" s="13">
        <f t="shared" si="7"/>
        <v>73.16</v>
      </c>
      <c r="O48" s="13">
        <f t="shared" ref="O48:P48" si="53">M48*F48</f>
        <v>1053668.99</v>
      </c>
      <c r="P48" s="13">
        <f t="shared" si="53"/>
        <v>1270350.24</v>
      </c>
      <c r="Q48" s="13"/>
    </row>
    <row r="49" ht="15.75" customHeight="1">
      <c r="A49" s="13" t="s">
        <v>53</v>
      </c>
      <c r="B49" s="13" t="str">
        <f t="array" ref="B49">XLOOKUP(A49,Abbreviation!$A$17:$A$22,Abbreviation!$B$17:$B$22)</f>
        <v>February</v>
      </c>
      <c r="C49" s="13" t="str">
        <f t="array" ref="C49">XLOOKUP(D49,'Regional Details'!$B$14:$B$29,'Regional Details'!$A$14:$A$29)</f>
        <v>South</v>
      </c>
      <c r="D49" s="13" t="s">
        <v>19</v>
      </c>
      <c r="E49" s="13" t="s">
        <v>29</v>
      </c>
      <c r="F49" s="13">
        <v>15616.0</v>
      </c>
      <c r="G49" s="13">
        <v>18115.0</v>
      </c>
      <c r="H49" s="14">
        <f t="array" ref="H49">XLOOKUP(D49,'Regional Details'!$B$14:$B$29,'Regional Details'!$C$14:$C$29)</f>
        <v>0</v>
      </c>
      <c r="I49" s="13">
        <f t="shared" si="2"/>
        <v>60</v>
      </c>
      <c r="J49" s="13">
        <f t="shared" si="3"/>
        <v>60</v>
      </c>
      <c r="K49" s="15">
        <f t="shared" si="4"/>
        <v>936960</v>
      </c>
      <c r="L49" s="13">
        <f t="shared" si="5"/>
        <v>1086900</v>
      </c>
      <c r="M49" s="13">
        <f t="shared" si="6"/>
        <v>33.75</v>
      </c>
      <c r="N49" s="13">
        <f t="shared" si="7"/>
        <v>29.89</v>
      </c>
      <c r="O49" s="13">
        <f t="shared" ref="O49:P49" si="54">M49*F49</f>
        <v>527040</v>
      </c>
      <c r="P49" s="13">
        <f t="shared" si="54"/>
        <v>541457.35</v>
      </c>
      <c r="Q49" s="13"/>
    </row>
    <row r="50" ht="15.75" customHeight="1">
      <c r="A50" s="13" t="s">
        <v>53</v>
      </c>
      <c r="B50" s="13" t="str">
        <f t="array" ref="B50">XLOOKUP(A50,Abbreviation!$A$17:$A$22,Abbreviation!$B$17:$B$22)</f>
        <v>February</v>
      </c>
      <c r="C50" s="13" t="str">
        <f t="array" ref="C50">XLOOKUP(D50,'Regional Details'!$B$14:$B$29,'Regional Details'!$A$14:$A$29)</f>
        <v>North</v>
      </c>
      <c r="D50" s="13" t="s">
        <v>20</v>
      </c>
      <c r="E50" s="13" t="s">
        <v>31</v>
      </c>
      <c r="F50" s="13">
        <v>23233.0</v>
      </c>
      <c r="G50" s="13">
        <v>26718.0</v>
      </c>
      <c r="H50" s="14">
        <f t="array" ref="H50">XLOOKUP(D50,'Regional Details'!$B$14:$B$29,'Regional Details'!$C$14:$C$29)</f>
        <v>0.1</v>
      </c>
      <c r="I50" s="13">
        <f t="shared" si="2"/>
        <v>135</v>
      </c>
      <c r="J50" s="13">
        <f t="shared" si="3"/>
        <v>121.5</v>
      </c>
      <c r="K50" s="15">
        <f t="shared" si="4"/>
        <v>2822809.5</v>
      </c>
      <c r="L50" s="13">
        <f t="shared" si="5"/>
        <v>3606930</v>
      </c>
      <c r="M50" s="13">
        <f t="shared" si="6"/>
        <v>74.03</v>
      </c>
      <c r="N50" s="13">
        <f t="shared" si="7"/>
        <v>73.16</v>
      </c>
      <c r="O50" s="13">
        <f t="shared" ref="O50:P50" si="55">M50*F50</f>
        <v>1719938.99</v>
      </c>
      <c r="P50" s="13">
        <f t="shared" si="55"/>
        <v>1954688.88</v>
      </c>
      <c r="Q50" s="13"/>
    </row>
    <row r="51" ht="15.75" customHeight="1">
      <c r="A51" s="13" t="s">
        <v>53</v>
      </c>
      <c r="B51" s="13" t="str">
        <f t="array" ref="B51">XLOOKUP(A51,Abbreviation!$A$17:$A$22,Abbreviation!$B$17:$B$22)</f>
        <v>February</v>
      </c>
      <c r="C51" s="13" t="str">
        <f t="array" ref="C51">XLOOKUP(D51,'Regional Details'!$B$14:$B$29,'Regional Details'!$A$14:$A$29)</f>
        <v>North</v>
      </c>
      <c r="D51" s="13" t="s">
        <v>20</v>
      </c>
      <c r="E51" s="13" t="s">
        <v>29</v>
      </c>
      <c r="F51" s="13">
        <v>20324.0</v>
      </c>
      <c r="G51" s="13">
        <v>22763.0</v>
      </c>
      <c r="H51" s="14">
        <f t="array" ref="H51">XLOOKUP(D51,'Regional Details'!$B$14:$B$29,'Regional Details'!$C$14:$C$29)</f>
        <v>0.1</v>
      </c>
      <c r="I51" s="13">
        <f t="shared" si="2"/>
        <v>60</v>
      </c>
      <c r="J51" s="13">
        <f t="shared" si="3"/>
        <v>54</v>
      </c>
      <c r="K51" s="15">
        <f t="shared" si="4"/>
        <v>1097496</v>
      </c>
      <c r="L51" s="13">
        <f t="shared" si="5"/>
        <v>1365780</v>
      </c>
      <c r="M51" s="13">
        <f t="shared" si="6"/>
        <v>33.75</v>
      </c>
      <c r="N51" s="13">
        <f t="shared" si="7"/>
        <v>29.89</v>
      </c>
      <c r="O51" s="13">
        <f t="shared" ref="O51:P51" si="56">M51*F51</f>
        <v>685935</v>
      </c>
      <c r="P51" s="13">
        <f t="shared" si="56"/>
        <v>680386.07</v>
      </c>
      <c r="Q51" s="13"/>
    </row>
    <row r="52" ht="15.75" customHeight="1">
      <c r="A52" s="13" t="s">
        <v>53</v>
      </c>
      <c r="B52" s="13" t="str">
        <f t="array" ref="B52">XLOOKUP(A52,Abbreviation!$A$17:$A$22,Abbreviation!$B$17:$B$22)</f>
        <v>February</v>
      </c>
      <c r="C52" s="13" t="str">
        <f t="array" ref="C52">XLOOKUP(D52,'Regional Details'!$B$14:$B$29,'Regional Details'!$A$14:$A$29)</f>
        <v>East</v>
      </c>
      <c r="D52" s="13" t="s">
        <v>21</v>
      </c>
      <c r="E52" s="13" t="s">
        <v>31</v>
      </c>
      <c r="F52" s="13">
        <v>26263.0</v>
      </c>
      <c r="G52" s="13">
        <v>27839.0</v>
      </c>
      <c r="H52" s="14">
        <f t="array" ref="H52">XLOOKUP(D52,'Regional Details'!$B$14:$B$29,'Regional Details'!$C$14:$C$29)</f>
        <v>0.05</v>
      </c>
      <c r="I52" s="13">
        <f t="shared" si="2"/>
        <v>135</v>
      </c>
      <c r="J52" s="13">
        <f t="shared" si="3"/>
        <v>128.25</v>
      </c>
      <c r="K52" s="15">
        <f t="shared" si="4"/>
        <v>3368229.75</v>
      </c>
      <c r="L52" s="13">
        <f t="shared" si="5"/>
        <v>3758265</v>
      </c>
      <c r="M52" s="13">
        <f t="shared" si="6"/>
        <v>74.03</v>
      </c>
      <c r="N52" s="13">
        <f t="shared" si="7"/>
        <v>73.16</v>
      </c>
      <c r="O52" s="13">
        <f t="shared" ref="O52:P52" si="57">M52*F52</f>
        <v>1944249.89</v>
      </c>
      <c r="P52" s="13">
        <f t="shared" si="57"/>
        <v>2036701.24</v>
      </c>
      <c r="Q52" s="13"/>
    </row>
    <row r="53" ht="15.75" customHeight="1">
      <c r="A53" s="13" t="s">
        <v>53</v>
      </c>
      <c r="B53" s="13" t="str">
        <f t="array" ref="B53">XLOOKUP(A53,Abbreviation!$A$17:$A$22,Abbreviation!$B$17:$B$22)</f>
        <v>February</v>
      </c>
      <c r="C53" s="13" t="str">
        <f t="array" ref="C53">XLOOKUP(D53,'Regional Details'!$B$14:$B$29,'Regional Details'!$A$14:$A$29)</f>
        <v>East</v>
      </c>
      <c r="D53" s="13" t="s">
        <v>21</v>
      </c>
      <c r="E53" s="13" t="s">
        <v>29</v>
      </c>
      <c r="F53" s="13">
        <v>16526.0</v>
      </c>
      <c r="G53" s="13">
        <v>17022.0</v>
      </c>
      <c r="H53" s="14">
        <f t="array" ref="H53">XLOOKUP(D53,'Regional Details'!$B$14:$B$29,'Regional Details'!$C$14:$C$29)</f>
        <v>0.05</v>
      </c>
      <c r="I53" s="13">
        <f t="shared" si="2"/>
        <v>60</v>
      </c>
      <c r="J53" s="13">
        <f t="shared" si="3"/>
        <v>57</v>
      </c>
      <c r="K53" s="15">
        <f t="shared" si="4"/>
        <v>941982</v>
      </c>
      <c r="L53" s="13">
        <f t="shared" si="5"/>
        <v>1021320</v>
      </c>
      <c r="M53" s="13">
        <f t="shared" si="6"/>
        <v>33.75</v>
      </c>
      <c r="N53" s="13">
        <f t="shared" si="7"/>
        <v>29.89</v>
      </c>
      <c r="O53" s="13">
        <f t="shared" ref="O53:P53" si="58">M53*F53</f>
        <v>557752.5</v>
      </c>
      <c r="P53" s="13">
        <f t="shared" si="58"/>
        <v>508787.58</v>
      </c>
      <c r="Q53" s="13"/>
    </row>
    <row r="54" ht="15.75" customHeight="1">
      <c r="A54" s="13" t="s">
        <v>53</v>
      </c>
      <c r="B54" s="13" t="str">
        <f t="array" ref="B54">XLOOKUP(A54,Abbreviation!$A$17:$A$22,Abbreviation!$B$17:$B$22)</f>
        <v>February</v>
      </c>
      <c r="C54" s="13" t="str">
        <f t="array" ref="C54">XLOOKUP(D54,'Regional Details'!$B$14:$B$29,'Regional Details'!$A$14:$A$29)</f>
        <v>West</v>
      </c>
      <c r="D54" s="13" t="s">
        <v>22</v>
      </c>
      <c r="E54" s="13" t="s">
        <v>31</v>
      </c>
      <c r="F54" s="13">
        <v>20866.0</v>
      </c>
      <c r="G54" s="13">
        <v>21283.0</v>
      </c>
      <c r="H54" s="14">
        <f t="array" ref="H54">XLOOKUP(D54,'Regional Details'!$B$14:$B$29,'Regional Details'!$C$14:$C$29)</f>
        <v>0.05</v>
      </c>
      <c r="I54" s="13">
        <f t="shared" si="2"/>
        <v>135</v>
      </c>
      <c r="J54" s="13">
        <f t="shared" si="3"/>
        <v>128.25</v>
      </c>
      <c r="K54" s="15">
        <f t="shared" si="4"/>
        <v>2676064.5</v>
      </c>
      <c r="L54" s="13">
        <f t="shared" si="5"/>
        <v>2873205</v>
      </c>
      <c r="M54" s="13">
        <f t="shared" si="6"/>
        <v>74.03</v>
      </c>
      <c r="N54" s="13">
        <f t="shared" si="7"/>
        <v>73.16</v>
      </c>
      <c r="O54" s="13">
        <f t="shared" ref="O54:P54" si="59">M54*F54</f>
        <v>1544709.98</v>
      </c>
      <c r="P54" s="13">
        <f t="shared" si="59"/>
        <v>1557064.28</v>
      </c>
      <c r="Q54" s="13"/>
    </row>
    <row r="55" ht="15.75" customHeight="1">
      <c r="A55" s="13" t="s">
        <v>53</v>
      </c>
      <c r="B55" s="13" t="str">
        <f t="array" ref="B55">XLOOKUP(A55,Abbreviation!$A$17:$A$22,Abbreviation!$B$17:$B$22)</f>
        <v>February</v>
      </c>
      <c r="C55" s="13" t="str">
        <f t="array" ref="C55">XLOOKUP(D55,'Regional Details'!$B$14:$B$29,'Regional Details'!$A$14:$A$29)</f>
        <v>West</v>
      </c>
      <c r="D55" s="13" t="s">
        <v>22</v>
      </c>
      <c r="E55" s="13" t="s">
        <v>29</v>
      </c>
      <c r="F55" s="13">
        <v>16493.0</v>
      </c>
      <c r="G55" s="13">
        <v>16988.0</v>
      </c>
      <c r="H55" s="14">
        <f t="array" ref="H55">XLOOKUP(D55,'Regional Details'!$B$14:$B$29,'Regional Details'!$C$14:$C$29)</f>
        <v>0.05</v>
      </c>
      <c r="I55" s="13">
        <f t="shared" si="2"/>
        <v>60</v>
      </c>
      <c r="J55" s="13">
        <f t="shared" si="3"/>
        <v>57</v>
      </c>
      <c r="K55" s="15">
        <f t="shared" si="4"/>
        <v>940101</v>
      </c>
      <c r="L55" s="13">
        <f t="shared" si="5"/>
        <v>1019280</v>
      </c>
      <c r="M55" s="13">
        <f t="shared" si="6"/>
        <v>33.75</v>
      </c>
      <c r="N55" s="13">
        <f t="shared" si="7"/>
        <v>29.89</v>
      </c>
      <c r="O55" s="13">
        <f t="shared" ref="O55:P55" si="60">M55*F55</f>
        <v>556638.75</v>
      </c>
      <c r="P55" s="13">
        <f t="shared" si="60"/>
        <v>507771.32</v>
      </c>
      <c r="Q55" s="13"/>
    </row>
    <row r="56" ht="15.75" customHeight="1">
      <c r="A56" s="13" t="s">
        <v>53</v>
      </c>
      <c r="B56" s="13" t="str">
        <f t="array" ref="B56">XLOOKUP(A56,Abbreviation!$A$17:$A$22,Abbreviation!$B$17:$B$22)</f>
        <v>February</v>
      </c>
      <c r="C56" s="13" t="str">
        <f t="array" ref="C56">XLOOKUP(D56,'Regional Details'!$B$14:$B$29,'Regional Details'!$A$14:$A$29)</f>
        <v>South</v>
      </c>
      <c r="D56" s="13" t="s">
        <v>23</v>
      </c>
      <c r="E56" s="13" t="s">
        <v>31</v>
      </c>
      <c r="F56" s="13">
        <v>29078.0</v>
      </c>
      <c r="G56" s="13">
        <v>33730.0</v>
      </c>
      <c r="H56" s="14">
        <f t="array" ref="H56">XLOOKUP(D56,'Regional Details'!$B$14:$B$29,'Regional Details'!$C$14:$C$29)</f>
        <v>0</v>
      </c>
      <c r="I56" s="13">
        <f t="shared" si="2"/>
        <v>135</v>
      </c>
      <c r="J56" s="13">
        <f t="shared" si="3"/>
        <v>135</v>
      </c>
      <c r="K56" s="15">
        <f t="shared" si="4"/>
        <v>3925530</v>
      </c>
      <c r="L56" s="13">
        <f t="shared" si="5"/>
        <v>4553550</v>
      </c>
      <c r="M56" s="13">
        <f t="shared" si="6"/>
        <v>74.03</v>
      </c>
      <c r="N56" s="13">
        <f t="shared" si="7"/>
        <v>73.16</v>
      </c>
      <c r="O56" s="13">
        <f t="shared" ref="O56:P56" si="61">M56*F56</f>
        <v>2152644.34</v>
      </c>
      <c r="P56" s="13">
        <f t="shared" si="61"/>
        <v>2467686.8</v>
      </c>
      <c r="Q56" s="13"/>
    </row>
    <row r="57" ht="15.75" customHeight="1">
      <c r="A57" s="13" t="s">
        <v>53</v>
      </c>
      <c r="B57" s="13" t="str">
        <f t="array" ref="B57">XLOOKUP(A57,Abbreviation!$A$17:$A$22,Abbreviation!$B$17:$B$22)</f>
        <v>February</v>
      </c>
      <c r="C57" s="13" t="str">
        <f t="array" ref="C57">XLOOKUP(D57,'Regional Details'!$B$14:$B$29,'Regional Details'!$A$14:$A$29)</f>
        <v>South</v>
      </c>
      <c r="D57" s="13" t="s">
        <v>23</v>
      </c>
      <c r="E57" s="13" t="s">
        <v>29</v>
      </c>
      <c r="F57" s="13">
        <v>28842.0</v>
      </c>
      <c r="G57" s="13">
        <v>31726.0</v>
      </c>
      <c r="H57" s="14">
        <f t="array" ref="H57">XLOOKUP(D57,'Regional Details'!$B$14:$B$29,'Regional Details'!$C$14:$C$29)</f>
        <v>0</v>
      </c>
      <c r="I57" s="13">
        <f t="shared" si="2"/>
        <v>60</v>
      </c>
      <c r="J57" s="13">
        <f t="shared" si="3"/>
        <v>60</v>
      </c>
      <c r="K57" s="15">
        <f t="shared" si="4"/>
        <v>1730520</v>
      </c>
      <c r="L57" s="13">
        <f t="shared" si="5"/>
        <v>1903560</v>
      </c>
      <c r="M57" s="13">
        <f t="shared" si="6"/>
        <v>33.75</v>
      </c>
      <c r="N57" s="13">
        <f t="shared" si="7"/>
        <v>29.89</v>
      </c>
      <c r="O57" s="13">
        <f t="shared" ref="O57:P57" si="62">M57*F57</f>
        <v>973417.5</v>
      </c>
      <c r="P57" s="13">
        <f t="shared" si="62"/>
        <v>948290.14</v>
      </c>
      <c r="Q57" s="13"/>
    </row>
    <row r="58" ht="15.75" customHeight="1">
      <c r="A58" s="13" t="s">
        <v>53</v>
      </c>
      <c r="B58" s="13" t="str">
        <f t="array" ref="B58">XLOOKUP(A58,Abbreviation!$A$17:$A$22,Abbreviation!$B$17:$B$22)</f>
        <v>February</v>
      </c>
      <c r="C58" s="13" t="str">
        <f t="array" ref="C58">XLOOKUP(D58,'Regional Details'!$B$14:$B$29,'Regional Details'!$A$14:$A$29)</f>
        <v>North</v>
      </c>
      <c r="D58" s="13" t="s">
        <v>24</v>
      </c>
      <c r="E58" s="13" t="s">
        <v>31</v>
      </c>
      <c r="F58" s="13">
        <v>21865.0</v>
      </c>
      <c r="G58" s="13">
        <v>23614.0</v>
      </c>
      <c r="H58" s="16">
        <f t="array" ref="H58">XLOOKUP(D58,'Regional Details'!$B$14:$B$29,'Regional Details'!$C$14:$C$29)</f>
        <v>0.125</v>
      </c>
      <c r="I58" s="13">
        <f t="shared" si="2"/>
        <v>135</v>
      </c>
      <c r="J58" s="13">
        <f t="shared" si="3"/>
        <v>118.125</v>
      </c>
      <c r="K58" s="15">
        <f t="shared" si="4"/>
        <v>2582803.125</v>
      </c>
      <c r="L58" s="13">
        <f t="shared" si="5"/>
        <v>3187890</v>
      </c>
      <c r="M58" s="13">
        <f t="shared" si="6"/>
        <v>74.03</v>
      </c>
      <c r="N58" s="13">
        <f t="shared" si="7"/>
        <v>73.16</v>
      </c>
      <c r="O58" s="13">
        <f t="shared" ref="O58:P58" si="63">M58*F58</f>
        <v>1618665.95</v>
      </c>
      <c r="P58" s="13">
        <f t="shared" si="63"/>
        <v>1727600.24</v>
      </c>
      <c r="Q58" s="13"/>
    </row>
    <row r="59" ht="15.75" customHeight="1">
      <c r="A59" s="13" t="s">
        <v>53</v>
      </c>
      <c r="B59" s="13" t="str">
        <f t="array" ref="B59">XLOOKUP(A59,Abbreviation!$A$17:$A$22,Abbreviation!$B$17:$B$22)</f>
        <v>February</v>
      </c>
      <c r="C59" s="13" t="str">
        <f t="array" ref="C59">XLOOKUP(D59,'Regional Details'!$B$14:$B$29,'Regional Details'!$A$14:$A$29)</f>
        <v>North</v>
      </c>
      <c r="D59" s="13" t="s">
        <v>24</v>
      </c>
      <c r="E59" s="13" t="s">
        <v>29</v>
      </c>
      <c r="F59" s="13">
        <v>13454.0</v>
      </c>
      <c r="G59" s="13">
        <v>14530.0</v>
      </c>
      <c r="H59" s="16">
        <f t="array" ref="H59">XLOOKUP(D59,'Regional Details'!$B$14:$B$29,'Regional Details'!$C$14:$C$29)</f>
        <v>0.125</v>
      </c>
      <c r="I59" s="13">
        <f t="shared" si="2"/>
        <v>60</v>
      </c>
      <c r="J59" s="13">
        <f t="shared" si="3"/>
        <v>52.5</v>
      </c>
      <c r="K59" s="15">
        <f t="shared" si="4"/>
        <v>706335</v>
      </c>
      <c r="L59" s="13">
        <f t="shared" si="5"/>
        <v>871800</v>
      </c>
      <c r="M59" s="13">
        <f t="shared" si="6"/>
        <v>33.75</v>
      </c>
      <c r="N59" s="13">
        <f t="shared" si="7"/>
        <v>29.89</v>
      </c>
      <c r="O59" s="13">
        <f t="shared" ref="O59:P59" si="64">M59*F59</f>
        <v>454072.5</v>
      </c>
      <c r="P59" s="13">
        <f t="shared" si="64"/>
        <v>434301.7</v>
      </c>
      <c r="Q59" s="13"/>
    </row>
    <row r="60" ht="15.75" customHeight="1">
      <c r="A60" s="13" t="s">
        <v>53</v>
      </c>
      <c r="B60" s="13" t="str">
        <f t="array" ref="B60">XLOOKUP(A60,Abbreviation!$A$17:$A$22,Abbreviation!$B$17:$B$22)</f>
        <v>February</v>
      </c>
      <c r="C60" s="13" t="str">
        <f t="array" ref="C60">XLOOKUP(D60,'Regional Details'!$B$14:$B$29,'Regional Details'!$A$14:$A$29)</f>
        <v>South</v>
      </c>
      <c r="D60" s="13" t="s">
        <v>27</v>
      </c>
      <c r="E60" s="13" t="s">
        <v>31</v>
      </c>
      <c r="F60" s="13">
        <v>24236.0</v>
      </c>
      <c r="G60" s="13">
        <v>24721.0</v>
      </c>
      <c r="H60" s="14">
        <f t="array" ref="H60">XLOOKUP(D60,'Regional Details'!$B$14:$B$29,'Regional Details'!$C$14:$C$29)</f>
        <v>0.1</v>
      </c>
      <c r="I60" s="13">
        <f t="shared" si="2"/>
        <v>135</v>
      </c>
      <c r="J60" s="13">
        <f t="shared" si="3"/>
        <v>121.5</v>
      </c>
      <c r="K60" s="15">
        <f t="shared" si="4"/>
        <v>2944674</v>
      </c>
      <c r="L60" s="13">
        <f t="shared" si="5"/>
        <v>3337335</v>
      </c>
      <c r="M60" s="13">
        <f t="shared" si="6"/>
        <v>74.03</v>
      </c>
      <c r="N60" s="13">
        <f t="shared" si="7"/>
        <v>73.16</v>
      </c>
      <c r="O60" s="13">
        <f t="shared" ref="O60:P60" si="65">M60*F60</f>
        <v>1794191.08</v>
      </c>
      <c r="P60" s="13">
        <f t="shared" si="65"/>
        <v>1808588.36</v>
      </c>
      <c r="Q60" s="13"/>
    </row>
    <row r="61" ht="15.75" customHeight="1">
      <c r="A61" s="13" t="s">
        <v>53</v>
      </c>
      <c r="B61" s="13" t="str">
        <f t="array" ref="B61">XLOOKUP(A61,Abbreviation!$A$17:$A$22,Abbreviation!$B$17:$B$22)</f>
        <v>February</v>
      </c>
      <c r="C61" s="13" t="str">
        <f t="array" ref="C61">XLOOKUP(D61,'Regional Details'!$B$14:$B$29,'Regional Details'!$A$14:$A$29)</f>
        <v>South</v>
      </c>
      <c r="D61" s="13" t="s">
        <v>27</v>
      </c>
      <c r="E61" s="13" t="s">
        <v>29</v>
      </c>
      <c r="F61" s="13">
        <v>14406.0</v>
      </c>
      <c r="G61" s="13">
        <v>15270.0</v>
      </c>
      <c r="H61" s="14">
        <f t="array" ref="H61">XLOOKUP(D61,'Regional Details'!$B$14:$B$29,'Regional Details'!$C$14:$C$29)</f>
        <v>0.1</v>
      </c>
      <c r="I61" s="13">
        <f t="shared" si="2"/>
        <v>60</v>
      </c>
      <c r="J61" s="13">
        <f t="shared" si="3"/>
        <v>54</v>
      </c>
      <c r="K61" s="15">
        <f t="shared" si="4"/>
        <v>777924</v>
      </c>
      <c r="L61" s="13">
        <f t="shared" si="5"/>
        <v>916200</v>
      </c>
      <c r="M61" s="13">
        <f t="shared" si="6"/>
        <v>33.75</v>
      </c>
      <c r="N61" s="13">
        <f t="shared" si="7"/>
        <v>29.89</v>
      </c>
      <c r="O61" s="13">
        <f t="shared" ref="O61:P61" si="66">M61*F61</f>
        <v>486202.5</v>
      </c>
      <c r="P61" s="13">
        <f t="shared" si="66"/>
        <v>456420.3</v>
      </c>
      <c r="Q61" s="13"/>
    </row>
    <row r="62" ht="15.75" customHeight="1">
      <c r="A62" s="13" t="s">
        <v>53</v>
      </c>
      <c r="B62" s="13" t="str">
        <f t="array" ref="B62">XLOOKUP(A62,Abbreviation!$A$17:$A$22,Abbreviation!$B$17:$B$22)</f>
        <v>February</v>
      </c>
      <c r="C62" s="13" t="str">
        <f t="array" ref="C62">XLOOKUP(D62,'Regional Details'!$B$14:$B$29,'Regional Details'!$A$14:$A$29)</f>
        <v>West</v>
      </c>
      <c r="D62" s="13" t="s">
        <v>26</v>
      </c>
      <c r="E62" s="13" t="s">
        <v>31</v>
      </c>
      <c r="F62" s="13">
        <v>23105.0</v>
      </c>
      <c r="G62" s="13">
        <v>28188.0</v>
      </c>
      <c r="H62" s="14">
        <f t="array" ref="H62">XLOOKUP(D62,'Regional Details'!$B$14:$B$29,'Regional Details'!$C$14:$C$29)</f>
        <v>0</v>
      </c>
      <c r="I62" s="13">
        <f t="shared" si="2"/>
        <v>135</v>
      </c>
      <c r="J62" s="13">
        <f t="shared" si="3"/>
        <v>135</v>
      </c>
      <c r="K62" s="15">
        <f t="shared" si="4"/>
        <v>3119175</v>
      </c>
      <c r="L62" s="13">
        <f t="shared" si="5"/>
        <v>3805380</v>
      </c>
      <c r="M62" s="13">
        <f t="shared" si="6"/>
        <v>74.03</v>
      </c>
      <c r="N62" s="13">
        <f t="shared" si="7"/>
        <v>73.16</v>
      </c>
      <c r="O62" s="13">
        <f t="shared" ref="O62:P62" si="67">M62*F62</f>
        <v>1710463.15</v>
      </c>
      <c r="P62" s="13">
        <f t="shared" si="67"/>
        <v>2062234.08</v>
      </c>
      <c r="Q62" s="13"/>
    </row>
    <row r="63" ht="15.75" customHeight="1">
      <c r="A63" s="13" t="s">
        <v>53</v>
      </c>
      <c r="B63" s="13" t="str">
        <f t="array" ref="B63">XLOOKUP(A63,Abbreviation!$A$17:$A$22,Abbreviation!$B$17:$B$22)</f>
        <v>February</v>
      </c>
      <c r="C63" s="13" t="str">
        <f t="array" ref="C63">XLOOKUP(D63,'Regional Details'!$B$14:$B$29,'Regional Details'!$A$14:$A$29)</f>
        <v>West</v>
      </c>
      <c r="D63" s="13" t="s">
        <v>26</v>
      </c>
      <c r="E63" s="13" t="s">
        <v>29</v>
      </c>
      <c r="F63" s="13">
        <v>17683.0</v>
      </c>
      <c r="G63" s="13">
        <v>21573.0</v>
      </c>
      <c r="H63" s="14">
        <f t="array" ref="H63">XLOOKUP(D63,'Regional Details'!$B$14:$B$29,'Regional Details'!$C$14:$C$29)</f>
        <v>0</v>
      </c>
      <c r="I63" s="13">
        <f t="shared" si="2"/>
        <v>60</v>
      </c>
      <c r="J63" s="13">
        <f t="shared" si="3"/>
        <v>60</v>
      </c>
      <c r="K63" s="15">
        <f t="shared" si="4"/>
        <v>1060980</v>
      </c>
      <c r="L63" s="13">
        <f t="shared" si="5"/>
        <v>1294380</v>
      </c>
      <c r="M63" s="13">
        <f t="shared" si="6"/>
        <v>33.75</v>
      </c>
      <c r="N63" s="13">
        <f t="shared" si="7"/>
        <v>29.89</v>
      </c>
      <c r="O63" s="13">
        <f t="shared" ref="O63:P63" si="68">M63*F63</f>
        <v>596801.25</v>
      </c>
      <c r="P63" s="13">
        <f t="shared" si="68"/>
        <v>644816.97</v>
      </c>
      <c r="Q63" s="13"/>
    </row>
    <row r="64" ht="15.75" customHeight="1">
      <c r="A64" s="13" t="s">
        <v>53</v>
      </c>
      <c r="B64" s="13" t="str">
        <f t="array" ref="B64">XLOOKUP(A64,Abbreviation!$A$17:$A$22,Abbreviation!$B$17:$B$22)</f>
        <v>February</v>
      </c>
      <c r="C64" s="13" t="str">
        <f t="array" ref="C64">XLOOKUP(D64,'Regional Details'!$B$14:$B$29,'Regional Details'!$A$14:$A$29)</f>
        <v>East</v>
      </c>
      <c r="D64" s="13" t="s">
        <v>25</v>
      </c>
      <c r="E64" s="13" t="s">
        <v>31</v>
      </c>
      <c r="F64" s="13">
        <v>20260.0</v>
      </c>
      <c r="G64" s="13">
        <v>23907.0</v>
      </c>
      <c r="H64" s="14">
        <f t="array" ref="H64">XLOOKUP(D64,'Regional Details'!$B$14:$B$29,'Regional Details'!$C$14:$C$29)</f>
        <v>0.05</v>
      </c>
      <c r="I64" s="13">
        <f t="shared" si="2"/>
        <v>135</v>
      </c>
      <c r="J64" s="13">
        <f t="shared" si="3"/>
        <v>128.25</v>
      </c>
      <c r="K64" s="15">
        <f t="shared" si="4"/>
        <v>2598345</v>
      </c>
      <c r="L64" s="13">
        <f t="shared" si="5"/>
        <v>3227445</v>
      </c>
      <c r="M64" s="13">
        <f t="shared" si="6"/>
        <v>74.03</v>
      </c>
      <c r="N64" s="13">
        <f t="shared" si="7"/>
        <v>73.16</v>
      </c>
      <c r="O64" s="13">
        <f t="shared" ref="O64:P64" si="69">M64*F64</f>
        <v>1499847.8</v>
      </c>
      <c r="P64" s="13">
        <f t="shared" si="69"/>
        <v>1749036.12</v>
      </c>
      <c r="Q64" s="13"/>
    </row>
    <row r="65" ht="15.75" customHeight="1">
      <c r="A65" s="13" t="s">
        <v>53</v>
      </c>
      <c r="B65" s="13" t="str">
        <f t="array" ref="B65">XLOOKUP(A65,Abbreviation!$A$17:$A$22,Abbreviation!$B$17:$B$22)</f>
        <v>February</v>
      </c>
      <c r="C65" s="13" t="str">
        <f t="array" ref="C65">XLOOKUP(D65,'Regional Details'!$B$14:$B$29,'Regional Details'!$A$14:$A$29)</f>
        <v>East</v>
      </c>
      <c r="D65" s="13" t="s">
        <v>25</v>
      </c>
      <c r="E65" s="13" t="s">
        <v>29</v>
      </c>
      <c r="F65" s="13">
        <v>26296.0</v>
      </c>
      <c r="G65" s="13">
        <v>32607.0</v>
      </c>
      <c r="H65" s="14">
        <f t="array" ref="H65">XLOOKUP(D65,'Regional Details'!$B$14:$B$29,'Regional Details'!$C$14:$C$29)</f>
        <v>0.05</v>
      </c>
      <c r="I65" s="13">
        <f t="shared" si="2"/>
        <v>60</v>
      </c>
      <c r="J65" s="13">
        <f t="shared" si="3"/>
        <v>57</v>
      </c>
      <c r="K65" s="15">
        <f t="shared" si="4"/>
        <v>1498872</v>
      </c>
      <c r="L65" s="13">
        <f t="shared" si="5"/>
        <v>1956420</v>
      </c>
      <c r="M65" s="13">
        <f t="shared" si="6"/>
        <v>33.75</v>
      </c>
      <c r="N65" s="13">
        <f t="shared" si="7"/>
        <v>29.89</v>
      </c>
      <c r="O65" s="13">
        <f t="shared" ref="O65:P65" si="70">M65*F65</f>
        <v>887490</v>
      </c>
      <c r="P65" s="13">
        <f t="shared" si="70"/>
        <v>974623.23</v>
      </c>
      <c r="Q65" s="13"/>
    </row>
    <row r="66" ht="15.75" customHeight="1">
      <c r="A66" s="13" t="s">
        <v>55</v>
      </c>
      <c r="B66" s="13" t="str">
        <f t="array" ref="B66">XLOOKUP(A66,Abbreviation!$A$17:$A$22,Abbreviation!$B$17:$B$22)</f>
        <v>March</v>
      </c>
      <c r="C66" s="13" t="str">
        <f t="array" ref="C66">XLOOKUP(D66,'Regional Details'!$B$14:$B$29,'Regional Details'!$A$14:$A$29)</f>
        <v>North</v>
      </c>
      <c r="D66" s="13" t="s">
        <v>12</v>
      </c>
      <c r="E66" s="13" t="s">
        <v>31</v>
      </c>
      <c r="F66" s="13">
        <v>28430.0</v>
      </c>
      <c r="G66" s="13">
        <v>33832.0</v>
      </c>
      <c r="H66" s="14">
        <f t="array" ref="H66">XLOOKUP(D66,'Regional Details'!$B$14:$B$29,'Regional Details'!$C$14:$C$29)</f>
        <v>0</v>
      </c>
      <c r="I66" s="13">
        <f t="shared" si="2"/>
        <v>135</v>
      </c>
      <c r="J66" s="13">
        <f t="shared" si="3"/>
        <v>135</v>
      </c>
      <c r="K66" s="15">
        <f t="shared" si="4"/>
        <v>3838050</v>
      </c>
      <c r="L66" s="13">
        <f t="shared" si="5"/>
        <v>4567320</v>
      </c>
      <c r="M66" s="13">
        <f t="shared" si="6"/>
        <v>74.03</v>
      </c>
      <c r="N66" s="13">
        <f t="shared" si="7"/>
        <v>73.16</v>
      </c>
      <c r="O66" s="13">
        <f t="shared" ref="O66:P66" si="71">M66*F66</f>
        <v>2104672.9</v>
      </c>
      <c r="P66" s="13">
        <f t="shared" si="71"/>
        <v>2475149.12</v>
      </c>
      <c r="Q66" s="13"/>
    </row>
    <row r="67" ht="15.75" customHeight="1">
      <c r="A67" s="13" t="s">
        <v>55</v>
      </c>
      <c r="B67" s="13" t="str">
        <f t="array" ref="B67">XLOOKUP(A67,Abbreviation!$A$17:$A$22,Abbreviation!$B$17:$B$22)</f>
        <v>March</v>
      </c>
      <c r="C67" s="13" t="str">
        <f t="array" ref="C67">XLOOKUP(D67,'Regional Details'!$B$14:$B$29,'Regional Details'!$A$14:$A$29)</f>
        <v>North</v>
      </c>
      <c r="D67" s="13" t="s">
        <v>12</v>
      </c>
      <c r="E67" s="13" t="s">
        <v>29</v>
      </c>
      <c r="F67" s="13">
        <v>22212.0</v>
      </c>
      <c r="G67" s="13">
        <v>25988.0</v>
      </c>
      <c r="H67" s="14">
        <f t="array" ref="H67">XLOOKUP(D67,'Regional Details'!$B$14:$B$29,'Regional Details'!$C$14:$C$29)</f>
        <v>0</v>
      </c>
      <c r="I67" s="13">
        <f t="shared" si="2"/>
        <v>60</v>
      </c>
      <c r="J67" s="13">
        <f t="shared" si="3"/>
        <v>60</v>
      </c>
      <c r="K67" s="15">
        <f t="shared" si="4"/>
        <v>1332720</v>
      </c>
      <c r="L67" s="13">
        <f t="shared" si="5"/>
        <v>1559280</v>
      </c>
      <c r="M67" s="13">
        <f t="shared" si="6"/>
        <v>33.75</v>
      </c>
      <c r="N67" s="13">
        <f t="shared" si="7"/>
        <v>29.89</v>
      </c>
      <c r="O67" s="13">
        <f t="shared" ref="O67:P67" si="72">M67*F67</f>
        <v>749655</v>
      </c>
      <c r="P67" s="13">
        <f t="shared" si="72"/>
        <v>776781.32</v>
      </c>
      <c r="Q67" s="13"/>
    </row>
    <row r="68" ht="15.75" customHeight="1">
      <c r="A68" s="13" t="s">
        <v>55</v>
      </c>
      <c r="B68" s="13" t="str">
        <f t="array" ref="B68">XLOOKUP(A68,Abbreviation!$A$17:$A$22,Abbreviation!$B$17:$B$22)</f>
        <v>March</v>
      </c>
      <c r="C68" s="13" t="str">
        <f t="array" ref="C68">XLOOKUP(D68,'Regional Details'!$B$14:$B$29,'Regional Details'!$A$14:$A$29)</f>
        <v>East</v>
      </c>
      <c r="D68" s="13" t="s">
        <v>13</v>
      </c>
      <c r="E68" s="13" t="s">
        <v>31</v>
      </c>
      <c r="F68" s="13">
        <v>15565.0</v>
      </c>
      <c r="G68" s="13">
        <v>17900.0</v>
      </c>
      <c r="H68" s="14">
        <f t="array" ref="H68">XLOOKUP(D68,'Regional Details'!$B$14:$B$29,'Regional Details'!$C$14:$C$29)</f>
        <v>0</v>
      </c>
      <c r="I68" s="13">
        <f t="shared" si="2"/>
        <v>135</v>
      </c>
      <c r="J68" s="13">
        <f t="shared" si="3"/>
        <v>135</v>
      </c>
      <c r="K68" s="15">
        <f t="shared" si="4"/>
        <v>2101275</v>
      </c>
      <c r="L68" s="13">
        <f t="shared" si="5"/>
        <v>2416500</v>
      </c>
      <c r="M68" s="13">
        <f t="shared" si="6"/>
        <v>74.03</v>
      </c>
      <c r="N68" s="13">
        <f t="shared" si="7"/>
        <v>73.16</v>
      </c>
      <c r="O68" s="13">
        <f t="shared" ref="O68:P68" si="73">M68*F68</f>
        <v>1152276.95</v>
      </c>
      <c r="P68" s="13">
        <f t="shared" si="73"/>
        <v>1309564</v>
      </c>
      <c r="Q68" s="13"/>
    </row>
    <row r="69" ht="15.75" customHeight="1">
      <c r="A69" s="13" t="s">
        <v>55</v>
      </c>
      <c r="B69" s="13" t="str">
        <f t="array" ref="B69">XLOOKUP(A69,Abbreviation!$A$17:$A$22,Abbreviation!$B$17:$B$22)</f>
        <v>March</v>
      </c>
      <c r="C69" s="13" t="str">
        <f t="array" ref="C69">XLOOKUP(D69,'Regional Details'!$B$14:$B$29,'Regional Details'!$A$14:$A$29)</f>
        <v>East</v>
      </c>
      <c r="D69" s="13" t="s">
        <v>13</v>
      </c>
      <c r="E69" s="13" t="s">
        <v>29</v>
      </c>
      <c r="F69" s="13">
        <v>29813.0</v>
      </c>
      <c r="G69" s="13">
        <v>34285.0</v>
      </c>
      <c r="H69" s="14">
        <f t="array" ref="H69">XLOOKUP(D69,'Regional Details'!$B$14:$B$29,'Regional Details'!$C$14:$C$29)</f>
        <v>0</v>
      </c>
      <c r="I69" s="13">
        <f t="shared" si="2"/>
        <v>60</v>
      </c>
      <c r="J69" s="13">
        <f t="shared" si="3"/>
        <v>60</v>
      </c>
      <c r="K69" s="15">
        <f t="shared" si="4"/>
        <v>1788780</v>
      </c>
      <c r="L69" s="13">
        <f t="shared" si="5"/>
        <v>2057100</v>
      </c>
      <c r="M69" s="13">
        <f t="shared" si="6"/>
        <v>33.75</v>
      </c>
      <c r="N69" s="13">
        <f t="shared" si="7"/>
        <v>29.89</v>
      </c>
      <c r="O69" s="13">
        <f t="shared" ref="O69:P69" si="74">M69*F69</f>
        <v>1006188.75</v>
      </c>
      <c r="P69" s="13">
        <f t="shared" si="74"/>
        <v>1024778.65</v>
      </c>
      <c r="Q69" s="13"/>
    </row>
    <row r="70" ht="15.75" customHeight="1">
      <c r="A70" s="13" t="s">
        <v>55</v>
      </c>
      <c r="B70" s="13" t="str">
        <f t="array" ref="B70">XLOOKUP(A70,Abbreviation!$A$17:$A$22,Abbreviation!$B$17:$B$22)</f>
        <v>March</v>
      </c>
      <c r="C70" s="13" t="str">
        <f t="array" ref="C70">XLOOKUP(D70,'Regional Details'!$B$14:$B$29,'Regional Details'!$A$14:$A$29)</f>
        <v>West</v>
      </c>
      <c r="D70" s="13" t="s">
        <v>14</v>
      </c>
      <c r="E70" s="13" t="s">
        <v>31</v>
      </c>
      <c r="F70" s="13">
        <v>18789.0</v>
      </c>
      <c r="G70" s="13">
        <v>23110.0</v>
      </c>
      <c r="H70" s="14">
        <f t="array" ref="H70">XLOOKUP(D70,'Regional Details'!$B$14:$B$29,'Regional Details'!$C$14:$C$29)</f>
        <v>0</v>
      </c>
      <c r="I70" s="13">
        <f t="shared" si="2"/>
        <v>135</v>
      </c>
      <c r="J70" s="13">
        <f t="shared" si="3"/>
        <v>135</v>
      </c>
      <c r="K70" s="15">
        <f t="shared" si="4"/>
        <v>2536515</v>
      </c>
      <c r="L70" s="13">
        <f t="shared" si="5"/>
        <v>3119850</v>
      </c>
      <c r="M70" s="13">
        <f t="shared" si="6"/>
        <v>74.03</v>
      </c>
      <c r="N70" s="13">
        <f t="shared" si="7"/>
        <v>73.16</v>
      </c>
      <c r="O70" s="13">
        <f t="shared" ref="O70:P70" si="75">M70*F70</f>
        <v>1390949.67</v>
      </c>
      <c r="P70" s="13">
        <f t="shared" si="75"/>
        <v>1690727.6</v>
      </c>
      <c r="Q70" s="13"/>
    </row>
    <row r="71" ht="15.75" customHeight="1">
      <c r="A71" s="13" t="s">
        <v>55</v>
      </c>
      <c r="B71" s="13" t="str">
        <f t="array" ref="B71">XLOOKUP(A71,Abbreviation!$A$17:$A$22,Abbreviation!$B$17:$B$22)</f>
        <v>March</v>
      </c>
      <c r="C71" s="13" t="str">
        <f t="array" ref="C71">XLOOKUP(D71,'Regional Details'!$B$14:$B$29,'Regional Details'!$A$14:$A$29)</f>
        <v>West</v>
      </c>
      <c r="D71" s="13" t="s">
        <v>14</v>
      </c>
      <c r="E71" s="13" t="s">
        <v>29</v>
      </c>
      <c r="F71" s="13">
        <v>21999.0</v>
      </c>
      <c r="G71" s="13">
        <v>24199.0</v>
      </c>
      <c r="H71" s="14">
        <f t="array" ref="H71">XLOOKUP(D71,'Regional Details'!$B$14:$B$29,'Regional Details'!$C$14:$C$29)</f>
        <v>0</v>
      </c>
      <c r="I71" s="13">
        <f t="shared" si="2"/>
        <v>60</v>
      </c>
      <c r="J71" s="13">
        <f t="shared" si="3"/>
        <v>60</v>
      </c>
      <c r="K71" s="15">
        <f t="shared" si="4"/>
        <v>1319940</v>
      </c>
      <c r="L71" s="13">
        <f t="shared" si="5"/>
        <v>1451940</v>
      </c>
      <c r="M71" s="13">
        <f t="shared" si="6"/>
        <v>33.75</v>
      </c>
      <c r="N71" s="13">
        <f t="shared" si="7"/>
        <v>29.89</v>
      </c>
      <c r="O71" s="13">
        <f t="shared" ref="O71:P71" si="76">M71*F71</f>
        <v>742466.25</v>
      </c>
      <c r="P71" s="13">
        <f t="shared" si="76"/>
        <v>723308.11</v>
      </c>
      <c r="Q71" s="13"/>
    </row>
    <row r="72" ht="15.75" customHeight="1">
      <c r="A72" s="13" t="s">
        <v>55</v>
      </c>
      <c r="B72" s="13" t="str">
        <f t="array" ref="B72">XLOOKUP(A72,Abbreviation!$A$17:$A$22,Abbreviation!$B$17:$B$22)</f>
        <v>March</v>
      </c>
      <c r="C72" s="13" t="str">
        <f t="array" ref="C72">XLOOKUP(D72,'Regional Details'!$B$14:$B$29,'Regional Details'!$A$14:$A$29)</f>
        <v>South</v>
      </c>
      <c r="D72" s="13" t="s">
        <v>15</v>
      </c>
      <c r="E72" s="13" t="s">
        <v>31</v>
      </c>
      <c r="F72" s="13">
        <v>34569.0</v>
      </c>
      <c r="G72" s="13">
        <v>41483.0</v>
      </c>
      <c r="H72" s="14">
        <f t="array" ref="H72">XLOOKUP(D72,'Regional Details'!$B$14:$B$29,'Regional Details'!$C$14:$C$29)</f>
        <v>0</v>
      </c>
      <c r="I72" s="13">
        <f t="shared" si="2"/>
        <v>135</v>
      </c>
      <c r="J72" s="13">
        <f t="shared" si="3"/>
        <v>135</v>
      </c>
      <c r="K72" s="15">
        <f t="shared" si="4"/>
        <v>4666815</v>
      </c>
      <c r="L72" s="13">
        <f t="shared" si="5"/>
        <v>5600205</v>
      </c>
      <c r="M72" s="13">
        <f t="shared" si="6"/>
        <v>74.03</v>
      </c>
      <c r="N72" s="13">
        <f t="shared" si="7"/>
        <v>73.16</v>
      </c>
      <c r="O72" s="13">
        <f t="shared" ref="O72:P72" si="77">M72*F72</f>
        <v>2559143.07</v>
      </c>
      <c r="P72" s="13">
        <f t="shared" si="77"/>
        <v>3034896.28</v>
      </c>
      <c r="Q72" s="13"/>
    </row>
    <row r="73" ht="15.75" customHeight="1">
      <c r="A73" s="13" t="s">
        <v>55</v>
      </c>
      <c r="B73" s="13" t="str">
        <f t="array" ref="B73">XLOOKUP(A73,Abbreviation!$A$17:$A$22,Abbreviation!$B$17:$B$22)</f>
        <v>March</v>
      </c>
      <c r="C73" s="13" t="str">
        <f t="array" ref="C73">XLOOKUP(D73,'Regional Details'!$B$14:$B$29,'Regional Details'!$A$14:$A$29)</f>
        <v>South</v>
      </c>
      <c r="D73" s="13" t="s">
        <v>15</v>
      </c>
      <c r="E73" s="13" t="s">
        <v>29</v>
      </c>
      <c r="F73" s="13">
        <v>18435.0</v>
      </c>
      <c r="G73" s="13">
        <v>22306.0</v>
      </c>
      <c r="H73" s="14">
        <f t="array" ref="H73">XLOOKUP(D73,'Regional Details'!$B$14:$B$29,'Regional Details'!$C$14:$C$29)</f>
        <v>0</v>
      </c>
      <c r="I73" s="13">
        <f t="shared" si="2"/>
        <v>60</v>
      </c>
      <c r="J73" s="13">
        <f t="shared" si="3"/>
        <v>60</v>
      </c>
      <c r="K73" s="15">
        <f t="shared" si="4"/>
        <v>1106100</v>
      </c>
      <c r="L73" s="13">
        <f t="shared" si="5"/>
        <v>1338360</v>
      </c>
      <c r="M73" s="13">
        <f t="shared" si="6"/>
        <v>33.75</v>
      </c>
      <c r="N73" s="13">
        <f t="shared" si="7"/>
        <v>29.89</v>
      </c>
      <c r="O73" s="13">
        <f t="shared" ref="O73:P73" si="78">M73*F73</f>
        <v>622181.25</v>
      </c>
      <c r="P73" s="13">
        <f t="shared" si="78"/>
        <v>666726.34</v>
      </c>
      <c r="Q73" s="13"/>
    </row>
    <row r="74" ht="15.75" customHeight="1">
      <c r="A74" s="13" t="s">
        <v>55</v>
      </c>
      <c r="B74" s="13" t="str">
        <f t="array" ref="B74">XLOOKUP(A74,Abbreviation!$A$17:$A$22,Abbreviation!$B$17:$B$22)</f>
        <v>March</v>
      </c>
      <c r="C74" s="13" t="str">
        <f t="array" ref="C74">XLOOKUP(D74,'Regional Details'!$B$14:$B$29,'Regional Details'!$A$14:$A$29)</f>
        <v>North</v>
      </c>
      <c r="D74" s="13" t="s">
        <v>16</v>
      </c>
      <c r="E74" s="13" t="s">
        <v>31</v>
      </c>
      <c r="F74" s="13">
        <v>29920.0</v>
      </c>
      <c r="G74" s="13">
        <v>37101.0</v>
      </c>
      <c r="H74" s="14">
        <f t="array" ref="H74">XLOOKUP(D74,'Regional Details'!$B$14:$B$29,'Regional Details'!$C$14:$C$29)</f>
        <v>0</v>
      </c>
      <c r="I74" s="13">
        <f t="shared" si="2"/>
        <v>135</v>
      </c>
      <c r="J74" s="13">
        <f t="shared" si="3"/>
        <v>135</v>
      </c>
      <c r="K74" s="15">
        <f t="shared" si="4"/>
        <v>4039200</v>
      </c>
      <c r="L74" s="13">
        <f t="shared" si="5"/>
        <v>5008635</v>
      </c>
      <c r="M74" s="13">
        <f t="shared" si="6"/>
        <v>74.03</v>
      </c>
      <c r="N74" s="13">
        <f t="shared" si="7"/>
        <v>73.16</v>
      </c>
      <c r="O74" s="13">
        <f t="shared" ref="O74:P74" si="79">M74*F74</f>
        <v>2214977.6</v>
      </c>
      <c r="P74" s="13">
        <f t="shared" si="79"/>
        <v>2714309.16</v>
      </c>
      <c r="Q74" s="13"/>
    </row>
    <row r="75" ht="15.75" customHeight="1">
      <c r="A75" s="13" t="s">
        <v>55</v>
      </c>
      <c r="B75" s="13" t="str">
        <f t="array" ref="B75">XLOOKUP(A75,Abbreviation!$A$17:$A$22,Abbreviation!$B$17:$B$22)</f>
        <v>March</v>
      </c>
      <c r="C75" s="13" t="str">
        <f t="array" ref="C75">XLOOKUP(D75,'Regional Details'!$B$14:$B$29,'Regional Details'!$A$14:$A$29)</f>
        <v>North</v>
      </c>
      <c r="D75" s="13" t="s">
        <v>16</v>
      </c>
      <c r="E75" s="13" t="s">
        <v>29</v>
      </c>
      <c r="F75" s="13">
        <v>31783.0</v>
      </c>
      <c r="G75" s="13">
        <v>37504.0</v>
      </c>
      <c r="H75" s="14">
        <f t="array" ref="H75">XLOOKUP(D75,'Regional Details'!$B$14:$B$29,'Regional Details'!$C$14:$C$29)</f>
        <v>0</v>
      </c>
      <c r="I75" s="13">
        <f t="shared" si="2"/>
        <v>60</v>
      </c>
      <c r="J75" s="13">
        <f t="shared" si="3"/>
        <v>60</v>
      </c>
      <c r="K75" s="15">
        <f t="shared" si="4"/>
        <v>1906980</v>
      </c>
      <c r="L75" s="13">
        <f t="shared" si="5"/>
        <v>2250240</v>
      </c>
      <c r="M75" s="13">
        <f t="shared" si="6"/>
        <v>33.75</v>
      </c>
      <c r="N75" s="13">
        <f t="shared" si="7"/>
        <v>29.89</v>
      </c>
      <c r="O75" s="13">
        <f t="shared" ref="O75:P75" si="80">M75*F75</f>
        <v>1072676.25</v>
      </c>
      <c r="P75" s="13">
        <f t="shared" si="80"/>
        <v>1120994.56</v>
      </c>
      <c r="Q75" s="13"/>
    </row>
    <row r="76" ht="15.75" customHeight="1">
      <c r="A76" s="13" t="s">
        <v>55</v>
      </c>
      <c r="B76" s="13" t="str">
        <f t="array" ref="B76">XLOOKUP(A76,Abbreviation!$A$17:$A$22,Abbreviation!$B$17:$B$22)</f>
        <v>March</v>
      </c>
      <c r="C76" s="13" t="str">
        <f t="array" ref="C76">XLOOKUP(D76,'Regional Details'!$B$14:$B$29,'Regional Details'!$A$14:$A$29)</f>
        <v>East</v>
      </c>
      <c r="D76" s="13" t="s">
        <v>17</v>
      </c>
      <c r="E76" s="13" t="s">
        <v>31</v>
      </c>
      <c r="F76" s="13">
        <v>14433.0</v>
      </c>
      <c r="G76" s="13">
        <v>14866.0</v>
      </c>
      <c r="H76" s="16">
        <f t="array" ref="H76">XLOOKUP(D76,'Regional Details'!$B$14:$B$29,'Regional Details'!$C$14:$C$29)</f>
        <v>0.125</v>
      </c>
      <c r="I76" s="13">
        <f t="shared" si="2"/>
        <v>135</v>
      </c>
      <c r="J76" s="13">
        <f t="shared" si="3"/>
        <v>118.125</v>
      </c>
      <c r="K76" s="15">
        <f t="shared" si="4"/>
        <v>1704898.125</v>
      </c>
      <c r="L76" s="13">
        <f t="shared" si="5"/>
        <v>2006910</v>
      </c>
      <c r="M76" s="13">
        <f t="shared" si="6"/>
        <v>74.03</v>
      </c>
      <c r="N76" s="13">
        <f t="shared" si="7"/>
        <v>73.16</v>
      </c>
      <c r="O76" s="13">
        <f t="shared" ref="O76:P76" si="81">M76*F76</f>
        <v>1068474.99</v>
      </c>
      <c r="P76" s="13">
        <f t="shared" si="81"/>
        <v>1087596.56</v>
      </c>
      <c r="Q76" s="13"/>
    </row>
    <row r="77" ht="15.75" customHeight="1">
      <c r="A77" s="13" t="s">
        <v>55</v>
      </c>
      <c r="B77" s="13" t="str">
        <f t="array" ref="B77">XLOOKUP(A77,Abbreviation!$A$17:$A$22,Abbreviation!$B$17:$B$22)</f>
        <v>March</v>
      </c>
      <c r="C77" s="13" t="str">
        <f t="array" ref="C77">XLOOKUP(D77,'Regional Details'!$B$14:$B$29,'Regional Details'!$A$14:$A$29)</f>
        <v>East</v>
      </c>
      <c r="D77" s="13" t="s">
        <v>17</v>
      </c>
      <c r="E77" s="13" t="s">
        <v>29</v>
      </c>
      <c r="F77" s="13">
        <v>19294.0</v>
      </c>
      <c r="G77" s="13">
        <v>19680.0</v>
      </c>
      <c r="H77" s="16">
        <f t="array" ref="H77">XLOOKUP(D77,'Regional Details'!$B$14:$B$29,'Regional Details'!$C$14:$C$29)</f>
        <v>0.125</v>
      </c>
      <c r="I77" s="13">
        <f t="shared" si="2"/>
        <v>60</v>
      </c>
      <c r="J77" s="13">
        <f t="shared" si="3"/>
        <v>52.5</v>
      </c>
      <c r="K77" s="15">
        <f t="shared" si="4"/>
        <v>1012935</v>
      </c>
      <c r="L77" s="13">
        <f t="shared" si="5"/>
        <v>1180800</v>
      </c>
      <c r="M77" s="13">
        <f t="shared" si="6"/>
        <v>33.75</v>
      </c>
      <c r="N77" s="13">
        <f t="shared" si="7"/>
        <v>29.89</v>
      </c>
      <c r="O77" s="13">
        <f t="shared" ref="O77:P77" si="82">M77*F77</f>
        <v>651172.5</v>
      </c>
      <c r="P77" s="13">
        <f t="shared" si="82"/>
        <v>588235.2</v>
      </c>
      <c r="Q77" s="13"/>
    </row>
    <row r="78" ht="15.75" customHeight="1">
      <c r="A78" s="13" t="s">
        <v>55</v>
      </c>
      <c r="B78" s="13" t="str">
        <f t="array" ref="B78">XLOOKUP(A78,Abbreviation!$A$17:$A$22,Abbreviation!$B$17:$B$22)</f>
        <v>March</v>
      </c>
      <c r="C78" s="13" t="str">
        <f t="array" ref="C78">XLOOKUP(D78,'Regional Details'!$B$14:$B$29,'Regional Details'!$A$14:$A$29)</f>
        <v>West</v>
      </c>
      <c r="D78" s="13" t="s">
        <v>18</v>
      </c>
      <c r="E78" s="13" t="s">
        <v>31</v>
      </c>
      <c r="F78" s="13">
        <v>26741.0</v>
      </c>
      <c r="G78" s="13">
        <v>32624.0</v>
      </c>
      <c r="H78" s="14">
        <f t="array" ref="H78">XLOOKUP(D78,'Regional Details'!$B$14:$B$29,'Regional Details'!$C$14:$C$29)</f>
        <v>0</v>
      </c>
      <c r="I78" s="13">
        <f t="shared" si="2"/>
        <v>135</v>
      </c>
      <c r="J78" s="13">
        <f t="shared" si="3"/>
        <v>135</v>
      </c>
      <c r="K78" s="15">
        <f t="shared" si="4"/>
        <v>3610035</v>
      </c>
      <c r="L78" s="13">
        <f t="shared" si="5"/>
        <v>4404240</v>
      </c>
      <c r="M78" s="13">
        <f t="shared" si="6"/>
        <v>74.03</v>
      </c>
      <c r="N78" s="13">
        <f t="shared" si="7"/>
        <v>73.16</v>
      </c>
      <c r="O78" s="13">
        <f t="shared" ref="O78:P78" si="83">M78*F78</f>
        <v>1979636.23</v>
      </c>
      <c r="P78" s="13">
        <f t="shared" si="83"/>
        <v>2386771.84</v>
      </c>
      <c r="Q78" s="13"/>
    </row>
    <row r="79" ht="15.75" customHeight="1">
      <c r="A79" s="13" t="s">
        <v>55</v>
      </c>
      <c r="B79" s="13" t="str">
        <f t="array" ref="B79">XLOOKUP(A79,Abbreviation!$A$17:$A$22,Abbreviation!$B$17:$B$22)</f>
        <v>March</v>
      </c>
      <c r="C79" s="13" t="str">
        <f t="array" ref="C79">XLOOKUP(D79,'Regional Details'!$B$14:$B$29,'Regional Details'!$A$14:$A$29)</f>
        <v>West</v>
      </c>
      <c r="D79" s="13" t="s">
        <v>18</v>
      </c>
      <c r="E79" s="13" t="s">
        <v>29</v>
      </c>
      <c r="F79" s="13">
        <v>15153.0</v>
      </c>
      <c r="G79" s="13">
        <v>18941.0</v>
      </c>
      <c r="H79" s="14">
        <f t="array" ref="H79">XLOOKUP(D79,'Regional Details'!$B$14:$B$29,'Regional Details'!$C$14:$C$29)</f>
        <v>0</v>
      </c>
      <c r="I79" s="13">
        <f t="shared" si="2"/>
        <v>60</v>
      </c>
      <c r="J79" s="13">
        <f t="shared" si="3"/>
        <v>60</v>
      </c>
      <c r="K79" s="15">
        <f t="shared" si="4"/>
        <v>909180</v>
      </c>
      <c r="L79" s="13">
        <f t="shared" si="5"/>
        <v>1136460</v>
      </c>
      <c r="M79" s="13">
        <f t="shared" si="6"/>
        <v>33.75</v>
      </c>
      <c r="N79" s="13">
        <f t="shared" si="7"/>
        <v>29.89</v>
      </c>
      <c r="O79" s="13">
        <f t="shared" ref="O79:P79" si="84">M79*F79</f>
        <v>511413.75</v>
      </c>
      <c r="P79" s="13">
        <f t="shared" si="84"/>
        <v>566146.49</v>
      </c>
      <c r="Q79" s="13"/>
    </row>
    <row r="80" ht="15.75" customHeight="1">
      <c r="A80" s="13" t="s">
        <v>55</v>
      </c>
      <c r="B80" s="13" t="str">
        <f t="array" ref="B80">XLOOKUP(A80,Abbreviation!$A$17:$A$22,Abbreviation!$B$17:$B$22)</f>
        <v>March</v>
      </c>
      <c r="C80" s="13" t="str">
        <f t="array" ref="C80">XLOOKUP(D80,'Regional Details'!$B$14:$B$29,'Regional Details'!$A$14:$A$29)</f>
        <v>South</v>
      </c>
      <c r="D80" s="13" t="s">
        <v>19</v>
      </c>
      <c r="E80" s="13" t="s">
        <v>31</v>
      </c>
      <c r="F80" s="13">
        <v>16653.0</v>
      </c>
      <c r="G80" s="13">
        <v>19484.0</v>
      </c>
      <c r="H80" s="14">
        <f t="array" ref="H80">XLOOKUP(D80,'Regional Details'!$B$14:$B$29,'Regional Details'!$C$14:$C$29)</f>
        <v>0</v>
      </c>
      <c r="I80" s="13">
        <f t="shared" si="2"/>
        <v>135</v>
      </c>
      <c r="J80" s="13">
        <f t="shared" si="3"/>
        <v>135</v>
      </c>
      <c r="K80" s="15">
        <f t="shared" si="4"/>
        <v>2248155</v>
      </c>
      <c r="L80" s="13">
        <f t="shared" si="5"/>
        <v>2630340</v>
      </c>
      <c r="M80" s="13">
        <f t="shared" si="6"/>
        <v>74.03</v>
      </c>
      <c r="N80" s="13">
        <f t="shared" si="7"/>
        <v>73.16</v>
      </c>
      <c r="O80" s="13">
        <f t="shared" ref="O80:P80" si="85">M80*F80</f>
        <v>1232821.59</v>
      </c>
      <c r="P80" s="13">
        <f t="shared" si="85"/>
        <v>1425449.44</v>
      </c>
      <c r="Q80" s="13"/>
    </row>
    <row r="81" ht="15.75" customHeight="1">
      <c r="A81" s="13" t="s">
        <v>55</v>
      </c>
      <c r="B81" s="13" t="str">
        <f t="array" ref="B81">XLOOKUP(A81,Abbreviation!$A$17:$A$22,Abbreviation!$B$17:$B$22)</f>
        <v>March</v>
      </c>
      <c r="C81" s="13" t="str">
        <f t="array" ref="C81">XLOOKUP(D81,'Regional Details'!$B$14:$B$29,'Regional Details'!$A$14:$A$29)</f>
        <v>South</v>
      </c>
      <c r="D81" s="13" t="s">
        <v>19</v>
      </c>
      <c r="E81" s="13" t="s">
        <v>29</v>
      </c>
      <c r="F81" s="13">
        <v>17958.0</v>
      </c>
      <c r="G81" s="13">
        <v>20472.0</v>
      </c>
      <c r="H81" s="14">
        <f t="array" ref="H81">XLOOKUP(D81,'Regional Details'!$B$14:$B$29,'Regional Details'!$C$14:$C$29)</f>
        <v>0</v>
      </c>
      <c r="I81" s="13">
        <f t="shared" si="2"/>
        <v>60</v>
      </c>
      <c r="J81" s="13">
        <f t="shared" si="3"/>
        <v>60</v>
      </c>
      <c r="K81" s="15">
        <f t="shared" si="4"/>
        <v>1077480</v>
      </c>
      <c r="L81" s="13">
        <f t="shared" si="5"/>
        <v>1228320</v>
      </c>
      <c r="M81" s="13">
        <f t="shared" si="6"/>
        <v>33.75</v>
      </c>
      <c r="N81" s="13">
        <f t="shared" si="7"/>
        <v>29.89</v>
      </c>
      <c r="O81" s="13">
        <f t="shared" ref="O81:P81" si="86">M81*F81</f>
        <v>606082.5</v>
      </c>
      <c r="P81" s="13">
        <f t="shared" si="86"/>
        <v>611908.08</v>
      </c>
      <c r="Q81" s="13"/>
    </row>
    <row r="82" ht="15.75" customHeight="1">
      <c r="A82" s="13" t="s">
        <v>55</v>
      </c>
      <c r="B82" s="13" t="str">
        <f t="array" ref="B82">XLOOKUP(A82,Abbreviation!$A$17:$A$22,Abbreviation!$B$17:$B$22)</f>
        <v>March</v>
      </c>
      <c r="C82" s="13" t="str">
        <f t="array" ref="C82">XLOOKUP(D82,'Regional Details'!$B$14:$B$29,'Regional Details'!$A$14:$A$29)</f>
        <v>North</v>
      </c>
      <c r="D82" s="13" t="s">
        <v>20</v>
      </c>
      <c r="E82" s="13" t="s">
        <v>31</v>
      </c>
      <c r="F82" s="13">
        <v>23930.0</v>
      </c>
      <c r="G82" s="13">
        <v>29673.0</v>
      </c>
      <c r="H82" s="14">
        <f t="array" ref="H82">XLOOKUP(D82,'Regional Details'!$B$14:$B$29,'Regional Details'!$C$14:$C$29)</f>
        <v>0.1</v>
      </c>
      <c r="I82" s="13">
        <f t="shared" si="2"/>
        <v>135</v>
      </c>
      <c r="J82" s="13">
        <f t="shared" si="3"/>
        <v>121.5</v>
      </c>
      <c r="K82" s="15">
        <f t="shared" si="4"/>
        <v>2907495</v>
      </c>
      <c r="L82" s="13">
        <f t="shared" si="5"/>
        <v>4005855</v>
      </c>
      <c r="M82" s="13">
        <f t="shared" si="6"/>
        <v>74.03</v>
      </c>
      <c r="N82" s="13">
        <f t="shared" si="7"/>
        <v>73.16</v>
      </c>
      <c r="O82" s="13">
        <f t="shared" ref="O82:P82" si="87">M82*F82</f>
        <v>1771537.9</v>
      </c>
      <c r="P82" s="13">
        <f t="shared" si="87"/>
        <v>2170876.68</v>
      </c>
      <c r="Q82" s="13"/>
    </row>
    <row r="83" ht="15.75" customHeight="1">
      <c r="A83" s="13" t="s">
        <v>55</v>
      </c>
      <c r="B83" s="13" t="str">
        <f t="array" ref="B83">XLOOKUP(A83,Abbreviation!$A$17:$A$22,Abbreviation!$B$17:$B$22)</f>
        <v>March</v>
      </c>
      <c r="C83" s="13" t="str">
        <f t="array" ref="C83">XLOOKUP(D83,'Regional Details'!$B$14:$B$29,'Regional Details'!$A$14:$A$29)</f>
        <v>North</v>
      </c>
      <c r="D83" s="13" t="s">
        <v>20</v>
      </c>
      <c r="E83" s="13" t="s">
        <v>29</v>
      </c>
      <c r="F83" s="13">
        <v>21340.0</v>
      </c>
      <c r="G83" s="13">
        <v>25181.0</v>
      </c>
      <c r="H83" s="14">
        <f t="array" ref="H83">XLOOKUP(D83,'Regional Details'!$B$14:$B$29,'Regional Details'!$C$14:$C$29)</f>
        <v>0.1</v>
      </c>
      <c r="I83" s="13">
        <f t="shared" si="2"/>
        <v>60</v>
      </c>
      <c r="J83" s="13">
        <f t="shared" si="3"/>
        <v>54</v>
      </c>
      <c r="K83" s="15">
        <f t="shared" si="4"/>
        <v>1152360</v>
      </c>
      <c r="L83" s="13">
        <f t="shared" si="5"/>
        <v>1510860</v>
      </c>
      <c r="M83" s="13">
        <f t="shared" si="6"/>
        <v>33.75</v>
      </c>
      <c r="N83" s="13">
        <f t="shared" si="7"/>
        <v>29.89</v>
      </c>
      <c r="O83" s="13">
        <f t="shared" ref="O83:P83" si="88">M83*F83</f>
        <v>720225</v>
      </c>
      <c r="P83" s="13">
        <f t="shared" si="88"/>
        <v>752660.09</v>
      </c>
      <c r="Q83" s="13"/>
    </row>
    <row r="84" ht="15.75" customHeight="1">
      <c r="A84" s="13" t="s">
        <v>55</v>
      </c>
      <c r="B84" s="13" t="str">
        <f t="array" ref="B84">XLOOKUP(A84,Abbreviation!$A$17:$A$22,Abbreviation!$B$17:$B$22)</f>
        <v>March</v>
      </c>
      <c r="C84" s="13" t="str">
        <f t="array" ref="C84">XLOOKUP(D84,'Regional Details'!$B$14:$B$29,'Regional Details'!$A$14:$A$29)</f>
        <v>East</v>
      </c>
      <c r="D84" s="13" t="s">
        <v>21</v>
      </c>
      <c r="E84" s="13" t="s">
        <v>31</v>
      </c>
      <c r="F84" s="13">
        <v>28364.0</v>
      </c>
      <c r="G84" s="13">
        <v>30349.0</v>
      </c>
      <c r="H84" s="14">
        <f t="array" ref="H84">XLOOKUP(D84,'Regional Details'!$B$14:$B$29,'Regional Details'!$C$14:$C$29)</f>
        <v>0.05</v>
      </c>
      <c r="I84" s="13">
        <f t="shared" si="2"/>
        <v>135</v>
      </c>
      <c r="J84" s="13">
        <f t="shared" si="3"/>
        <v>128.25</v>
      </c>
      <c r="K84" s="15">
        <f t="shared" si="4"/>
        <v>3637683</v>
      </c>
      <c r="L84" s="13">
        <f t="shared" si="5"/>
        <v>4097115</v>
      </c>
      <c r="M84" s="13">
        <f t="shared" si="6"/>
        <v>74.03</v>
      </c>
      <c r="N84" s="13">
        <f t="shared" si="7"/>
        <v>73.16</v>
      </c>
      <c r="O84" s="13">
        <f t="shared" ref="O84:P84" si="89">M84*F84</f>
        <v>2099786.92</v>
      </c>
      <c r="P84" s="13">
        <f t="shared" si="89"/>
        <v>2220332.84</v>
      </c>
      <c r="Q84" s="13"/>
    </row>
    <row r="85" ht="15.75" customHeight="1">
      <c r="A85" s="13" t="s">
        <v>55</v>
      </c>
      <c r="B85" s="13" t="str">
        <f t="array" ref="B85">XLOOKUP(A85,Abbreviation!$A$17:$A$22,Abbreviation!$B$17:$B$22)</f>
        <v>March</v>
      </c>
      <c r="C85" s="13" t="str">
        <f t="array" ref="C85">XLOOKUP(D85,'Regional Details'!$B$14:$B$29,'Regional Details'!$A$14:$A$29)</f>
        <v>East</v>
      </c>
      <c r="D85" s="13" t="s">
        <v>21</v>
      </c>
      <c r="E85" s="13" t="s">
        <v>29</v>
      </c>
      <c r="F85" s="13">
        <v>17848.0</v>
      </c>
      <c r="G85" s="13">
        <v>18919.0</v>
      </c>
      <c r="H85" s="14">
        <f t="array" ref="H85">XLOOKUP(D85,'Regional Details'!$B$14:$B$29,'Regional Details'!$C$14:$C$29)</f>
        <v>0.05</v>
      </c>
      <c r="I85" s="13">
        <f t="shared" si="2"/>
        <v>60</v>
      </c>
      <c r="J85" s="13">
        <f t="shared" si="3"/>
        <v>57</v>
      </c>
      <c r="K85" s="15">
        <f t="shared" si="4"/>
        <v>1017336</v>
      </c>
      <c r="L85" s="13">
        <f t="shared" si="5"/>
        <v>1135140</v>
      </c>
      <c r="M85" s="13">
        <f t="shared" si="6"/>
        <v>33.75</v>
      </c>
      <c r="N85" s="13">
        <f t="shared" si="7"/>
        <v>29.89</v>
      </c>
      <c r="O85" s="13">
        <f t="shared" ref="O85:P85" si="90">M85*F85</f>
        <v>602370</v>
      </c>
      <c r="P85" s="13">
        <f t="shared" si="90"/>
        <v>565488.91</v>
      </c>
      <c r="Q85" s="13"/>
    </row>
    <row r="86" ht="15.75" customHeight="1">
      <c r="A86" s="13" t="s">
        <v>55</v>
      </c>
      <c r="B86" s="13" t="str">
        <f t="array" ref="B86">XLOOKUP(A86,Abbreviation!$A$17:$A$22,Abbreviation!$B$17:$B$22)</f>
        <v>March</v>
      </c>
      <c r="C86" s="13" t="str">
        <f t="array" ref="C86">XLOOKUP(D86,'Regional Details'!$B$14:$B$29,'Regional Details'!$A$14:$A$29)</f>
        <v>West</v>
      </c>
      <c r="D86" s="13" t="s">
        <v>22</v>
      </c>
      <c r="E86" s="13" t="s">
        <v>31</v>
      </c>
      <c r="F86" s="13">
        <v>24205.0</v>
      </c>
      <c r="G86" s="13">
        <v>25657.0</v>
      </c>
      <c r="H86" s="14">
        <f t="array" ref="H86">XLOOKUP(D86,'Regional Details'!$B$14:$B$29,'Regional Details'!$C$14:$C$29)</f>
        <v>0.05</v>
      </c>
      <c r="I86" s="13">
        <f t="shared" si="2"/>
        <v>135</v>
      </c>
      <c r="J86" s="13">
        <f t="shared" si="3"/>
        <v>128.25</v>
      </c>
      <c r="K86" s="15">
        <f t="shared" si="4"/>
        <v>3104291.25</v>
      </c>
      <c r="L86" s="13">
        <f t="shared" si="5"/>
        <v>3463695</v>
      </c>
      <c r="M86" s="13">
        <f t="shared" si="6"/>
        <v>74.03</v>
      </c>
      <c r="N86" s="13">
        <f t="shared" si="7"/>
        <v>73.16</v>
      </c>
      <c r="O86" s="13">
        <f t="shared" ref="O86:P86" si="91">M86*F86</f>
        <v>1791896.15</v>
      </c>
      <c r="P86" s="13">
        <f t="shared" si="91"/>
        <v>1877066.12</v>
      </c>
      <c r="Q86" s="13"/>
    </row>
    <row r="87" ht="15.75" customHeight="1">
      <c r="A87" s="13" t="s">
        <v>55</v>
      </c>
      <c r="B87" s="13" t="str">
        <f t="array" ref="B87">XLOOKUP(A87,Abbreviation!$A$17:$A$22,Abbreviation!$B$17:$B$22)</f>
        <v>March</v>
      </c>
      <c r="C87" s="13" t="str">
        <f t="array" ref="C87">XLOOKUP(D87,'Regional Details'!$B$14:$B$29,'Regional Details'!$A$14:$A$29)</f>
        <v>West</v>
      </c>
      <c r="D87" s="13" t="s">
        <v>22</v>
      </c>
      <c r="E87" s="13" t="s">
        <v>29</v>
      </c>
      <c r="F87" s="13">
        <v>19132.0</v>
      </c>
      <c r="G87" s="13">
        <v>20280.0</v>
      </c>
      <c r="H87" s="14">
        <f t="array" ref="H87">XLOOKUP(D87,'Regional Details'!$B$14:$B$29,'Regional Details'!$C$14:$C$29)</f>
        <v>0.05</v>
      </c>
      <c r="I87" s="13">
        <f t="shared" si="2"/>
        <v>60</v>
      </c>
      <c r="J87" s="13">
        <f t="shared" si="3"/>
        <v>57</v>
      </c>
      <c r="K87" s="15">
        <f t="shared" si="4"/>
        <v>1090524</v>
      </c>
      <c r="L87" s="13">
        <f t="shared" si="5"/>
        <v>1216800</v>
      </c>
      <c r="M87" s="13">
        <f t="shared" si="6"/>
        <v>33.75</v>
      </c>
      <c r="N87" s="13">
        <f t="shared" si="7"/>
        <v>29.89</v>
      </c>
      <c r="O87" s="13">
        <f t="shared" ref="O87:P87" si="92">M87*F87</f>
        <v>645705</v>
      </c>
      <c r="P87" s="13">
        <f t="shared" si="92"/>
        <v>606169.2</v>
      </c>
      <c r="Q87" s="13"/>
    </row>
    <row r="88" ht="15.75" customHeight="1">
      <c r="A88" s="13" t="s">
        <v>55</v>
      </c>
      <c r="B88" s="13" t="str">
        <f t="array" ref="B88">XLOOKUP(A88,Abbreviation!$A$17:$A$22,Abbreviation!$B$17:$B$22)</f>
        <v>March</v>
      </c>
      <c r="C88" s="13" t="str">
        <f t="array" ref="C88">XLOOKUP(D88,'Regional Details'!$B$14:$B$29,'Regional Details'!$A$14:$A$29)</f>
        <v>South</v>
      </c>
      <c r="D88" s="13" t="s">
        <v>23</v>
      </c>
      <c r="E88" s="13" t="s">
        <v>31</v>
      </c>
      <c r="F88" s="13">
        <v>34021.0</v>
      </c>
      <c r="G88" s="13">
        <v>40825.0</v>
      </c>
      <c r="H88" s="14">
        <f t="array" ref="H88">XLOOKUP(D88,'Regional Details'!$B$14:$B$29,'Regional Details'!$C$14:$C$29)</f>
        <v>0</v>
      </c>
      <c r="I88" s="13">
        <f t="shared" si="2"/>
        <v>135</v>
      </c>
      <c r="J88" s="13">
        <f t="shared" si="3"/>
        <v>135</v>
      </c>
      <c r="K88" s="15">
        <f t="shared" si="4"/>
        <v>4592835</v>
      </c>
      <c r="L88" s="13">
        <f t="shared" si="5"/>
        <v>5511375</v>
      </c>
      <c r="M88" s="13">
        <f t="shared" si="6"/>
        <v>74.03</v>
      </c>
      <c r="N88" s="13">
        <f t="shared" si="7"/>
        <v>73.16</v>
      </c>
      <c r="O88" s="13">
        <f t="shared" ref="O88:P88" si="93">M88*F88</f>
        <v>2518574.63</v>
      </c>
      <c r="P88" s="13">
        <f t="shared" si="93"/>
        <v>2986757</v>
      </c>
      <c r="Q88" s="13"/>
    </row>
    <row r="89" ht="15.75" customHeight="1">
      <c r="A89" s="13" t="s">
        <v>55</v>
      </c>
      <c r="B89" s="13" t="str">
        <f t="array" ref="B89">XLOOKUP(A89,Abbreviation!$A$17:$A$22,Abbreviation!$B$17:$B$22)</f>
        <v>March</v>
      </c>
      <c r="C89" s="13" t="str">
        <f t="array" ref="C89">XLOOKUP(D89,'Regional Details'!$B$14:$B$29,'Regional Details'!$A$14:$A$29)</f>
        <v>South</v>
      </c>
      <c r="D89" s="13" t="s">
        <v>23</v>
      </c>
      <c r="E89" s="13" t="s">
        <v>29</v>
      </c>
      <c r="F89" s="13">
        <v>33168.0</v>
      </c>
      <c r="G89" s="13">
        <v>41460.0</v>
      </c>
      <c r="H89" s="14">
        <f t="array" ref="H89">XLOOKUP(D89,'Regional Details'!$B$14:$B$29,'Regional Details'!$C$14:$C$29)</f>
        <v>0</v>
      </c>
      <c r="I89" s="13">
        <f t="shared" si="2"/>
        <v>60</v>
      </c>
      <c r="J89" s="13">
        <f t="shared" si="3"/>
        <v>60</v>
      </c>
      <c r="K89" s="15">
        <f t="shared" si="4"/>
        <v>1990080</v>
      </c>
      <c r="L89" s="13">
        <f t="shared" si="5"/>
        <v>2487600</v>
      </c>
      <c r="M89" s="13">
        <f t="shared" si="6"/>
        <v>33.75</v>
      </c>
      <c r="N89" s="13">
        <f t="shared" si="7"/>
        <v>29.89</v>
      </c>
      <c r="O89" s="13">
        <f t="shared" ref="O89:P89" si="94">M89*F89</f>
        <v>1119420</v>
      </c>
      <c r="P89" s="13">
        <f t="shared" si="94"/>
        <v>1239239.4</v>
      </c>
      <c r="Q89" s="13"/>
    </row>
    <row r="90" ht="15.75" customHeight="1">
      <c r="A90" s="13" t="s">
        <v>55</v>
      </c>
      <c r="B90" s="13" t="str">
        <f t="array" ref="B90">XLOOKUP(A90,Abbreviation!$A$17:$A$22,Abbreviation!$B$17:$B$22)</f>
        <v>March</v>
      </c>
      <c r="C90" s="13" t="str">
        <f t="array" ref="C90">XLOOKUP(D90,'Regional Details'!$B$14:$B$29,'Regional Details'!$A$14:$A$29)</f>
        <v>North</v>
      </c>
      <c r="D90" s="13" t="s">
        <v>24</v>
      </c>
      <c r="E90" s="13" t="s">
        <v>31</v>
      </c>
      <c r="F90" s="13">
        <v>22958.0</v>
      </c>
      <c r="G90" s="13">
        <v>23647.0</v>
      </c>
      <c r="H90" s="16">
        <f t="array" ref="H90">XLOOKUP(D90,'Regional Details'!$B$14:$B$29,'Regional Details'!$C$14:$C$29)</f>
        <v>0.125</v>
      </c>
      <c r="I90" s="13">
        <f t="shared" si="2"/>
        <v>135</v>
      </c>
      <c r="J90" s="13">
        <f t="shared" si="3"/>
        <v>118.125</v>
      </c>
      <c r="K90" s="15">
        <f t="shared" si="4"/>
        <v>2711913.75</v>
      </c>
      <c r="L90" s="13">
        <f t="shared" si="5"/>
        <v>3192345</v>
      </c>
      <c r="M90" s="13">
        <f t="shared" si="6"/>
        <v>74.03</v>
      </c>
      <c r="N90" s="13">
        <f t="shared" si="7"/>
        <v>73.16</v>
      </c>
      <c r="O90" s="13">
        <f t="shared" ref="O90:P90" si="95">M90*F90</f>
        <v>1699580.74</v>
      </c>
      <c r="P90" s="13">
        <f t="shared" si="95"/>
        <v>1730014.52</v>
      </c>
      <c r="Q90" s="13"/>
    </row>
    <row r="91" ht="15.75" customHeight="1">
      <c r="A91" s="13" t="s">
        <v>55</v>
      </c>
      <c r="B91" s="13" t="str">
        <f t="array" ref="B91">XLOOKUP(A91,Abbreviation!$A$17:$A$22,Abbreviation!$B$17:$B$22)</f>
        <v>March</v>
      </c>
      <c r="C91" s="13" t="str">
        <f t="array" ref="C91">XLOOKUP(D91,'Regional Details'!$B$14:$B$29,'Regional Details'!$A$14:$A$29)</f>
        <v>North</v>
      </c>
      <c r="D91" s="13" t="s">
        <v>24</v>
      </c>
      <c r="E91" s="13" t="s">
        <v>29</v>
      </c>
      <c r="F91" s="13">
        <v>14396.0</v>
      </c>
      <c r="G91" s="13">
        <v>15548.0</v>
      </c>
      <c r="H91" s="16">
        <f t="array" ref="H91">XLOOKUP(D91,'Regional Details'!$B$14:$B$29,'Regional Details'!$C$14:$C$29)</f>
        <v>0.125</v>
      </c>
      <c r="I91" s="13">
        <f t="shared" si="2"/>
        <v>60</v>
      </c>
      <c r="J91" s="13">
        <f t="shared" si="3"/>
        <v>52.5</v>
      </c>
      <c r="K91" s="15">
        <f t="shared" si="4"/>
        <v>755790</v>
      </c>
      <c r="L91" s="13">
        <f t="shared" si="5"/>
        <v>932880</v>
      </c>
      <c r="M91" s="13">
        <f t="shared" si="6"/>
        <v>33.75</v>
      </c>
      <c r="N91" s="13">
        <f t="shared" si="7"/>
        <v>29.89</v>
      </c>
      <c r="O91" s="13">
        <f t="shared" ref="O91:P91" si="96">M91*F91</f>
        <v>485865</v>
      </c>
      <c r="P91" s="13">
        <f t="shared" si="96"/>
        <v>464729.72</v>
      </c>
      <c r="Q91" s="13"/>
    </row>
    <row r="92" ht="15.75" customHeight="1">
      <c r="A92" s="13" t="s">
        <v>55</v>
      </c>
      <c r="B92" s="13" t="str">
        <f t="array" ref="B92">XLOOKUP(A92,Abbreviation!$A$17:$A$22,Abbreviation!$B$17:$B$22)</f>
        <v>March</v>
      </c>
      <c r="C92" s="13" t="str">
        <f t="array" ref="C92">XLOOKUP(D92,'Regional Details'!$B$14:$B$29,'Regional Details'!$A$14:$A$29)</f>
        <v>South</v>
      </c>
      <c r="D92" s="13" t="s">
        <v>27</v>
      </c>
      <c r="E92" s="13" t="s">
        <v>31</v>
      </c>
      <c r="F92" s="13">
        <v>24721.0</v>
      </c>
      <c r="G92" s="13">
        <v>25463.0</v>
      </c>
      <c r="H92" s="14">
        <f t="array" ref="H92">XLOOKUP(D92,'Regional Details'!$B$14:$B$29,'Regional Details'!$C$14:$C$29)</f>
        <v>0.1</v>
      </c>
      <c r="I92" s="13">
        <f t="shared" si="2"/>
        <v>135</v>
      </c>
      <c r="J92" s="13">
        <f t="shared" si="3"/>
        <v>121.5</v>
      </c>
      <c r="K92" s="15">
        <f t="shared" si="4"/>
        <v>3003601.5</v>
      </c>
      <c r="L92" s="13">
        <f t="shared" si="5"/>
        <v>3437505</v>
      </c>
      <c r="M92" s="13">
        <f t="shared" si="6"/>
        <v>74.03</v>
      </c>
      <c r="N92" s="13">
        <f t="shared" si="7"/>
        <v>73.16</v>
      </c>
      <c r="O92" s="13">
        <f t="shared" ref="O92:P92" si="97">M92*F92</f>
        <v>1830095.63</v>
      </c>
      <c r="P92" s="13">
        <f t="shared" si="97"/>
        <v>1862873.08</v>
      </c>
      <c r="Q92" s="13"/>
    </row>
    <row r="93" ht="15.75" customHeight="1">
      <c r="A93" s="13" t="s">
        <v>55</v>
      </c>
      <c r="B93" s="13" t="str">
        <f t="array" ref="B93">XLOOKUP(A93,Abbreviation!$A$17:$A$22,Abbreviation!$B$17:$B$22)</f>
        <v>March</v>
      </c>
      <c r="C93" s="13" t="str">
        <f t="array" ref="C93">XLOOKUP(D93,'Regional Details'!$B$14:$B$29,'Regional Details'!$A$14:$A$29)</f>
        <v>South</v>
      </c>
      <c r="D93" s="13" t="s">
        <v>27</v>
      </c>
      <c r="E93" s="13" t="s">
        <v>29</v>
      </c>
      <c r="F93" s="13">
        <v>15270.0</v>
      </c>
      <c r="G93" s="13">
        <v>16186.0</v>
      </c>
      <c r="H93" s="14">
        <f t="array" ref="H93">XLOOKUP(D93,'Regional Details'!$B$14:$B$29,'Regional Details'!$C$14:$C$29)</f>
        <v>0.1</v>
      </c>
      <c r="I93" s="13">
        <f t="shared" si="2"/>
        <v>60</v>
      </c>
      <c r="J93" s="13">
        <f t="shared" si="3"/>
        <v>54</v>
      </c>
      <c r="K93" s="15">
        <f t="shared" si="4"/>
        <v>824580</v>
      </c>
      <c r="L93" s="13">
        <f t="shared" si="5"/>
        <v>971160</v>
      </c>
      <c r="M93" s="13">
        <f t="shared" si="6"/>
        <v>33.75</v>
      </c>
      <c r="N93" s="13">
        <f t="shared" si="7"/>
        <v>29.89</v>
      </c>
      <c r="O93" s="13">
        <f t="shared" ref="O93:P93" si="98">M93*F93</f>
        <v>515362.5</v>
      </c>
      <c r="P93" s="13">
        <f t="shared" si="98"/>
        <v>483799.54</v>
      </c>
      <c r="Q93" s="13"/>
    </row>
    <row r="94" ht="15.75" customHeight="1">
      <c r="A94" s="13" t="s">
        <v>55</v>
      </c>
      <c r="B94" s="13" t="str">
        <f t="array" ref="B94">XLOOKUP(A94,Abbreviation!$A$17:$A$22,Abbreviation!$B$17:$B$22)</f>
        <v>March</v>
      </c>
      <c r="C94" s="13" t="str">
        <f t="array" ref="C94">XLOOKUP(D94,'Regional Details'!$B$14:$B$29,'Regional Details'!$A$14:$A$29)</f>
        <v>West</v>
      </c>
      <c r="D94" s="13" t="s">
        <v>26</v>
      </c>
      <c r="E94" s="13" t="s">
        <v>31</v>
      </c>
      <c r="F94" s="13">
        <v>27264.0</v>
      </c>
      <c r="G94" s="13">
        <v>30263.0</v>
      </c>
      <c r="H94" s="14">
        <f t="array" ref="H94">XLOOKUP(D94,'Regional Details'!$B$14:$B$29,'Regional Details'!$C$14:$C$29)</f>
        <v>0</v>
      </c>
      <c r="I94" s="13">
        <f t="shared" si="2"/>
        <v>135</v>
      </c>
      <c r="J94" s="13">
        <f t="shared" si="3"/>
        <v>135</v>
      </c>
      <c r="K94" s="15">
        <f t="shared" si="4"/>
        <v>3680640</v>
      </c>
      <c r="L94" s="13">
        <f t="shared" si="5"/>
        <v>4085505</v>
      </c>
      <c r="M94" s="13">
        <f t="shared" si="6"/>
        <v>74.03</v>
      </c>
      <c r="N94" s="13">
        <f t="shared" si="7"/>
        <v>73.16</v>
      </c>
      <c r="O94" s="13">
        <f t="shared" ref="O94:P94" si="99">M94*F94</f>
        <v>2018353.92</v>
      </c>
      <c r="P94" s="13">
        <f t="shared" si="99"/>
        <v>2214041.08</v>
      </c>
      <c r="Q94" s="13"/>
    </row>
    <row r="95" ht="15.75" customHeight="1">
      <c r="A95" s="13" t="s">
        <v>55</v>
      </c>
      <c r="B95" s="13" t="str">
        <f t="array" ref="B95">XLOOKUP(A95,Abbreviation!$A$17:$A$22,Abbreviation!$B$17:$B$22)</f>
        <v>March</v>
      </c>
      <c r="C95" s="13" t="str">
        <f t="array" ref="C95">XLOOKUP(D95,'Regional Details'!$B$14:$B$29,'Regional Details'!$A$14:$A$29)</f>
        <v>West</v>
      </c>
      <c r="D95" s="13" t="s">
        <v>26</v>
      </c>
      <c r="E95" s="13" t="s">
        <v>29</v>
      </c>
      <c r="F95" s="13">
        <v>20689.0</v>
      </c>
      <c r="G95" s="13">
        <v>23379.0</v>
      </c>
      <c r="H95" s="14">
        <f t="array" ref="H95">XLOOKUP(D95,'Regional Details'!$B$14:$B$29,'Regional Details'!$C$14:$C$29)</f>
        <v>0</v>
      </c>
      <c r="I95" s="13">
        <f t="shared" si="2"/>
        <v>60</v>
      </c>
      <c r="J95" s="13">
        <f t="shared" si="3"/>
        <v>60</v>
      </c>
      <c r="K95" s="15">
        <f t="shared" si="4"/>
        <v>1241340</v>
      </c>
      <c r="L95" s="13">
        <f t="shared" si="5"/>
        <v>1402740</v>
      </c>
      <c r="M95" s="13">
        <f t="shared" si="6"/>
        <v>33.75</v>
      </c>
      <c r="N95" s="13">
        <f t="shared" si="7"/>
        <v>29.89</v>
      </c>
      <c r="O95" s="13">
        <f t="shared" ref="O95:P95" si="100">M95*F95</f>
        <v>698253.75</v>
      </c>
      <c r="P95" s="13">
        <f t="shared" si="100"/>
        <v>698798.31</v>
      </c>
      <c r="Q95" s="13"/>
    </row>
    <row r="96" ht="15.75" customHeight="1">
      <c r="A96" s="13" t="s">
        <v>55</v>
      </c>
      <c r="B96" s="13" t="str">
        <f t="array" ref="B96">XLOOKUP(A96,Abbreviation!$A$17:$A$22,Abbreviation!$B$17:$B$22)</f>
        <v>March</v>
      </c>
      <c r="C96" s="13" t="str">
        <f t="array" ref="C96">XLOOKUP(D96,'Regional Details'!$B$14:$B$29,'Regional Details'!$A$14:$A$29)</f>
        <v>East</v>
      </c>
      <c r="D96" s="13" t="s">
        <v>25</v>
      </c>
      <c r="E96" s="13" t="s">
        <v>31</v>
      </c>
      <c r="F96" s="13">
        <v>23299.0</v>
      </c>
      <c r="G96" s="13">
        <v>29124.0</v>
      </c>
      <c r="H96" s="14">
        <f t="array" ref="H96">XLOOKUP(D96,'Regional Details'!$B$14:$B$29,'Regional Details'!$C$14:$C$29)</f>
        <v>0.05</v>
      </c>
      <c r="I96" s="13">
        <f t="shared" si="2"/>
        <v>135</v>
      </c>
      <c r="J96" s="13">
        <f t="shared" si="3"/>
        <v>128.25</v>
      </c>
      <c r="K96" s="15">
        <f t="shared" si="4"/>
        <v>2988096.75</v>
      </c>
      <c r="L96" s="13">
        <f t="shared" si="5"/>
        <v>3931740</v>
      </c>
      <c r="M96" s="13">
        <f t="shared" si="6"/>
        <v>74.03</v>
      </c>
      <c r="N96" s="13">
        <f t="shared" si="7"/>
        <v>73.16</v>
      </c>
      <c r="O96" s="13">
        <f t="shared" ref="O96:P96" si="101">M96*F96</f>
        <v>1724824.97</v>
      </c>
      <c r="P96" s="13">
        <f t="shared" si="101"/>
        <v>2130711.84</v>
      </c>
      <c r="Q96" s="13"/>
    </row>
    <row r="97" ht="15.75" customHeight="1">
      <c r="A97" s="13" t="s">
        <v>55</v>
      </c>
      <c r="B97" s="13" t="str">
        <f t="array" ref="B97">XLOOKUP(A97,Abbreviation!$A$17:$A$22,Abbreviation!$B$17:$B$22)</f>
        <v>March</v>
      </c>
      <c r="C97" s="13" t="str">
        <f t="array" ref="C97">XLOOKUP(D97,'Regional Details'!$B$14:$B$29,'Regional Details'!$A$14:$A$29)</f>
        <v>East</v>
      </c>
      <c r="D97" s="13" t="s">
        <v>25</v>
      </c>
      <c r="E97" s="13" t="s">
        <v>29</v>
      </c>
      <c r="F97" s="13">
        <v>30503.0</v>
      </c>
      <c r="G97" s="13">
        <v>36909.0</v>
      </c>
      <c r="H97" s="14">
        <f t="array" ref="H97">XLOOKUP(D97,'Regional Details'!$B$14:$B$29,'Regional Details'!$C$14:$C$29)</f>
        <v>0.05</v>
      </c>
      <c r="I97" s="13">
        <f t="shared" si="2"/>
        <v>60</v>
      </c>
      <c r="J97" s="13">
        <f t="shared" si="3"/>
        <v>57</v>
      </c>
      <c r="K97" s="15">
        <f t="shared" si="4"/>
        <v>1738671</v>
      </c>
      <c r="L97" s="13">
        <f t="shared" si="5"/>
        <v>2214540</v>
      </c>
      <c r="M97" s="13">
        <f t="shared" si="6"/>
        <v>33.75</v>
      </c>
      <c r="N97" s="13">
        <f t="shared" si="7"/>
        <v>29.89</v>
      </c>
      <c r="O97" s="13">
        <f t="shared" ref="O97:P97" si="102">M97*F97</f>
        <v>1029476.25</v>
      </c>
      <c r="P97" s="13">
        <f t="shared" si="102"/>
        <v>1103210.01</v>
      </c>
      <c r="Q97" s="13"/>
    </row>
    <row r="98" ht="15.75" customHeight="1">
      <c r="A98" s="13" t="s">
        <v>57</v>
      </c>
      <c r="B98" s="13" t="str">
        <f t="array" ref="B98">XLOOKUP(A98,Abbreviation!$A$17:$A$22,Abbreviation!$B$17:$B$22)</f>
        <v>April</v>
      </c>
      <c r="C98" s="13" t="str">
        <f t="array" ref="C98">XLOOKUP(D98,'Regional Details'!$B$14:$B$29,'Regional Details'!$A$14:$A$29)</f>
        <v>North</v>
      </c>
      <c r="D98" s="13" t="s">
        <v>12</v>
      </c>
      <c r="E98" s="13" t="s">
        <v>31</v>
      </c>
      <c r="F98" s="13">
        <v>32979.0</v>
      </c>
      <c r="G98" s="13">
        <v>40234.0</v>
      </c>
      <c r="H98" s="14">
        <f t="array" ref="H98">XLOOKUP(D98,'Regional Details'!$B$14:$B$29,'Regional Details'!$C$14:$C$29)</f>
        <v>0</v>
      </c>
      <c r="I98" s="13">
        <f t="shared" si="2"/>
        <v>135</v>
      </c>
      <c r="J98" s="13">
        <f t="shared" si="3"/>
        <v>135</v>
      </c>
      <c r="K98" s="15">
        <f t="shared" si="4"/>
        <v>4452165</v>
      </c>
      <c r="L98" s="13">
        <f t="shared" si="5"/>
        <v>5431590</v>
      </c>
      <c r="M98" s="13">
        <f t="shared" si="6"/>
        <v>74.03</v>
      </c>
      <c r="N98" s="13">
        <f t="shared" si="7"/>
        <v>73.16</v>
      </c>
      <c r="O98" s="13">
        <f t="shared" ref="O98:P98" si="103">M98*F98</f>
        <v>2441435.37</v>
      </c>
      <c r="P98" s="13">
        <f t="shared" si="103"/>
        <v>2943519.44</v>
      </c>
      <c r="Q98" s="13"/>
    </row>
    <row r="99" ht="15.75" customHeight="1">
      <c r="A99" s="13" t="s">
        <v>57</v>
      </c>
      <c r="B99" s="13" t="str">
        <f t="array" ref="B99">XLOOKUP(A99,Abbreviation!$A$17:$A$22,Abbreviation!$B$17:$B$22)</f>
        <v>April</v>
      </c>
      <c r="C99" s="13" t="str">
        <f t="array" ref="C99">XLOOKUP(D99,'Regional Details'!$B$14:$B$29,'Regional Details'!$A$14:$A$29)</f>
        <v>North</v>
      </c>
      <c r="D99" s="13" t="s">
        <v>12</v>
      </c>
      <c r="E99" s="13" t="s">
        <v>29</v>
      </c>
      <c r="F99" s="13">
        <v>25544.0</v>
      </c>
      <c r="G99" s="13">
        <v>31930.0</v>
      </c>
      <c r="H99" s="14">
        <f t="array" ref="H99">XLOOKUP(D99,'Regional Details'!$B$14:$B$29,'Regional Details'!$C$14:$C$29)</f>
        <v>0</v>
      </c>
      <c r="I99" s="13">
        <f t="shared" si="2"/>
        <v>60</v>
      </c>
      <c r="J99" s="13">
        <f t="shared" si="3"/>
        <v>60</v>
      </c>
      <c r="K99" s="15">
        <f t="shared" si="4"/>
        <v>1532640</v>
      </c>
      <c r="L99" s="13">
        <f t="shared" si="5"/>
        <v>1915800</v>
      </c>
      <c r="M99" s="13">
        <f t="shared" si="6"/>
        <v>33.75</v>
      </c>
      <c r="N99" s="13">
        <f t="shared" si="7"/>
        <v>29.89</v>
      </c>
      <c r="O99" s="13">
        <f t="shared" ref="O99:P99" si="104">M99*F99</f>
        <v>862110</v>
      </c>
      <c r="P99" s="13">
        <f t="shared" si="104"/>
        <v>954387.7</v>
      </c>
      <c r="Q99" s="13"/>
    </row>
    <row r="100" ht="15.75" customHeight="1">
      <c r="A100" s="13" t="s">
        <v>57</v>
      </c>
      <c r="B100" s="13" t="str">
        <f t="array" ref="B100">XLOOKUP(A100,Abbreviation!$A$17:$A$22,Abbreviation!$B$17:$B$22)</f>
        <v>April</v>
      </c>
      <c r="C100" s="13" t="str">
        <f t="array" ref="C100">XLOOKUP(D100,'Regional Details'!$B$14:$B$29,'Regional Details'!$A$14:$A$29)</f>
        <v>East</v>
      </c>
      <c r="D100" s="13" t="s">
        <v>13</v>
      </c>
      <c r="E100" s="13" t="s">
        <v>31</v>
      </c>
      <c r="F100" s="13">
        <v>17900.0</v>
      </c>
      <c r="G100" s="13">
        <v>20585.0</v>
      </c>
      <c r="H100" s="14">
        <f t="array" ref="H100">XLOOKUP(D100,'Regional Details'!$B$14:$B$29,'Regional Details'!$C$14:$C$29)</f>
        <v>0</v>
      </c>
      <c r="I100" s="13">
        <f t="shared" si="2"/>
        <v>135</v>
      </c>
      <c r="J100" s="13">
        <f t="shared" si="3"/>
        <v>135</v>
      </c>
      <c r="K100" s="15">
        <f t="shared" si="4"/>
        <v>2416500</v>
      </c>
      <c r="L100" s="13">
        <f t="shared" si="5"/>
        <v>2778975</v>
      </c>
      <c r="M100" s="13">
        <f t="shared" si="6"/>
        <v>74.03</v>
      </c>
      <c r="N100" s="13">
        <f t="shared" si="7"/>
        <v>73.16</v>
      </c>
      <c r="O100" s="13">
        <f t="shared" ref="O100:P100" si="105">M100*F100</f>
        <v>1325137</v>
      </c>
      <c r="P100" s="13">
        <f t="shared" si="105"/>
        <v>1505998.6</v>
      </c>
      <c r="Q100" s="13"/>
    </row>
    <row r="101" ht="15.75" customHeight="1">
      <c r="A101" s="13" t="s">
        <v>57</v>
      </c>
      <c r="B101" s="13" t="str">
        <f t="array" ref="B101">XLOOKUP(A101,Abbreviation!$A$17:$A$22,Abbreviation!$B$17:$B$22)</f>
        <v>April</v>
      </c>
      <c r="C101" s="13" t="str">
        <f t="array" ref="C101">XLOOKUP(D101,'Regional Details'!$B$14:$B$29,'Regional Details'!$A$14:$A$29)</f>
        <v>East</v>
      </c>
      <c r="D101" s="13" t="s">
        <v>13</v>
      </c>
      <c r="E101" s="13" t="s">
        <v>29</v>
      </c>
      <c r="F101" s="13">
        <v>35179.0</v>
      </c>
      <c r="G101" s="13">
        <v>43622.0</v>
      </c>
      <c r="H101" s="14">
        <f t="array" ref="H101">XLOOKUP(D101,'Regional Details'!$B$14:$B$29,'Regional Details'!$C$14:$C$29)</f>
        <v>0</v>
      </c>
      <c r="I101" s="13">
        <f t="shared" si="2"/>
        <v>60</v>
      </c>
      <c r="J101" s="13">
        <f t="shared" si="3"/>
        <v>60</v>
      </c>
      <c r="K101" s="15">
        <f t="shared" si="4"/>
        <v>2110740</v>
      </c>
      <c r="L101" s="13">
        <f t="shared" si="5"/>
        <v>2617320</v>
      </c>
      <c r="M101" s="13">
        <f t="shared" si="6"/>
        <v>33.75</v>
      </c>
      <c r="N101" s="13">
        <f t="shared" si="7"/>
        <v>29.89</v>
      </c>
      <c r="O101" s="13">
        <f t="shared" ref="O101:P101" si="106">M101*F101</f>
        <v>1187291.25</v>
      </c>
      <c r="P101" s="13">
        <f t="shared" si="106"/>
        <v>1303861.58</v>
      </c>
      <c r="Q101" s="13"/>
    </row>
    <row r="102" ht="15.75" customHeight="1">
      <c r="A102" s="13" t="s">
        <v>57</v>
      </c>
      <c r="B102" s="13" t="str">
        <f t="array" ref="B102">XLOOKUP(A102,Abbreviation!$A$17:$A$22,Abbreviation!$B$17:$B$22)</f>
        <v>April</v>
      </c>
      <c r="C102" s="13" t="str">
        <f t="array" ref="C102">XLOOKUP(D102,'Regional Details'!$B$14:$B$29,'Regional Details'!$A$14:$A$29)</f>
        <v>West</v>
      </c>
      <c r="D102" s="13" t="s">
        <v>14</v>
      </c>
      <c r="E102" s="13" t="s">
        <v>31</v>
      </c>
      <c r="F102" s="13">
        <v>21795.0</v>
      </c>
      <c r="G102" s="13">
        <v>26590.0</v>
      </c>
      <c r="H102" s="14">
        <f t="array" ref="H102">XLOOKUP(D102,'Regional Details'!$B$14:$B$29,'Regional Details'!$C$14:$C$29)</f>
        <v>0</v>
      </c>
      <c r="I102" s="13">
        <f t="shared" si="2"/>
        <v>135</v>
      </c>
      <c r="J102" s="13">
        <f t="shared" si="3"/>
        <v>135</v>
      </c>
      <c r="K102" s="15">
        <f t="shared" si="4"/>
        <v>2942325</v>
      </c>
      <c r="L102" s="13">
        <f t="shared" si="5"/>
        <v>3589650</v>
      </c>
      <c r="M102" s="13">
        <f t="shared" si="6"/>
        <v>74.03</v>
      </c>
      <c r="N102" s="13">
        <f t="shared" si="7"/>
        <v>73.16</v>
      </c>
      <c r="O102" s="13">
        <f t="shared" ref="O102:P102" si="107">M102*F102</f>
        <v>1613483.85</v>
      </c>
      <c r="P102" s="13">
        <f t="shared" si="107"/>
        <v>1945324.4</v>
      </c>
      <c r="Q102" s="13"/>
    </row>
    <row r="103" ht="15.75" customHeight="1">
      <c r="A103" s="13" t="s">
        <v>57</v>
      </c>
      <c r="B103" s="13" t="str">
        <f t="array" ref="B103">XLOOKUP(A103,Abbreviation!$A$17:$A$22,Abbreviation!$B$17:$B$22)</f>
        <v>April</v>
      </c>
      <c r="C103" s="13" t="str">
        <f t="array" ref="C103">XLOOKUP(D103,'Regional Details'!$B$14:$B$29,'Regional Details'!$A$14:$A$29)</f>
        <v>West</v>
      </c>
      <c r="D103" s="13" t="s">
        <v>14</v>
      </c>
      <c r="E103" s="13" t="s">
        <v>29</v>
      </c>
      <c r="F103" s="13">
        <v>25739.0</v>
      </c>
      <c r="G103" s="13">
        <v>28570.0</v>
      </c>
      <c r="H103" s="14">
        <f t="array" ref="H103">XLOOKUP(D103,'Regional Details'!$B$14:$B$29,'Regional Details'!$C$14:$C$29)</f>
        <v>0</v>
      </c>
      <c r="I103" s="13">
        <f t="shared" si="2"/>
        <v>60</v>
      </c>
      <c r="J103" s="13">
        <f t="shared" si="3"/>
        <v>60</v>
      </c>
      <c r="K103" s="15">
        <f t="shared" si="4"/>
        <v>1544340</v>
      </c>
      <c r="L103" s="13">
        <f t="shared" si="5"/>
        <v>1714200</v>
      </c>
      <c r="M103" s="13">
        <f t="shared" si="6"/>
        <v>33.75</v>
      </c>
      <c r="N103" s="13">
        <f t="shared" si="7"/>
        <v>29.89</v>
      </c>
      <c r="O103" s="13">
        <f t="shared" ref="O103:P103" si="108">M103*F103</f>
        <v>868691.25</v>
      </c>
      <c r="P103" s="13">
        <f t="shared" si="108"/>
        <v>853957.3</v>
      </c>
      <c r="Q103" s="13"/>
    </row>
    <row r="104" ht="15.75" customHeight="1">
      <c r="A104" s="13" t="s">
        <v>57</v>
      </c>
      <c r="B104" s="13" t="str">
        <f t="array" ref="B104">XLOOKUP(A104,Abbreviation!$A$17:$A$22,Abbreviation!$B$17:$B$22)</f>
        <v>April</v>
      </c>
      <c r="C104" s="13" t="str">
        <f t="array" ref="C104">XLOOKUP(D104,'Regional Details'!$B$14:$B$29,'Regional Details'!$A$14:$A$29)</f>
        <v>South</v>
      </c>
      <c r="D104" s="13" t="s">
        <v>15</v>
      </c>
      <c r="E104" s="13" t="s">
        <v>31</v>
      </c>
      <c r="F104" s="13">
        <v>40791.0</v>
      </c>
      <c r="G104" s="13">
        <v>49765.0</v>
      </c>
      <c r="H104" s="14">
        <f t="array" ref="H104">XLOOKUP(D104,'Regional Details'!$B$14:$B$29,'Regional Details'!$C$14:$C$29)</f>
        <v>0</v>
      </c>
      <c r="I104" s="13">
        <f t="shared" si="2"/>
        <v>135</v>
      </c>
      <c r="J104" s="13">
        <f t="shared" si="3"/>
        <v>135</v>
      </c>
      <c r="K104" s="15">
        <f t="shared" si="4"/>
        <v>5506785</v>
      </c>
      <c r="L104" s="13">
        <f t="shared" si="5"/>
        <v>6718275</v>
      </c>
      <c r="M104" s="13">
        <f t="shared" si="6"/>
        <v>74.03</v>
      </c>
      <c r="N104" s="13">
        <f t="shared" si="7"/>
        <v>73.16</v>
      </c>
      <c r="O104" s="13">
        <f t="shared" ref="O104:P104" si="109">M104*F104</f>
        <v>3019757.73</v>
      </c>
      <c r="P104" s="13">
        <f t="shared" si="109"/>
        <v>3640807.4</v>
      </c>
      <c r="Q104" s="13"/>
    </row>
    <row r="105" ht="15.75" customHeight="1">
      <c r="A105" s="13" t="s">
        <v>57</v>
      </c>
      <c r="B105" s="13" t="str">
        <f t="array" ref="B105">XLOOKUP(A105,Abbreviation!$A$17:$A$22,Abbreviation!$B$17:$B$22)</f>
        <v>April</v>
      </c>
      <c r="C105" s="13" t="str">
        <f t="array" ref="C105">XLOOKUP(D105,'Regional Details'!$B$14:$B$29,'Regional Details'!$A$14:$A$29)</f>
        <v>South</v>
      </c>
      <c r="D105" s="13" t="s">
        <v>15</v>
      </c>
      <c r="E105" s="13" t="s">
        <v>29</v>
      </c>
      <c r="F105" s="13">
        <v>21753.0</v>
      </c>
      <c r="G105" s="13">
        <v>26321.0</v>
      </c>
      <c r="H105" s="14">
        <f t="array" ref="H105">XLOOKUP(D105,'Regional Details'!$B$14:$B$29,'Regional Details'!$C$14:$C$29)</f>
        <v>0</v>
      </c>
      <c r="I105" s="13">
        <f t="shared" si="2"/>
        <v>60</v>
      </c>
      <c r="J105" s="13">
        <f t="shared" si="3"/>
        <v>60</v>
      </c>
      <c r="K105" s="15">
        <f t="shared" si="4"/>
        <v>1305180</v>
      </c>
      <c r="L105" s="13">
        <f t="shared" si="5"/>
        <v>1579260</v>
      </c>
      <c r="M105" s="13">
        <f t="shared" si="6"/>
        <v>33.75</v>
      </c>
      <c r="N105" s="13">
        <f t="shared" si="7"/>
        <v>29.89</v>
      </c>
      <c r="O105" s="13">
        <f t="shared" ref="O105:P105" si="110">M105*F105</f>
        <v>734163.75</v>
      </c>
      <c r="P105" s="13">
        <f t="shared" si="110"/>
        <v>786734.69</v>
      </c>
      <c r="Q105" s="13"/>
    </row>
    <row r="106" ht="15.75" customHeight="1">
      <c r="A106" s="13" t="s">
        <v>57</v>
      </c>
      <c r="B106" s="13" t="str">
        <f t="array" ref="B106">XLOOKUP(A106,Abbreviation!$A$17:$A$22,Abbreviation!$B$17:$B$22)</f>
        <v>April</v>
      </c>
      <c r="C106" s="13" t="str">
        <f t="array" ref="C106">XLOOKUP(D106,'Regional Details'!$B$14:$B$29,'Regional Details'!$A$14:$A$29)</f>
        <v>North</v>
      </c>
      <c r="D106" s="13" t="s">
        <v>16</v>
      </c>
      <c r="E106" s="13" t="s">
        <v>31</v>
      </c>
      <c r="F106" s="13">
        <v>35006.0</v>
      </c>
      <c r="G106" s="13">
        <v>42007.0</v>
      </c>
      <c r="H106" s="14">
        <f t="array" ref="H106">XLOOKUP(D106,'Regional Details'!$B$14:$B$29,'Regional Details'!$C$14:$C$29)</f>
        <v>0</v>
      </c>
      <c r="I106" s="13">
        <f t="shared" si="2"/>
        <v>135</v>
      </c>
      <c r="J106" s="13">
        <f t="shared" si="3"/>
        <v>135</v>
      </c>
      <c r="K106" s="15">
        <f t="shared" si="4"/>
        <v>4725810</v>
      </c>
      <c r="L106" s="13">
        <f t="shared" si="5"/>
        <v>5670945</v>
      </c>
      <c r="M106" s="13">
        <f t="shared" si="6"/>
        <v>74.03</v>
      </c>
      <c r="N106" s="13">
        <f t="shared" si="7"/>
        <v>73.16</v>
      </c>
      <c r="O106" s="13">
        <f t="shared" ref="O106:P106" si="111">M106*F106</f>
        <v>2591494.18</v>
      </c>
      <c r="P106" s="13">
        <f t="shared" si="111"/>
        <v>3073232.12</v>
      </c>
      <c r="Q106" s="13"/>
    </row>
    <row r="107" ht="15.75" customHeight="1">
      <c r="A107" s="13" t="s">
        <v>57</v>
      </c>
      <c r="B107" s="13" t="str">
        <f t="array" ref="B107">XLOOKUP(A107,Abbreviation!$A$17:$A$22,Abbreviation!$B$17:$B$22)</f>
        <v>April</v>
      </c>
      <c r="C107" s="13" t="str">
        <f t="array" ref="C107">XLOOKUP(D107,'Regional Details'!$B$14:$B$29,'Regional Details'!$A$14:$A$29)</f>
        <v>North</v>
      </c>
      <c r="D107" s="13" t="s">
        <v>16</v>
      </c>
      <c r="E107" s="13" t="s">
        <v>29</v>
      </c>
      <c r="F107" s="13">
        <v>37186.0</v>
      </c>
      <c r="G107" s="13">
        <v>44995.0</v>
      </c>
      <c r="H107" s="14">
        <f t="array" ref="H107">XLOOKUP(D107,'Regional Details'!$B$14:$B$29,'Regional Details'!$C$14:$C$29)</f>
        <v>0</v>
      </c>
      <c r="I107" s="13">
        <f t="shared" si="2"/>
        <v>60</v>
      </c>
      <c r="J107" s="13">
        <f t="shared" si="3"/>
        <v>60</v>
      </c>
      <c r="K107" s="15">
        <f t="shared" si="4"/>
        <v>2231160</v>
      </c>
      <c r="L107" s="13">
        <f t="shared" si="5"/>
        <v>2699700</v>
      </c>
      <c r="M107" s="13">
        <f t="shared" si="6"/>
        <v>33.75</v>
      </c>
      <c r="N107" s="13">
        <f t="shared" si="7"/>
        <v>29.89</v>
      </c>
      <c r="O107" s="13">
        <f t="shared" ref="O107:P107" si="112">M107*F107</f>
        <v>1255027.5</v>
      </c>
      <c r="P107" s="13">
        <f t="shared" si="112"/>
        <v>1344900.55</v>
      </c>
      <c r="Q107" s="13"/>
    </row>
    <row r="108" ht="15.75" customHeight="1">
      <c r="A108" s="13" t="s">
        <v>57</v>
      </c>
      <c r="B108" s="13" t="str">
        <f t="array" ref="B108">XLOOKUP(A108,Abbreviation!$A$17:$A$22,Abbreviation!$B$17:$B$22)</f>
        <v>April</v>
      </c>
      <c r="C108" s="13" t="str">
        <f t="array" ref="C108">XLOOKUP(D108,'Regional Details'!$B$14:$B$29,'Regional Details'!$A$14:$A$29)</f>
        <v>East</v>
      </c>
      <c r="D108" s="13" t="s">
        <v>17</v>
      </c>
      <c r="E108" s="13" t="s">
        <v>31</v>
      </c>
      <c r="F108" s="13">
        <v>14722.0</v>
      </c>
      <c r="G108" s="13">
        <v>15164.0</v>
      </c>
      <c r="H108" s="16">
        <f t="array" ref="H108">XLOOKUP(D108,'Regional Details'!$B$14:$B$29,'Regional Details'!$C$14:$C$29)</f>
        <v>0.125</v>
      </c>
      <c r="I108" s="13">
        <f t="shared" si="2"/>
        <v>135</v>
      </c>
      <c r="J108" s="13">
        <f t="shared" si="3"/>
        <v>118.125</v>
      </c>
      <c r="K108" s="15">
        <f t="shared" si="4"/>
        <v>1739036.25</v>
      </c>
      <c r="L108" s="13">
        <f t="shared" si="5"/>
        <v>2047140</v>
      </c>
      <c r="M108" s="13">
        <f t="shared" si="6"/>
        <v>74.03</v>
      </c>
      <c r="N108" s="13">
        <f t="shared" si="7"/>
        <v>73.16</v>
      </c>
      <c r="O108" s="13">
        <f t="shared" ref="O108:P108" si="113">M108*F108</f>
        <v>1089869.66</v>
      </c>
      <c r="P108" s="13">
        <f t="shared" si="113"/>
        <v>1109398.24</v>
      </c>
      <c r="Q108" s="13"/>
    </row>
    <row r="109" ht="15.75" customHeight="1">
      <c r="A109" s="13" t="s">
        <v>57</v>
      </c>
      <c r="B109" s="13" t="str">
        <f t="array" ref="B109">XLOOKUP(A109,Abbreviation!$A$17:$A$22,Abbreviation!$B$17:$B$22)</f>
        <v>April</v>
      </c>
      <c r="C109" s="13" t="str">
        <f t="array" ref="C109">XLOOKUP(D109,'Regional Details'!$B$14:$B$29,'Regional Details'!$A$14:$A$29)</f>
        <v>East</v>
      </c>
      <c r="D109" s="13" t="s">
        <v>17</v>
      </c>
      <c r="E109" s="13" t="s">
        <v>29</v>
      </c>
      <c r="F109" s="13">
        <v>19873.0</v>
      </c>
      <c r="G109" s="13">
        <v>20469.0</v>
      </c>
      <c r="H109" s="16">
        <f t="array" ref="H109">XLOOKUP(D109,'Regional Details'!$B$14:$B$29,'Regional Details'!$C$14:$C$29)</f>
        <v>0.125</v>
      </c>
      <c r="I109" s="13">
        <f t="shared" si="2"/>
        <v>60</v>
      </c>
      <c r="J109" s="13">
        <f t="shared" si="3"/>
        <v>52.5</v>
      </c>
      <c r="K109" s="15">
        <f t="shared" si="4"/>
        <v>1043332.5</v>
      </c>
      <c r="L109" s="13">
        <f t="shared" si="5"/>
        <v>1228140</v>
      </c>
      <c r="M109" s="13">
        <f t="shared" si="6"/>
        <v>33.75</v>
      </c>
      <c r="N109" s="13">
        <f t="shared" si="7"/>
        <v>29.89</v>
      </c>
      <c r="O109" s="13">
        <f t="shared" ref="O109:P109" si="114">M109*F109</f>
        <v>670713.75</v>
      </c>
      <c r="P109" s="13">
        <f t="shared" si="114"/>
        <v>611818.41</v>
      </c>
      <c r="Q109" s="13"/>
    </row>
    <row r="110" ht="15.75" customHeight="1">
      <c r="A110" s="13" t="s">
        <v>57</v>
      </c>
      <c r="B110" s="13" t="str">
        <f t="array" ref="B110">XLOOKUP(A110,Abbreviation!$A$17:$A$22,Abbreviation!$B$17:$B$22)</f>
        <v>April</v>
      </c>
      <c r="C110" s="13" t="str">
        <f t="array" ref="C110">XLOOKUP(D110,'Regional Details'!$B$14:$B$29,'Regional Details'!$A$14:$A$29)</f>
        <v>West</v>
      </c>
      <c r="D110" s="13" t="s">
        <v>18</v>
      </c>
      <c r="E110" s="13" t="s">
        <v>31</v>
      </c>
      <c r="F110" s="13">
        <v>30752.0</v>
      </c>
      <c r="G110" s="13">
        <v>36902.0</v>
      </c>
      <c r="H110" s="14">
        <f t="array" ref="H110">XLOOKUP(D110,'Regional Details'!$B$14:$B$29,'Regional Details'!$C$14:$C$29)</f>
        <v>0</v>
      </c>
      <c r="I110" s="13">
        <f t="shared" si="2"/>
        <v>135</v>
      </c>
      <c r="J110" s="13">
        <f t="shared" si="3"/>
        <v>135</v>
      </c>
      <c r="K110" s="15">
        <f t="shared" si="4"/>
        <v>4151520</v>
      </c>
      <c r="L110" s="13">
        <f t="shared" si="5"/>
        <v>4981770</v>
      </c>
      <c r="M110" s="13">
        <f t="shared" si="6"/>
        <v>74.03</v>
      </c>
      <c r="N110" s="13">
        <f t="shared" si="7"/>
        <v>73.16</v>
      </c>
      <c r="O110" s="13">
        <f t="shared" ref="O110:P110" si="115">M110*F110</f>
        <v>2276570.56</v>
      </c>
      <c r="P110" s="13">
        <f t="shared" si="115"/>
        <v>2699750.32</v>
      </c>
      <c r="Q110" s="13"/>
    </row>
    <row r="111" ht="15.75" customHeight="1">
      <c r="A111" s="13" t="s">
        <v>57</v>
      </c>
      <c r="B111" s="13" t="str">
        <f t="array" ref="B111">XLOOKUP(A111,Abbreviation!$A$17:$A$22,Abbreviation!$B$17:$B$22)</f>
        <v>April</v>
      </c>
      <c r="C111" s="13" t="str">
        <f t="array" ref="C111">XLOOKUP(D111,'Regional Details'!$B$14:$B$29,'Regional Details'!$A$14:$A$29)</f>
        <v>West</v>
      </c>
      <c r="D111" s="13" t="s">
        <v>18</v>
      </c>
      <c r="E111" s="13" t="s">
        <v>29</v>
      </c>
      <c r="F111" s="13">
        <v>17729.0</v>
      </c>
      <c r="G111" s="13">
        <v>19502.0</v>
      </c>
      <c r="H111" s="14">
        <f t="array" ref="H111">XLOOKUP(D111,'Regional Details'!$B$14:$B$29,'Regional Details'!$C$14:$C$29)</f>
        <v>0</v>
      </c>
      <c r="I111" s="13">
        <f t="shared" si="2"/>
        <v>60</v>
      </c>
      <c r="J111" s="13">
        <f t="shared" si="3"/>
        <v>60</v>
      </c>
      <c r="K111" s="15">
        <f t="shared" si="4"/>
        <v>1063740</v>
      </c>
      <c r="L111" s="13">
        <f t="shared" si="5"/>
        <v>1170120</v>
      </c>
      <c r="M111" s="13">
        <f t="shared" si="6"/>
        <v>33.75</v>
      </c>
      <c r="N111" s="13">
        <f t="shared" si="7"/>
        <v>29.89</v>
      </c>
      <c r="O111" s="13">
        <f t="shared" ref="O111:P111" si="116">M111*F111</f>
        <v>598353.75</v>
      </c>
      <c r="P111" s="13">
        <f t="shared" si="116"/>
        <v>582914.78</v>
      </c>
      <c r="Q111" s="13"/>
    </row>
    <row r="112" ht="15.75" customHeight="1">
      <c r="A112" s="13" t="s">
        <v>57</v>
      </c>
      <c r="B112" s="13" t="str">
        <f t="array" ref="B112">XLOOKUP(A112,Abbreviation!$A$17:$A$22,Abbreviation!$B$17:$B$22)</f>
        <v>April</v>
      </c>
      <c r="C112" s="13" t="str">
        <f t="array" ref="C112">XLOOKUP(D112,'Regional Details'!$B$14:$B$29,'Regional Details'!$A$14:$A$29)</f>
        <v>South</v>
      </c>
      <c r="D112" s="13" t="s">
        <v>19</v>
      </c>
      <c r="E112" s="13" t="s">
        <v>31</v>
      </c>
      <c r="F112" s="13">
        <v>19317.0</v>
      </c>
      <c r="G112" s="13">
        <v>22021.0</v>
      </c>
      <c r="H112" s="14">
        <f t="array" ref="H112">XLOOKUP(D112,'Regional Details'!$B$14:$B$29,'Regional Details'!$C$14:$C$29)</f>
        <v>0</v>
      </c>
      <c r="I112" s="13">
        <f t="shared" si="2"/>
        <v>135</v>
      </c>
      <c r="J112" s="13">
        <f t="shared" si="3"/>
        <v>135</v>
      </c>
      <c r="K112" s="15">
        <f t="shared" si="4"/>
        <v>2607795</v>
      </c>
      <c r="L112" s="13">
        <f t="shared" si="5"/>
        <v>2972835</v>
      </c>
      <c r="M112" s="13">
        <f t="shared" si="6"/>
        <v>74.03</v>
      </c>
      <c r="N112" s="13">
        <f t="shared" si="7"/>
        <v>73.16</v>
      </c>
      <c r="O112" s="13">
        <f t="shared" ref="O112:P112" si="117">M112*F112</f>
        <v>1430037.51</v>
      </c>
      <c r="P112" s="13">
        <f t="shared" si="117"/>
        <v>1611056.36</v>
      </c>
      <c r="Q112" s="13"/>
    </row>
    <row r="113" ht="15.75" customHeight="1">
      <c r="A113" s="13" t="s">
        <v>57</v>
      </c>
      <c r="B113" s="13" t="str">
        <f t="array" ref="B113">XLOOKUP(A113,Abbreviation!$A$17:$A$22,Abbreviation!$B$17:$B$22)</f>
        <v>April</v>
      </c>
      <c r="C113" s="13" t="str">
        <f t="array" ref="C113">XLOOKUP(D113,'Regional Details'!$B$14:$B$29,'Regional Details'!$A$14:$A$29)</f>
        <v>South</v>
      </c>
      <c r="D113" s="13" t="s">
        <v>19</v>
      </c>
      <c r="E113" s="13" t="s">
        <v>29</v>
      </c>
      <c r="F113" s="13">
        <v>21190.0</v>
      </c>
      <c r="G113" s="13">
        <v>26276.0</v>
      </c>
      <c r="H113" s="14">
        <f t="array" ref="H113">XLOOKUP(D113,'Regional Details'!$B$14:$B$29,'Regional Details'!$C$14:$C$29)</f>
        <v>0</v>
      </c>
      <c r="I113" s="13">
        <f t="shared" si="2"/>
        <v>60</v>
      </c>
      <c r="J113" s="13">
        <f t="shared" si="3"/>
        <v>60</v>
      </c>
      <c r="K113" s="15">
        <f t="shared" si="4"/>
        <v>1271400</v>
      </c>
      <c r="L113" s="13">
        <f t="shared" si="5"/>
        <v>1576560</v>
      </c>
      <c r="M113" s="13">
        <f t="shared" si="6"/>
        <v>33.75</v>
      </c>
      <c r="N113" s="13">
        <f t="shared" si="7"/>
        <v>29.89</v>
      </c>
      <c r="O113" s="13">
        <f t="shared" ref="O113:P113" si="118">M113*F113</f>
        <v>715162.5</v>
      </c>
      <c r="P113" s="13">
        <f t="shared" si="118"/>
        <v>785389.64</v>
      </c>
      <c r="Q113" s="13"/>
    </row>
    <row r="114" ht="15.75" customHeight="1">
      <c r="A114" s="13" t="s">
        <v>57</v>
      </c>
      <c r="B114" s="13" t="str">
        <f t="array" ref="B114">XLOOKUP(A114,Abbreviation!$A$17:$A$22,Abbreviation!$B$17:$B$22)</f>
        <v>April</v>
      </c>
      <c r="C114" s="13" t="str">
        <f t="array" ref="C114">XLOOKUP(D114,'Regional Details'!$B$14:$B$29,'Regional Details'!$A$14:$A$29)</f>
        <v>North</v>
      </c>
      <c r="D114" s="13" t="s">
        <v>20</v>
      </c>
      <c r="E114" s="13" t="s">
        <v>31</v>
      </c>
      <c r="F114" s="13">
        <v>24409.0</v>
      </c>
      <c r="G114" s="13">
        <v>27826.0</v>
      </c>
      <c r="H114" s="14">
        <f t="array" ref="H114">XLOOKUP(D114,'Regional Details'!$B$14:$B$29,'Regional Details'!$C$14:$C$29)</f>
        <v>0.1</v>
      </c>
      <c r="I114" s="13">
        <f t="shared" si="2"/>
        <v>135</v>
      </c>
      <c r="J114" s="13">
        <f t="shared" si="3"/>
        <v>121.5</v>
      </c>
      <c r="K114" s="15">
        <f t="shared" si="4"/>
        <v>2965693.5</v>
      </c>
      <c r="L114" s="13">
        <f t="shared" si="5"/>
        <v>3756510</v>
      </c>
      <c r="M114" s="13">
        <f t="shared" si="6"/>
        <v>74.03</v>
      </c>
      <c r="N114" s="13">
        <f t="shared" si="7"/>
        <v>73.16</v>
      </c>
      <c r="O114" s="13">
        <f t="shared" ref="O114:P114" si="119">M114*F114</f>
        <v>1806998.27</v>
      </c>
      <c r="P114" s="13">
        <f t="shared" si="119"/>
        <v>2035750.16</v>
      </c>
      <c r="Q114" s="13"/>
    </row>
    <row r="115" ht="15.75" customHeight="1">
      <c r="A115" s="13" t="s">
        <v>57</v>
      </c>
      <c r="B115" s="13" t="str">
        <f t="array" ref="B115">XLOOKUP(A115,Abbreviation!$A$17:$A$22,Abbreviation!$B$17:$B$22)</f>
        <v>April</v>
      </c>
      <c r="C115" s="13" t="str">
        <f t="array" ref="C115">XLOOKUP(D115,'Regional Details'!$B$14:$B$29,'Regional Details'!$A$14:$A$29)</f>
        <v>North</v>
      </c>
      <c r="D115" s="13" t="s">
        <v>20</v>
      </c>
      <c r="E115" s="13" t="s">
        <v>29</v>
      </c>
      <c r="F115" s="13">
        <v>22620.0</v>
      </c>
      <c r="G115" s="13">
        <v>25108.0</v>
      </c>
      <c r="H115" s="14">
        <f t="array" ref="H115">XLOOKUP(D115,'Regional Details'!$B$14:$B$29,'Regional Details'!$C$14:$C$29)</f>
        <v>0.1</v>
      </c>
      <c r="I115" s="13">
        <f t="shared" si="2"/>
        <v>60</v>
      </c>
      <c r="J115" s="13">
        <f t="shared" si="3"/>
        <v>54</v>
      </c>
      <c r="K115" s="15">
        <f t="shared" si="4"/>
        <v>1221480</v>
      </c>
      <c r="L115" s="13">
        <f t="shared" si="5"/>
        <v>1506480</v>
      </c>
      <c r="M115" s="13">
        <f t="shared" si="6"/>
        <v>33.75</v>
      </c>
      <c r="N115" s="13">
        <f t="shared" si="7"/>
        <v>29.89</v>
      </c>
      <c r="O115" s="13">
        <f t="shared" ref="O115:P115" si="120">M115*F115</f>
        <v>763425</v>
      </c>
      <c r="P115" s="13">
        <f t="shared" si="120"/>
        <v>750478.12</v>
      </c>
      <c r="Q115" s="13"/>
    </row>
    <row r="116" ht="15.75" customHeight="1">
      <c r="A116" s="13" t="s">
        <v>57</v>
      </c>
      <c r="B116" s="13" t="str">
        <f t="array" ref="B116">XLOOKUP(A116,Abbreviation!$A$17:$A$22,Abbreviation!$B$17:$B$22)</f>
        <v>April</v>
      </c>
      <c r="C116" s="13" t="str">
        <f t="array" ref="C116">XLOOKUP(D116,'Regional Details'!$B$14:$B$29,'Regional Details'!$A$14:$A$29)</f>
        <v>East</v>
      </c>
      <c r="D116" s="13" t="s">
        <v>21</v>
      </c>
      <c r="E116" s="13" t="s">
        <v>31</v>
      </c>
      <c r="F116" s="13">
        <v>29782.0</v>
      </c>
      <c r="G116" s="13">
        <v>30378.0</v>
      </c>
      <c r="H116" s="14">
        <f t="array" ref="H116">XLOOKUP(D116,'Regional Details'!$B$14:$B$29,'Regional Details'!$C$14:$C$29)</f>
        <v>0.05</v>
      </c>
      <c r="I116" s="13">
        <f t="shared" si="2"/>
        <v>135</v>
      </c>
      <c r="J116" s="13">
        <f t="shared" si="3"/>
        <v>128.25</v>
      </c>
      <c r="K116" s="15">
        <f t="shared" si="4"/>
        <v>3819541.5</v>
      </c>
      <c r="L116" s="13">
        <f t="shared" si="5"/>
        <v>4101030</v>
      </c>
      <c r="M116" s="13">
        <f t="shared" si="6"/>
        <v>74.03</v>
      </c>
      <c r="N116" s="13">
        <f t="shared" si="7"/>
        <v>73.16</v>
      </c>
      <c r="O116" s="13">
        <f t="shared" ref="O116:P116" si="121">M116*F116</f>
        <v>2204761.46</v>
      </c>
      <c r="P116" s="13">
        <f t="shared" si="121"/>
        <v>2222454.48</v>
      </c>
      <c r="Q116" s="13"/>
    </row>
    <row r="117" ht="15.75" customHeight="1">
      <c r="A117" s="13" t="s">
        <v>57</v>
      </c>
      <c r="B117" s="13" t="str">
        <f t="array" ref="B117">XLOOKUP(A117,Abbreviation!$A$17:$A$22,Abbreviation!$B$17:$B$22)</f>
        <v>April</v>
      </c>
      <c r="C117" s="13" t="str">
        <f t="array" ref="C117">XLOOKUP(D117,'Regional Details'!$B$14:$B$29,'Regional Details'!$A$14:$A$29)</f>
        <v>East</v>
      </c>
      <c r="D117" s="13" t="s">
        <v>21</v>
      </c>
      <c r="E117" s="13" t="s">
        <v>29</v>
      </c>
      <c r="F117" s="13">
        <v>19097.0</v>
      </c>
      <c r="G117" s="13">
        <v>20052.0</v>
      </c>
      <c r="H117" s="14">
        <f t="array" ref="H117">XLOOKUP(D117,'Regional Details'!$B$14:$B$29,'Regional Details'!$C$14:$C$29)</f>
        <v>0.05</v>
      </c>
      <c r="I117" s="13">
        <f t="shared" si="2"/>
        <v>60</v>
      </c>
      <c r="J117" s="13">
        <f t="shared" si="3"/>
        <v>57</v>
      </c>
      <c r="K117" s="15">
        <f t="shared" si="4"/>
        <v>1088529</v>
      </c>
      <c r="L117" s="13">
        <f t="shared" si="5"/>
        <v>1203120</v>
      </c>
      <c r="M117" s="13">
        <f t="shared" si="6"/>
        <v>33.75</v>
      </c>
      <c r="N117" s="13">
        <f t="shared" si="7"/>
        <v>29.89</v>
      </c>
      <c r="O117" s="13">
        <f t="shared" ref="O117:P117" si="122">M117*F117</f>
        <v>644523.75</v>
      </c>
      <c r="P117" s="13">
        <f t="shared" si="122"/>
        <v>599354.28</v>
      </c>
      <c r="Q117" s="13"/>
    </row>
    <row r="118" ht="15.75" customHeight="1">
      <c r="A118" s="13" t="s">
        <v>57</v>
      </c>
      <c r="B118" s="13" t="str">
        <f t="array" ref="B118">XLOOKUP(A118,Abbreviation!$A$17:$A$22,Abbreviation!$B$17:$B$22)</f>
        <v>April</v>
      </c>
      <c r="C118" s="13" t="str">
        <f t="array" ref="C118">XLOOKUP(D118,'Regional Details'!$B$14:$B$29,'Regional Details'!$A$14:$A$29)</f>
        <v>West</v>
      </c>
      <c r="D118" s="13" t="s">
        <v>22</v>
      </c>
      <c r="E118" s="13" t="s">
        <v>31</v>
      </c>
      <c r="F118" s="13">
        <v>28078.0</v>
      </c>
      <c r="G118" s="13">
        <v>30043.0</v>
      </c>
      <c r="H118" s="14">
        <f t="array" ref="H118">XLOOKUP(D118,'Regional Details'!$B$14:$B$29,'Regional Details'!$C$14:$C$29)</f>
        <v>0.05</v>
      </c>
      <c r="I118" s="13">
        <f t="shared" si="2"/>
        <v>135</v>
      </c>
      <c r="J118" s="13">
        <f t="shared" si="3"/>
        <v>128.25</v>
      </c>
      <c r="K118" s="15">
        <f t="shared" si="4"/>
        <v>3601003.5</v>
      </c>
      <c r="L118" s="13">
        <f t="shared" si="5"/>
        <v>4055805</v>
      </c>
      <c r="M118" s="13">
        <f t="shared" si="6"/>
        <v>74.03</v>
      </c>
      <c r="N118" s="13">
        <f t="shared" si="7"/>
        <v>73.16</v>
      </c>
      <c r="O118" s="13">
        <f t="shared" ref="O118:P118" si="123">M118*F118</f>
        <v>2078614.34</v>
      </c>
      <c r="P118" s="13">
        <f t="shared" si="123"/>
        <v>2197945.88</v>
      </c>
      <c r="Q118" s="13"/>
    </row>
    <row r="119" ht="15.75" customHeight="1">
      <c r="A119" s="13" t="s">
        <v>57</v>
      </c>
      <c r="B119" s="13" t="str">
        <f t="array" ref="B119">XLOOKUP(A119,Abbreviation!$A$17:$A$22,Abbreviation!$B$17:$B$22)</f>
        <v>April</v>
      </c>
      <c r="C119" s="13" t="str">
        <f t="array" ref="C119">XLOOKUP(D119,'Regional Details'!$B$14:$B$29,'Regional Details'!$A$14:$A$29)</f>
        <v>West</v>
      </c>
      <c r="D119" s="13" t="s">
        <v>22</v>
      </c>
      <c r="E119" s="13" t="s">
        <v>29</v>
      </c>
      <c r="F119" s="13">
        <v>22384.0</v>
      </c>
      <c r="G119" s="13">
        <v>22832.0</v>
      </c>
      <c r="H119" s="14">
        <f t="array" ref="H119">XLOOKUP(D119,'Regional Details'!$B$14:$B$29,'Regional Details'!$C$14:$C$29)</f>
        <v>0.05</v>
      </c>
      <c r="I119" s="13">
        <f t="shared" si="2"/>
        <v>60</v>
      </c>
      <c r="J119" s="13">
        <f t="shared" si="3"/>
        <v>57</v>
      </c>
      <c r="K119" s="15">
        <f t="shared" si="4"/>
        <v>1275888</v>
      </c>
      <c r="L119" s="13">
        <f t="shared" si="5"/>
        <v>1369920</v>
      </c>
      <c r="M119" s="13">
        <f t="shared" si="6"/>
        <v>33.75</v>
      </c>
      <c r="N119" s="13">
        <f t="shared" si="7"/>
        <v>29.89</v>
      </c>
      <c r="O119" s="13">
        <f t="shared" ref="O119:P119" si="124">M119*F119</f>
        <v>755460</v>
      </c>
      <c r="P119" s="13">
        <f t="shared" si="124"/>
        <v>682448.48</v>
      </c>
      <c r="Q119" s="13"/>
    </row>
    <row r="120" ht="15.75" customHeight="1">
      <c r="A120" s="13" t="s">
        <v>57</v>
      </c>
      <c r="B120" s="13" t="str">
        <f t="array" ref="B120">XLOOKUP(A120,Abbreviation!$A$17:$A$22,Abbreviation!$B$17:$B$22)</f>
        <v>April</v>
      </c>
      <c r="C120" s="13" t="str">
        <f t="array" ref="C120">XLOOKUP(D120,'Regional Details'!$B$14:$B$29,'Regional Details'!$A$14:$A$29)</f>
        <v>South</v>
      </c>
      <c r="D120" s="13" t="s">
        <v>23</v>
      </c>
      <c r="E120" s="13" t="s">
        <v>31</v>
      </c>
      <c r="F120" s="13">
        <v>39124.0</v>
      </c>
      <c r="G120" s="13">
        <v>48123.0</v>
      </c>
      <c r="H120" s="14">
        <f t="array" ref="H120">XLOOKUP(D120,'Regional Details'!$B$14:$B$29,'Regional Details'!$C$14:$C$29)</f>
        <v>0</v>
      </c>
      <c r="I120" s="13">
        <f t="shared" si="2"/>
        <v>135</v>
      </c>
      <c r="J120" s="13">
        <f t="shared" si="3"/>
        <v>135</v>
      </c>
      <c r="K120" s="15">
        <f t="shared" si="4"/>
        <v>5281740</v>
      </c>
      <c r="L120" s="13">
        <f t="shared" si="5"/>
        <v>6496605</v>
      </c>
      <c r="M120" s="13">
        <f t="shared" si="6"/>
        <v>74.03</v>
      </c>
      <c r="N120" s="13">
        <f t="shared" si="7"/>
        <v>73.16</v>
      </c>
      <c r="O120" s="13">
        <f t="shared" ref="O120:P120" si="125">M120*F120</f>
        <v>2896349.72</v>
      </c>
      <c r="P120" s="13">
        <f t="shared" si="125"/>
        <v>3520678.68</v>
      </c>
      <c r="Q120" s="13"/>
    </row>
    <row r="121" ht="15.75" customHeight="1">
      <c r="A121" s="13" t="s">
        <v>57</v>
      </c>
      <c r="B121" s="13" t="str">
        <f t="array" ref="B121">XLOOKUP(A121,Abbreviation!$A$17:$A$22,Abbreviation!$B$17:$B$22)</f>
        <v>April</v>
      </c>
      <c r="C121" s="13" t="str">
        <f t="array" ref="C121">XLOOKUP(D121,'Regional Details'!$B$14:$B$29,'Regional Details'!$A$14:$A$29)</f>
        <v>South</v>
      </c>
      <c r="D121" s="13" t="s">
        <v>23</v>
      </c>
      <c r="E121" s="13" t="s">
        <v>29</v>
      </c>
      <c r="F121" s="13">
        <v>38143.0</v>
      </c>
      <c r="G121" s="13">
        <v>45772.0</v>
      </c>
      <c r="H121" s="14">
        <f t="array" ref="H121">XLOOKUP(D121,'Regional Details'!$B$14:$B$29,'Regional Details'!$C$14:$C$29)</f>
        <v>0</v>
      </c>
      <c r="I121" s="13">
        <f t="shared" si="2"/>
        <v>60</v>
      </c>
      <c r="J121" s="13">
        <f t="shared" si="3"/>
        <v>60</v>
      </c>
      <c r="K121" s="15">
        <f t="shared" si="4"/>
        <v>2288580</v>
      </c>
      <c r="L121" s="13">
        <f t="shared" si="5"/>
        <v>2746320</v>
      </c>
      <c r="M121" s="13">
        <f t="shared" si="6"/>
        <v>33.75</v>
      </c>
      <c r="N121" s="13">
        <f t="shared" si="7"/>
        <v>29.89</v>
      </c>
      <c r="O121" s="13">
        <f t="shared" ref="O121:P121" si="126">M121*F121</f>
        <v>1287326.25</v>
      </c>
      <c r="P121" s="13">
        <f t="shared" si="126"/>
        <v>1368125.08</v>
      </c>
      <c r="Q121" s="13"/>
    </row>
    <row r="122" ht="15.75" customHeight="1">
      <c r="A122" s="13" t="s">
        <v>57</v>
      </c>
      <c r="B122" s="13" t="str">
        <f t="array" ref="B122">XLOOKUP(A122,Abbreviation!$A$17:$A$22,Abbreviation!$B$17:$B$22)</f>
        <v>April</v>
      </c>
      <c r="C122" s="13" t="str">
        <f t="array" ref="C122">XLOOKUP(D122,'Regional Details'!$B$14:$B$29,'Regional Details'!$A$14:$A$29)</f>
        <v>North</v>
      </c>
      <c r="D122" s="13" t="s">
        <v>24</v>
      </c>
      <c r="E122" s="13" t="s">
        <v>31</v>
      </c>
      <c r="F122" s="13">
        <v>23876.0</v>
      </c>
      <c r="G122" s="13">
        <v>24592.0</v>
      </c>
      <c r="H122" s="16">
        <f t="array" ref="H122">XLOOKUP(D122,'Regional Details'!$B$14:$B$29,'Regional Details'!$C$14:$C$29)</f>
        <v>0.125</v>
      </c>
      <c r="I122" s="13">
        <f t="shared" si="2"/>
        <v>135</v>
      </c>
      <c r="J122" s="13">
        <f t="shared" si="3"/>
        <v>118.125</v>
      </c>
      <c r="K122" s="15">
        <f t="shared" si="4"/>
        <v>2820352.5</v>
      </c>
      <c r="L122" s="13">
        <f t="shared" si="5"/>
        <v>3319920</v>
      </c>
      <c r="M122" s="13">
        <f t="shared" si="6"/>
        <v>74.03</v>
      </c>
      <c r="N122" s="13">
        <f t="shared" si="7"/>
        <v>73.16</v>
      </c>
      <c r="O122" s="13">
        <f t="shared" ref="O122:P122" si="127">M122*F122</f>
        <v>1767540.28</v>
      </c>
      <c r="P122" s="13">
        <f t="shared" si="127"/>
        <v>1799150.72</v>
      </c>
      <c r="Q122" s="13"/>
    </row>
    <row r="123" ht="15.75" customHeight="1">
      <c r="A123" s="13" t="s">
        <v>57</v>
      </c>
      <c r="B123" s="13" t="str">
        <f t="array" ref="B123">XLOOKUP(A123,Abbreviation!$A$17:$A$22,Abbreviation!$B$17:$B$22)</f>
        <v>April</v>
      </c>
      <c r="C123" s="13" t="str">
        <f t="array" ref="C123">XLOOKUP(D123,'Regional Details'!$B$14:$B$29,'Regional Details'!$A$14:$A$29)</f>
        <v>North</v>
      </c>
      <c r="D123" s="13" t="s">
        <v>24</v>
      </c>
      <c r="E123" s="13" t="s">
        <v>29</v>
      </c>
      <c r="F123" s="13">
        <v>14828.0</v>
      </c>
      <c r="G123" s="13">
        <v>16014.0</v>
      </c>
      <c r="H123" s="16">
        <f t="array" ref="H123">XLOOKUP(D123,'Regional Details'!$B$14:$B$29,'Regional Details'!$C$14:$C$29)</f>
        <v>0.125</v>
      </c>
      <c r="I123" s="13">
        <f t="shared" si="2"/>
        <v>60</v>
      </c>
      <c r="J123" s="13">
        <f t="shared" si="3"/>
        <v>52.5</v>
      </c>
      <c r="K123" s="15">
        <f t="shared" si="4"/>
        <v>778470</v>
      </c>
      <c r="L123" s="13">
        <f t="shared" si="5"/>
        <v>960840</v>
      </c>
      <c r="M123" s="13">
        <f t="shared" si="6"/>
        <v>33.75</v>
      </c>
      <c r="N123" s="13">
        <f t="shared" si="7"/>
        <v>29.89</v>
      </c>
      <c r="O123" s="13">
        <f t="shared" ref="O123:P123" si="128">M123*F123</f>
        <v>500445</v>
      </c>
      <c r="P123" s="13">
        <f t="shared" si="128"/>
        <v>478658.46</v>
      </c>
      <c r="Q123" s="13"/>
    </row>
    <row r="124" ht="15.75" customHeight="1">
      <c r="A124" s="13" t="s">
        <v>57</v>
      </c>
      <c r="B124" s="13" t="str">
        <f t="array" ref="B124">XLOOKUP(A124,Abbreviation!$A$17:$A$22,Abbreviation!$B$17:$B$22)</f>
        <v>April</v>
      </c>
      <c r="C124" s="13" t="str">
        <f t="array" ref="C124">XLOOKUP(D124,'Regional Details'!$B$14:$B$29,'Regional Details'!$A$14:$A$29)</f>
        <v>South</v>
      </c>
      <c r="D124" s="13" t="s">
        <v>27</v>
      </c>
      <c r="E124" s="13" t="s">
        <v>31</v>
      </c>
      <c r="F124" s="13">
        <v>25957.0</v>
      </c>
      <c r="G124" s="13">
        <v>26995.0</v>
      </c>
      <c r="H124" s="14">
        <f t="array" ref="H124">XLOOKUP(D124,'Regional Details'!$B$14:$B$29,'Regional Details'!$C$14:$C$29)</f>
        <v>0.1</v>
      </c>
      <c r="I124" s="13">
        <f t="shared" si="2"/>
        <v>135</v>
      </c>
      <c r="J124" s="13">
        <f t="shared" si="3"/>
        <v>121.5</v>
      </c>
      <c r="K124" s="15">
        <f t="shared" si="4"/>
        <v>3153775.5</v>
      </c>
      <c r="L124" s="13">
        <f t="shared" si="5"/>
        <v>3644325</v>
      </c>
      <c r="M124" s="13">
        <f t="shared" si="6"/>
        <v>74.03</v>
      </c>
      <c r="N124" s="13">
        <f t="shared" si="7"/>
        <v>73.16</v>
      </c>
      <c r="O124" s="13">
        <f t="shared" ref="O124:P124" si="129">M124*F124</f>
        <v>1921596.71</v>
      </c>
      <c r="P124" s="13">
        <f t="shared" si="129"/>
        <v>1974954.2</v>
      </c>
      <c r="Q124" s="13"/>
    </row>
    <row r="125" ht="15.75" customHeight="1">
      <c r="A125" s="13" t="s">
        <v>57</v>
      </c>
      <c r="B125" s="13" t="str">
        <f t="array" ref="B125">XLOOKUP(A125,Abbreviation!$A$17:$A$22,Abbreviation!$B$17:$B$22)</f>
        <v>April</v>
      </c>
      <c r="C125" s="13" t="str">
        <f t="array" ref="C125">XLOOKUP(D125,'Regional Details'!$B$14:$B$29,'Regional Details'!$A$14:$A$29)</f>
        <v>South</v>
      </c>
      <c r="D125" s="13" t="s">
        <v>27</v>
      </c>
      <c r="E125" s="13" t="s">
        <v>29</v>
      </c>
      <c r="F125" s="13">
        <v>16492.0</v>
      </c>
      <c r="G125" s="13">
        <v>17646.0</v>
      </c>
      <c r="H125" s="14">
        <f t="array" ref="H125">XLOOKUP(D125,'Regional Details'!$B$14:$B$29,'Regional Details'!$C$14:$C$29)</f>
        <v>0.1</v>
      </c>
      <c r="I125" s="13">
        <f t="shared" si="2"/>
        <v>60</v>
      </c>
      <c r="J125" s="13">
        <f t="shared" si="3"/>
        <v>54</v>
      </c>
      <c r="K125" s="15">
        <f t="shared" si="4"/>
        <v>890568</v>
      </c>
      <c r="L125" s="13">
        <f t="shared" si="5"/>
        <v>1058760</v>
      </c>
      <c r="M125" s="13">
        <f t="shared" si="6"/>
        <v>33.75</v>
      </c>
      <c r="N125" s="13">
        <f t="shared" si="7"/>
        <v>29.89</v>
      </c>
      <c r="O125" s="13">
        <f t="shared" ref="O125:P125" si="130">M125*F125</f>
        <v>556605</v>
      </c>
      <c r="P125" s="13">
        <f t="shared" si="130"/>
        <v>527438.94</v>
      </c>
      <c r="Q125" s="13"/>
    </row>
    <row r="126" ht="15.75" customHeight="1">
      <c r="A126" s="13" t="s">
        <v>57</v>
      </c>
      <c r="B126" s="13" t="str">
        <f t="array" ref="B126">XLOOKUP(A126,Abbreviation!$A$17:$A$22,Abbreviation!$B$17:$B$22)</f>
        <v>April</v>
      </c>
      <c r="C126" s="13" t="str">
        <f t="array" ref="C126">XLOOKUP(D126,'Regional Details'!$B$14:$B$29,'Regional Details'!$A$14:$A$29)</f>
        <v>West</v>
      </c>
      <c r="D126" s="13" t="s">
        <v>26</v>
      </c>
      <c r="E126" s="13" t="s">
        <v>31</v>
      </c>
      <c r="F126" s="13">
        <v>31626.0</v>
      </c>
      <c r="G126" s="13">
        <v>38267.0</v>
      </c>
      <c r="H126" s="14">
        <f t="array" ref="H126">XLOOKUP(D126,'Regional Details'!$B$14:$B$29,'Regional Details'!$C$14:$C$29)</f>
        <v>0</v>
      </c>
      <c r="I126" s="13">
        <f t="shared" si="2"/>
        <v>135</v>
      </c>
      <c r="J126" s="13">
        <f t="shared" si="3"/>
        <v>135</v>
      </c>
      <c r="K126" s="15">
        <f t="shared" si="4"/>
        <v>4269510</v>
      </c>
      <c r="L126" s="13">
        <f t="shared" si="5"/>
        <v>5166045</v>
      </c>
      <c r="M126" s="13">
        <f t="shared" si="6"/>
        <v>74.03</v>
      </c>
      <c r="N126" s="13">
        <f t="shared" si="7"/>
        <v>73.16</v>
      </c>
      <c r="O126" s="13">
        <f t="shared" ref="O126:P126" si="131">M126*F126</f>
        <v>2341272.78</v>
      </c>
      <c r="P126" s="13">
        <f t="shared" si="131"/>
        <v>2799613.72</v>
      </c>
      <c r="Q126" s="13"/>
    </row>
    <row r="127" ht="15.75" customHeight="1">
      <c r="A127" s="13" t="s">
        <v>57</v>
      </c>
      <c r="B127" s="13" t="str">
        <f t="array" ref="B127">XLOOKUP(A127,Abbreviation!$A$17:$A$22,Abbreviation!$B$17:$B$22)</f>
        <v>April</v>
      </c>
      <c r="C127" s="13" t="str">
        <f t="array" ref="C127">XLOOKUP(D127,'Regional Details'!$B$14:$B$29,'Regional Details'!$A$14:$A$29)</f>
        <v>West</v>
      </c>
      <c r="D127" s="13" t="s">
        <v>26</v>
      </c>
      <c r="E127" s="13" t="s">
        <v>29</v>
      </c>
      <c r="F127" s="13">
        <v>24413.0</v>
      </c>
      <c r="G127" s="13">
        <v>30516.0</v>
      </c>
      <c r="H127" s="14">
        <f t="array" ref="H127">XLOOKUP(D127,'Regional Details'!$B$14:$B$29,'Regional Details'!$C$14:$C$29)</f>
        <v>0</v>
      </c>
      <c r="I127" s="13">
        <f t="shared" si="2"/>
        <v>60</v>
      </c>
      <c r="J127" s="13">
        <f t="shared" si="3"/>
        <v>60</v>
      </c>
      <c r="K127" s="15">
        <f t="shared" si="4"/>
        <v>1464780</v>
      </c>
      <c r="L127" s="13">
        <f t="shared" si="5"/>
        <v>1830960</v>
      </c>
      <c r="M127" s="13">
        <f t="shared" si="6"/>
        <v>33.75</v>
      </c>
      <c r="N127" s="13">
        <f t="shared" si="7"/>
        <v>29.89</v>
      </c>
      <c r="O127" s="13">
        <f t="shared" ref="O127:P127" si="132">M127*F127</f>
        <v>823938.75</v>
      </c>
      <c r="P127" s="13">
        <f t="shared" si="132"/>
        <v>912123.24</v>
      </c>
      <c r="Q127" s="13"/>
    </row>
    <row r="128" ht="15.75" customHeight="1">
      <c r="A128" s="13" t="s">
        <v>57</v>
      </c>
      <c r="B128" s="13" t="str">
        <f t="array" ref="B128">XLOOKUP(A128,Abbreviation!$A$17:$A$22,Abbreviation!$B$17:$B$22)</f>
        <v>April</v>
      </c>
      <c r="C128" s="13" t="str">
        <f t="array" ref="C128">XLOOKUP(D128,'Regional Details'!$B$14:$B$29,'Regional Details'!$A$14:$A$29)</f>
        <v>East</v>
      </c>
      <c r="D128" s="13" t="s">
        <v>25</v>
      </c>
      <c r="E128" s="13" t="s">
        <v>31</v>
      </c>
      <c r="F128" s="13">
        <v>26794.0</v>
      </c>
      <c r="G128" s="13">
        <v>30545.0</v>
      </c>
      <c r="H128" s="14">
        <f t="array" ref="H128">XLOOKUP(D128,'Regional Details'!$B$14:$B$29,'Regional Details'!$C$14:$C$29)</f>
        <v>0.05</v>
      </c>
      <c r="I128" s="13">
        <f t="shared" si="2"/>
        <v>135</v>
      </c>
      <c r="J128" s="13">
        <f t="shared" si="3"/>
        <v>128.25</v>
      </c>
      <c r="K128" s="15">
        <f t="shared" si="4"/>
        <v>3436330.5</v>
      </c>
      <c r="L128" s="13">
        <f t="shared" si="5"/>
        <v>4123575</v>
      </c>
      <c r="M128" s="13">
        <f t="shared" si="6"/>
        <v>74.03</v>
      </c>
      <c r="N128" s="13">
        <f t="shared" si="7"/>
        <v>73.16</v>
      </c>
      <c r="O128" s="13">
        <f t="shared" ref="O128:P128" si="133">M128*F128</f>
        <v>1983559.82</v>
      </c>
      <c r="P128" s="13">
        <f t="shared" si="133"/>
        <v>2234672.2</v>
      </c>
      <c r="Q128" s="13"/>
    </row>
    <row r="129" ht="15.75" customHeight="1">
      <c r="A129" s="13" t="s">
        <v>57</v>
      </c>
      <c r="B129" s="13" t="str">
        <f t="array" ref="B129">XLOOKUP(A129,Abbreviation!$A$17:$A$22,Abbreviation!$B$17:$B$22)</f>
        <v>April</v>
      </c>
      <c r="C129" s="13" t="str">
        <f t="array" ref="C129">XLOOKUP(D129,'Regional Details'!$B$14:$B$29,'Regional Details'!$A$14:$A$29)</f>
        <v>East</v>
      </c>
      <c r="D129" s="13" t="s">
        <v>25</v>
      </c>
      <c r="E129" s="13" t="s">
        <v>29</v>
      </c>
      <c r="F129" s="13">
        <v>35383.0</v>
      </c>
      <c r="G129" s="13">
        <v>42460.0</v>
      </c>
      <c r="H129" s="14">
        <f t="array" ref="H129">XLOOKUP(D129,'Regional Details'!$B$14:$B$29,'Regional Details'!$C$14:$C$29)</f>
        <v>0.05</v>
      </c>
      <c r="I129" s="13">
        <f t="shared" si="2"/>
        <v>60</v>
      </c>
      <c r="J129" s="13">
        <f t="shared" si="3"/>
        <v>57</v>
      </c>
      <c r="K129" s="15">
        <f t="shared" si="4"/>
        <v>2016831</v>
      </c>
      <c r="L129" s="13">
        <f t="shared" si="5"/>
        <v>2547600</v>
      </c>
      <c r="M129" s="13">
        <f t="shared" si="6"/>
        <v>33.75</v>
      </c>
      <c r="N129" s="13">
        <f t="shared" si="7"/>
        <v>29.89</v>
      </c>
      <c r="O129" s="13">
        <f t="shared" ref="O129:P129" si="134">M129*F129</f>
        <v>1194176.25</v>
      </c>
      <c r="P129" s="13">
        <f t="shared" si="134"/>
        <v>1269129.4</v>
      </c>
      <c r="Q129" s="13"/>
    </row>
    <row r="130" ht="15.75" customHeight="1">
      <c r="A130" s="13" t="s">
        <v>59</v>
      </c>
      <c r="B130" s="13" t="str">
        <f t="array" ref="B130">XLOOKUP(A130,Abbreviation!$A$17:$A$22,Abbreviation!$B$17:$B$22)</f>
        <v>May</v>
      </c>
      <c r="C130" s="13" t="str">
        <f>if(F2 = "Overall",sumifs('Sales Data'!$K:$K,('Sales Data'!C:C,F2+'Sales Data'!D:D,F2),'Sales Data'!E:E,F3),SUMIFS('Sales Data'!$K:$K,if('Sales Data'!$C:$C,$F$2 +'Sales Data'!$D:$D,$F$2),'Sales Data'!$E:$E,$F$3))</f>
        <v>#ERROR!</v>
      </c>
      <c r="D130" s="13" t="s">
        <v>12</v>
      </c>
      <c r="E130" s="13" t="s">
        <v>31</v>
      </c>
      <c r="F130" s="13">
        <v>38585.0</v>
      </c>
      <c r="G130" s="13">
        <v>45916.0</v>
      </c>
      <c r="H130" s="14">
        <f t="array" ref="H130">XLOOKUP(D130,'Regional Details'!$B$14:$B$29,'Regional Details'!$C$14:$C$29)</f>
        <v>0</v>
      </c>
      <c r="I130" s="13">
        <f t="shared" si="2"/>
        <v>135</v>
      </c>
      <c r="J130" s="13">
        <f t="shared" si="3"/>
        <v>135</v>
      </c>
      <c r="K130" s="15">
        <f t="shared" si="4"/>
        <v>5208975</v>
      </c>
      <c r="L130" s="13">
        <f t="shared" si="5"/>
        <v>6198660</v>
      </c>
      <c r="M130" s="13">
        <f t="shared" si="6"/>
        <v>74.03</v>
      </c>
      <c r="N130" s="13">
        <f t="shared" si="7"/>
        <v>73.16</v>
      </c>
      <c r="O130" s="13">
        <f t="shared" ref="O130:P130" si="135">M130*F130</f>
        <v>2856447.55</v>
      </c>
      <c r="P130" s="13">
        <f t="shared" si="135"/>
        <v>3359214.56</v>
      </c>
      <c r="Q130" s="13"/>
    </row>
    <row r="131" ht="15.75" customHeight="1">
      <c r="A131" s="13" t="s">
        <v>59</v>
      </c>
      <c r="B131" s="13" t="str">
        <f t="array" ref="B131">XLOOKUP(A131,Abbreviation!$A$17:$A$22,Abbreviation!$B$17:$B$22)</f>
        <v>May</v>
      </c>
      <c r="C131" s="13" t="str">
        <f t="array" ref="C131">XLOOKUP(D131,'Regional Details'!$B$14:$B$29,'Regional Details'!$A$14:$A$29)</f>
        <v>North</v>
      </c>
      <c r="D131" s="13" t="s">
        <v>12</v>
      </c>
      <c r="E131" s="13" t="s">
        <v>29</v>
      </c>
      <c r="F131" s="13">
        <v>29886.0</v>
      </c>
      <c r="G131" s="13">
        <v>34668.0</v>
      </c>
      <c r="H131" s="14">
        <f t="array" ref="H131">XLOOKUP(D131,'Regional Details'!$B$14:$B$29,'Regional Details'!$C$14:$C$29)</f>
        <v>0</v>
      </c>
      <c r="I131" s="13">
        <f t="shared" si="2"/>
        <v>60</v>
      </c>
      <c r="J131" s="13">
        <f t="shared" si="3"/>
        <v>60</v>
      </c>
      <c r="K131" s="15">
        <f t="shared" si="4"/>
        <v>1793160</v>
      </c>
      <c r="L131" s="13">
        <f t="shared" si="5"/>
        <v>2080080</v>
      </c>
      <c r="M131" s="13">
        <f t="shared" si="6"/>
        <v>33.75</v>
      </c>
      <c r="N131" s="13">
        <f t="shared" si="7"/>
        <v>29.89</v>
      </c>
      <c r="O131" s="13">
        <f t="shared" ref="O131:P131" si="136">M131*F131</f>
        <v>1008652.5</v>
      </c>
      <c r="P131" s="13">
        <f t="shared" si="136"/>
        <v>1036226.52</v>
      </c>
      <c r="Q131" s="13"/>
    </row>
    <row r="132" ht="15.75" customHeight="1">
      <c r="A132" s="13" t="s">
        <v>59</v>
      </c>
      <c r="B132" s="13" t="str">
        <f t="array" ref="B132">XLOOKUP(A132,Abbreviation!$A$17:$A$22,Abbreviation!$B$17:$B$22)</f>
        <v>May</v>
      </c>
      <c r="C132" s="13" t="str">
        <f t="array" ref="C132">XLOOKUP(D132,'Regional Details'!$B$14:$B$29,'Regional Details'!$A$14:$A$29)</f>
        <v>East</v>
      </c>
      <c r="D132" s="13" t="s">
        <v>13</v>
      </c>
      <c r="E132" s="13" t="s">
        <v>31</v>
      </c>
      <c r="F132" s="13">
        <v>20585.0</v>
      </c>
      <c r="G132" s="13">
        <v>23879.0</v>
      </c>
      <c r="H132" s="14">
        <f t="array" ref="H132">XLOOKUP(D132,'Regional Details'!$B$14:$B$29,'Regional Details'!$C$14:$C$29)</f>
        <v>0</v>
      </c>
      <c r="I132" s="13">
        <f t="shared" si="2"/>
        <v>135</v>
      </c>
      <c r="J132" s="13">
        <f t="shared" si="3"/>
        <v>135</v>
      </c>
      <c r="K132" s="15">
        <f t="shared" si="4"/>
        <v>2778975</v>
      </c>
      <c r="L132" s="13">
        <f t="shared" si="5"/>
        <v>3223665</v>
      </c>
      <c r="M132" s="13">
        <f t="shared" si="6"/>
        <v>74.03</v>
      </c>
      <c r="N132" s="13">
        <f t="shared" si="7"/>
        <v>73.16</v>
      </c>
      <c r="O132" s="13">
        <f t="shared" ref="O132:P132" si="137">M132*F132</f>
        <v>1523907.55</v>
      </c>
      <c r="P132" s="13">
        <f t="shared" si="137"/>
        <v>1746987.64</v>
      </c>
      <c r="Q132" s="13"/>
    </row>
    <row r="133" ht="15.75" customHeight="1">
      <c r="A133" s="13" t="s">
        <v>59</v>
      </c>
      <c r="B133" s="13" t="str">
        <f t="array" ref="B133">XLOOKUP(A133,Abbreviation!$A$17:$A$22,Abbreviation!$B$17:$B$22)</f>
        <v>May</v>
      </c>
      <c r="C133" s="13" t="str">
        <f t="array" ref="C133">XLOOKUP(D133,'Regional Details'!$B$14:$B$29,'Regional Details'!$A$14:$A$29)</f>
        <v>East</v>
      </c>
      <c r="D133" s="13" t="s">
        <v>13</v>
      </c>
      <c r="E133" s="13" t="s">
        <v>29</v>
      </c>
      <c r="F133" s="13">
        <v>41511.0</v>
      </c>
      <c r="G133" s="13">
        <v>48983.0</v>
      </c>
      <c r="H133" s="14">
        <f t="array" ref="H133">XLOOKUP(D133,'Regional Details'!$B$14:$B$29,'Regional Details'!$C$14:$C$29)</f>
        <v>0</v>
      </c>
      <c r="I133" s="13">
        <f t="shared" si="2"/>
        <v>60</v>
      </c>
      <c r="J133" s="13">
        <f t="shared" si="3"/>
        <v>60</v>
      </c>
      <c r="K133" s="15">
        <f t="shared" si="4"/>
        <v>2490660</v>
      </c>
      <c r="L133" s="13">
        <f t="shared" si="5"/>
        <v>2938980</v>
      </c>
      <c r="M133" s="13">
        <f t="shared" si="6"/>
        <v>33.75</v>
      </c>
      <c r="N133" s="13">
        <f t="shared" si="7"/>
        <v>29.89</v>
      </c>
      <c r="O133" s="13">
        <f t="shared" ref="O133:P133" si="138">M133*F133</f>
        <v>1400996.25</v>
      </c>
      <c r="P133" s="13">
        <f t="shared" si="138"/>
        <v>1464101.87</v>
      </c>
      <c r="Q133" s="13"/>
    </row>
    <row r="134" ht="15.75" customHeight="1">
      <c r="A134" s="13" t="s">
        <v>59</v>
      </c>
      <c r="B134" s="13" t="str">
        <f t="array" ref="B134">XLOOKUP(A134,Abbreviation!$A$17:$A$22,Abbreviation!$B$17:$B$22)</f>
        <v>May</v>
      </c>
      <c r="C134" s="13" t="str">
        <f t="array" ref="C134">XLOOKUP(D134,'Regional Details'!$B$14:$B$29,'Regional Details'!$A$14:$A$29)</f>
        <v>West</v>
      </c>
      <c r="D134" s="13" t="s">
        <v>14</v>
      </c>
      <c r="E134" s="13" t="s">
        <v>31</v>
      </c>
      <c r="F134" s="13">
        <v>25282.0</v>
      </c>
      <c r="G134" s="13">
        <v>31097.0</v>
      </c>
      <c r="H134" s="14">
        <f t="array" ref="H134">XLOOKUP(D134,'Regional Details'!$B$14:$B$29,'Regional Details'!$C$14:$C$29)</f>
        <v>0</v>
      </c>
      <c r="I134" s="13">
        <f t="shared" si="2"/>
        <v>135</v>
      </c>
      <c r="J134" s="13">
        <f t="shared" si="3"/>
        <v>135</v>
      </c>
      <c r="K134" s="15">
        <f t="shared" si="4"/>
        <v>3413070</v>
      </c>
      <c r="L134" s="13">
        <f t="shared" si="5"/>
        <v>4198095</v>
      </c>
      <c r="M134" s="13">
        <f t="shared" si="6"/>
        <v>74.03</v>
      </c>
      <c r="N134" s="13">
        <f t="shared" si="7"/>
        <v>73.16</v>
      </c>
      <c r="O134" s="13">
        <f t="shared" ref="O134:P134" si="139">M134*F134</f>
        <v>1871626.46</v>
      </c>
      <c r="P134" s="13">
        <f t="shared" si="139"/>
        <v>2275056.52</v>
      </c>
      <c r="Q134" s="13"/>
    </row>
    <row r="135" ht="15.75" customHeight="1">
      <c r="A135" s="13" t="s">
        <v>59</v>
      </c>
      <c r="B135" s="13" t="str">
        <f t="array" ref="B135">XLOOKUP(A135,Abbreviation!$A$17:$A$22,Abbreviation!$B$17:$B$22)</f>
        <v>May</v>
      </c>
      <c r="C135" s="13" t="str">
        <f t="array" ref="C135">XLOOKUP(D135,'Regional Details'!$B$14:$B$29,'Regional Details'!$A$14:$A$29)</f>
        <v>West</v>
      </c>
      <c r="D135" s="13" t="s">
        <v>14</v>
      </c>
      <c r="E135" s="13" t="s">
        <v>29</v>
      </c>
      <c r="F135" s="13">
        <v>29857.0</v>
      </c>
      <c r="G135" s="13">
        <v>34933.0</v>
      </c>
      <c r="H135" s="14">
        <f t="array" ref="H135">XLOOKUP(D135,'Regional Details'!$B$14:$B$29,'Regional Details'!$C$14:$C$29)</f>
        <v>0</v>
      </c>
      <c r="I135" s="13">
        <f t="shared" si="2"/>
        <v>60</v>
      </c>
      <c r="J135" s="13">
        <f t="shared" si="3"/>
        <v>60</v>
      </c>
      <c r="K135" s="15">
        <f t="shared" si="4"/>
        <v>1791420</v>
      </c>
      <c r="L135" s="13">
        <f t="shared" si="5"/>
        <v>2095980</v>
      </c>
      <c r="M135" s="13">
        <f t="shared" si="6"/>
        <v>33.75</v>
      </c>
      <c r="N135" s="13">
        <f t="shared" si="7"/>
        <v>29.89</v>
      </c>
      <c r="O135" s="13">
        <f t="shared" ref="O135:P135" si="140">M135*F135</f>
        <v>1007673.75</v>
      </c>
      <c r="P135" s="13">
        <f t="shared" si="140"/>
        <v>1044147.37</v>
      </c>
      <c r="Q135" s="13"/>
    </row>
    <row r="136" ht="15.75" customHeight="1">
      <c r="A136" s="13" t="s">
        <v>59</v>
      </c>
      <c r="B136" s="13" t="str">
        <f t="array" ref="B136">XLOOKUP(A136,Abbreviation!$A$17:$A$22,Abbreviation!$B$17:$B$22)</f>
        <v>May</v>
      </c>
      <c r="C136" s="13" t="str">
        <f t="array" ref="C136">XLOOKUP(D136,'Regional Details'!$B$14:$B$29,'Regional Details'!$A$14:$A$29)</f>
        <v>South</v>
      </c>
      <c r="D136" s="13" t="s">
        <v>15</v>
      </c>
      <c r="E136" s="13" t="s">
        <v>31</v>
      </c>
      <c r="F136" s="13">
        <v>47725.0</v>
      </c>
      <c r="G136" s="13">
        <v>52975.0</v>
      </c>
      <c r="H136" s="14">
        <f t="array" ref="H136">XLOOKUP(D136,'Regional Details'!$B$14:$B$29,'Regional Details'!$C$14:$C$29)</f>
        <v>0</v>
      </c>
      <c r="I136" s="13">
        <f t="shared" si="2"/>
        <v>135</v>
      </c>
      <c r="J136" s="13">
        <f t="shared" si="3"/>
        <v>135</v>
      </c>
      <c r="K136" s="15">
        <f t="shared" si="4"/>
        <v>6442875</v>
      </c>
      <c r="L136" s="13">
        <f t="shared" si="5"/>
        <v>7151625</v>
      </c>
      <c r="M136" s="13">
        <f t="shared" si="6"/>
        <v>74.03</v>
      </c>
      <c r="N136" s="13">
        <f t="shared" si="7"/>
        <v>73.16</v>
      </c>
      <c r="O136" s="13">
        <f t="shared" ref="O136:P136" si="141">M136*F136</f>
        <v>3533081.75</v>
      </c>
      <c r="P136" s="13">
        <f t="shared" si="141"/>
        <v>3875651</v>
      </c>
      <c r="Q136" s="13"/>
    </row>
    <row r="137" ht="15.75" customHeight="1">
      <c r="A137" s="13" t="s">
        <v>59</v>
      </c>
      <c r="B137" s="13" t="str">
        <f t="array" ref="B137">XLOOKUP(A137,Abbreviation!$A$17:$A$22,Abbreviation!$B$17:$B$22)</f>
        <v>May</v>
      </c>
      <c r="C137" s="13" t="str">
        <f t="array" ref="C137">XLOOKUP(D137,'Regional Details'!$B$14:$B$29,'Regional Details'!$A$14:$A$29)</f>
        <v>South</v>
      </c>
      <c r="D137" s="13" t="s">
        <v>15</v>
      </c>
      <c r="E137" s="13" t="s">
        <v>29</v>
      </c>
      <c r="F137" s="13">
        <v>25451.0</v>
      </c>
      <c r="G137" s="13">
        <v>28505.0</v>
      </c>
      <c r="H137" s="14">
        <f t="array" ref="H137">XLOOKUP(D137,'Regional Details'!$B$14:$B$29,'Regional Details'!$C$14:$C$29)</f>
        <v>0</v>
      </c>
      <c r="I137" s="13">
        <f t="shared" si="2"/>
        <v>60</v>
      </c>
      <c r="J137" s="13">
        <f t="shared" si="3"/>
        <v>60</v>
      </c>
      <c r="K137" s="15">
        <f t="shared" si="4"/>
        <v>1527060</v>
      </c>
      <c r="L137" s="13">
        <f t="shared" si="5"/>
        <v>1710300</v>
      </c>
      <c r="M137" s="13">
        <f t="shared" si="6"/>
        <v>33.75</v>
      </c>
      <c r="N137" s="13">
        <f t="shared" si="7"/>
        <v>29.89</v>
      </c>
      <c r="O137" s="13">
        <f t="shared" ref="O137:P137" si="142">M137*F137</f>
        <v>858971.25</v>
      </c>
      <c r="P137" s="13">
        <f t="shared" si="142"/>
        <v>852014.45</v>
      </c>
      <c r="Q137" s="13"/>
    </row>
    <row r="138" ht="15.75" customHeight="1">
      <c r="A138" s="13" t="s">
        <v>59</v>
      </c>
      <c r="B138" s="13" t="str">
        <f t="array" ref="B138">XLOOKUP(A138,Abbreviation!$A$17:$A$22,Abbreviation!$B$17:$B$22)</f>
        <v>May</v>
      </c>
      <c r="C138" s="13" t="str">
        <f t="array" ref="C138">XLOOKUP(D138,'Regional Details'!$B$14:$B$29,'Regional Details'!$A$14:$A$29)</f>
        <v>North</v>
      </c>
      <c r="D138" s="13" t="s">
        <v>16</v>
      </c>
      <c r="E138" s="13" t="s">
        <v>31</v>
      </c>
      <c r="F138" s="13">
        <v>41307.0</v>
      </c>
      <c r="G138" s="13">
        <v>46677.0</v>
      </c>
      <c r="H138" s="14">
        <f t="array" ref="H138">XLOOKUP(D138,'Regional Details'!$B$14:$B$29,'Regional Details'!$C$14:$C$29)</f>
        <v>0</v>
      </c>
      <c r="I138" s="13">
        <f t="shared" si="2"/>
        <v>135</v>
      </c>
      <c r="J138" s="13">
        <f t="shared" si="3"/>
        <v>135</v>
      </c>
      <c r="K138" s="15">
        <f t="shared" si="4"/>
        <v>5576445</v>
      </c>
      <c r="L138" s="13">
        <f t="shared" si="5"/>
        <v>6301395</v>
      </c>
      <c r="M138" s="13">
        <f t="shared" si="6"/>
        <v>74.03</v>
      </c>
      <c r="N138" s="13">
        <f t="shared" si="7"/>
        <v>73.16</v>
      </c>
      <c r="O138" s="13">
        <f t="shared" ref="O138:P138" si="143">M138*F138</f>
        <v>3057957.21</v>
      </c>
      <c r="P138" s="13">
        <f t="shared" si="143"/>
        <v>3414889.32</v>
      </c>
      <c r="Q138" s="13"/>
    </row>
    <row r="139" ht="15.75" customHeight="1">
      <c r="A139" s="13" t="s">
        <v>59</v>
      </c>
      <c r="B139" s="13" t="str">
        <f t="array" ref="B139">XLOOKUP(A139,Abbreviation!$A$17:$A$22,Abbreviation!$B$17:$B$22)</f>
        <v>May</v>
      </c>
      <c r="C139" s="13" t="str">
        <f t="array" ref="C139">XLOOKUP(D139,'Regional Details'!$B$14:$B$29,'Regional Details'!$A$14:$A$29)</f>
        <v>North</v>
      </c>
      <c r="D139" s="13" t="s">
        <v>16</v>
      </c>
      <c r="E139" s="13" t="s">
        <v>29</v>
      </c>
      <c r="F139" s="13">
        <v>42764.0</v>
      </c>
      <c r="G139" s="13">
        <v>50889.0</v>
      </c>
      <c r="H139" s="14">
        <f t="array" ref="H139">XLOOKUP(D139,'Regional Details'!$B$14:$B$29,'Regional Details'!$C$14:$C$29)</f>
        <v>0</v>
      </c>
      <c r="I139" s="13">
        <f t="shared" si="2"/>
        <v>60</v>
      </c>
      <c r="J139" s="13">
        <f t="shared" si="3"/>
        <v>60</v>
      </c>
      <c r="K139" s="15">
        <f t="shared" si="4"/>
        <v>2565840</v>
      </c>
      <c r="L139" s="13">
        <f t="shared" si="5"/>
        <v>3053340</v>
      </c>
      <c r="M139" s="13">
        <f t="shared" si="6"/>
        <v>33.75</v>
      </c>
      <c r="N139" s="13">
        <f t="shared" si="7"/>
        <v>29.89</v>
      </c>
      <c r="O139" s="13">
        <f t="shared" ref="O139:P139" si="144">M139*F139</f>
        <v>1443285</v>
      </c>
      <c r="P139" s="13">
        <f t="shared" si="144"/>
        <v>1521072.21</v>
      </c>
      <c r="Q139" s="13"/>
    </row>
    <row r="140" ht="15.75" customHeight="1">
      <c r="A140" s="13" t="s">
        <v>59</v>
      </c>
      <c r="B140" s="13" t="str">
        <f t="array" ref="B140">XLOOKUP(A140,Abbreviation!$A$17:$A$22,Abbreviation!$B$17:$B$22)</f>
        <v>May</v>
      </c>
      <c r="C140" s="13" t="str">
        <f t="array" ref="C140">XLOOKUP(D140,'Regional Details'!$B$14:$B$29,'Regional Details'!$A$14:$A$29)</f>
        <v>East</v>
      </c>
      <c r="D140" s="13" t="s">
        <v>17</v>
      </c>
      <c r="E140" s="13" t="s">
        <v>31</v>
      </c>
      <c r="F140" s="13">
        <v>15016.0</v>
      </c>
      <c r="G140" s="13">
        <v>15917.0</v>
      </c>
      <c r="H140" s="16">
        <f t="array" ref="H140">XLOOKUP(D140,'Regional Details'!$B$14:$B$29,'Regional Details'!$C$14:$C$29)</f>
        <v>0.125</v>
      </c>
      <c r="I140" s="13">
        <f t="shared" si="2"/>
        <v>135</v>
      </c>
      <c r="J140" s="13">
        <f t="shared" si="3"/>
        <v>118.125</v>
      </c>
      <c r="K140" s="15">
        <f t="shared" si="4"/>
        <v>1773765</v>
      </c>
      <c r="L140" s="13">
        <f t="shared" si="5"/>
        <v>2148795</v>
      </c>
      <c r="M140" s="13">
        <f t="shared" si="6"/>
        <v>74.03</v>
      </c>
      <c r="N140" s="13">
        <f t="shared" si="7"/>
        <v>73.16</v>
      </c>
      <c r="O140" s="13">
        <f t="shared" ref="O140:P140" si="145">M140*F140</f>
        <v>1111634.48</v>
      </c>
      <c r="P140" s="13">
        <f t="shared" si="145"/>
        <v>1164487.72</v>
      </c>
      <c r="Q140" s="13"/>
    </row>
    <row r="141" ht="15.75" customHeight="1">
      <c r="A141" s="13" t="s">
        <v>59</v>
      </c>
      <c r="B141" s="13" t="str">
        <f t="array" ref="B141">XLOOKUP(A141,Abbreviation!$A$17:$A$22,Abbreviation!$B$17:$B$22)</f>
        <v>May</v>
      </c>
      <c r="C141" s="13" t="str">
        <f t="array" ref="C141">XLOOKUP(D141,'Regional Details'!$B$14:$B$29,'Regional Details'!$A$14:$A$29)</f>
        <v>East</v>
      </c>
      <c r="D141" s="13" t="s">
        <v>17</v>
      </c>
      <c r="E141" s="13" t="s">
        <v>29</v>
      </c>
      <c r="F141" s="13">
        <v>21463.0</v>
      </c>
      <c r="G141" s="13">
        <v>22107.0</v>
      </c>
      <c r="H141" s="16">
        <f t="array" ref="H141">XLOOKUP(D141,'Regional Details'!$B$14:$B$29,'Regional Details'!$C$14:$C$29)</f>
        <v>0.125</v>
      </c>
      <c r="I141" s="13">
        <f t="shared" si="2"/>
        <v>60</v>
      </c>
      <c r="J141" s="13">
        <f t="shared" si="3"/>
        <v>52.5</v>
      </c>
      <c r="K141" s="15">
        <f t="shared" si="4"/>
        <v>1126807.5</v>
      </c>
      <c r="L141" s="13">
        <f t="shared" si="5"/>
        <v>1326420</v>
      </c>
      <c r="M141" s="13">
        <f t="shared" si="6"/>
        <v>33.75</v>
      </c>
      <c r="N141" s="13">
        <f t="shared" si="7"/>
        <v>29.89</v>
      </c>
      <c r="O141" s="13">
        <f t="shared" ref="O141:P141" si="146">M141*F141</f>
        <v>724376.25</v>
      </c>
      <c r="P141" s="13">
        <f t="shared" si="146"/>
        <v>660778.23</v>
      </c>
      <c r="Q141" s="13"/>
    </row>
    <row r="142" ht="15.75" customHeight="1">
      <c r="A142" s="13" t="s">
        <v>59</v>
      </c>
      <c r="B142" s="13" t="str">
        <f t="array" ref="B142">XLOOKUP(A142,Abbreviation!$A$17:$A$22,Abbreviation!$B$17:$B$22)</f>
        <v>May</v>
      </c>
      <c r="C142" s="13" t="str">
        <f t="array" ref="C142">XLOOKUP(D142,'Regional Details'!$B$14:$B$29,'Regional Details'!$A$14:$A$29)</f>
        <v>West</v>
      </c>
      <c r="D142" s="13" t="s">
        <v>18</v>
      </c>
      <c r="E142" s="13" t="s">
        <v>31</v>
      </c>
      <c r="F142" s="13">
        <v>35672.0</v>
      </c>
      <c r="G142" s="13">
        <v>44233.0</v>
      </c>
      <c r="H142" s="14">
        <f t="array" ref="H142">XLOOKUP(D142,'Regional Details'!$B$14:$B$29,'Regional Details'!$C$14:$C$29)</f>
        <v>0</v>
      </c>
      <c r="I142" s="13">
        <f t="shared" si="2"/>
        <v>135</v>
      </c>
      <c r="J142" s="13">
        <f t="shared" si="3"/>
        <v>135</v>
      </c>
      <c r="K142" s="15">
        <f t="shared" si="4"/>
        <v>4815720</v>
      </c>
      <c r="L142" s="13">
        <f t="shared" si="5"/>
        <v>5971455</v>
      </c>
      <c r="M142" s="13">
        <f t="shared" si="6"/>
        <v>74.03</v>
      </c>
      <c r="N142" s="13">
        <f t="shared" si="7"/>
        <v>73.16</v>
      </c>
      <c r="O142" s="13">
        <f t="shared" ref="O142:P142" si="147">M142*F142</f>
        <v>2640798.16</v>
      </c>
      <c r="P142" s="13">
        <f t="shared" si="147"/>
        <v>3236086.28</v>
      </c>
      <c r="Q142" s="13"/>
    </row>
    <row r="143" ht="15.75" customHeight="1">
      <c r="A143" s="13" t="s">
        <v>59</v>
      </c>
      <c r="B143" s="13" t="str">
        <f t="array" ref="B143">XLOOKUP(A143,Abbreviation!$A$17:$A$22,Abbreviation!$B$17:$B$22)</f>
        <v>May</v>
      </c>
      <c r="C143" s="13" t="str">
        <f t="array" ref="C143">XLOOKUP(D143,'Regional Details'!$B$14:$B$29,'Regional Details'!$A$14:$A$29)</f>
        <v>West</v>
      </c>
      <c r="D143" s="13" t="s">
        <v>18</v>
      </c>
      <c r="E143" s="13" t="s">
        <v>29</v>
      </c>
      <c r="F143" s="13">
        <v>20920.0</v>
      </c>
      <c r="G143" s="13">
        <v>23849.0</v>
      </c>
      <c r="H143" s="14">
        <f t="array" ref="H143">XLOOKUP(D143,'Regional Details'!$B$14:$B$29,'Regional Details'!$C$14:$C$29)</f>
        <v>0</v>
      </c>
      <c r="I143" s="13">
        <f t="shared" si="2"/>
        <v>60</v>
      </c>
      <c r="J143" s="13">
        <f t="shared" si="3"/>
        <v>60</v>
      </c>
      <c r="K143" s="15">
        <f t="shared" si="4"/>
        <v>1255200</v>
      </c>
      <c r="L143" s="13">
        <f t="shared" si="5"/>
        <v>1430940</v>
      </c>
      <c r="M143" s="13">
        <f t="shared" si="6"/>
        <v>33.75</v>
      </c>
      <c r="N143" s="13">
        <f t="shared" si="7"/>
        <v>29.89</v>
      </c>
      <c r="O143" s="13">
        <f t="shared" ref="O143:P143" si="148">M143*F143</f>
        <v>706050</v>
      </c>
      <c r="P143" s="13">
        <f t="shared" si="148"/>
        <v>712846.61</v>
      </c>
      <c r="Q143" s="13"/>
    </row>
    <row r="144" ht="15.75" customHeight="1">
      <c r="A144" s="13" t="s">
        <v>59</v>
      </c>
      <c r="B144" s="13" t="str">
        <f t="array" ref="B144">XLOOKUP(A144,Abbreviation!$A$17:$A$22,Abbreviation!$B$17:$B$22)</f>
        <v>May</v>
      </c>
      <c r="C144" s="13" t="str">
        <f t="array" ref="C144">XLOOKUP(D144,'Regional Details'!$B$14:$B$29,'Regional Details'!$A$14:$A$29)</f>
        <v>South</v>
      </c>
      <c r="D144" s="13" t="s">
        <v>19</v>
      </c>
      <c r="E144" s="13" t="s">
        <v>31</v>
      </c>
      <c r="F144" s="13">
        <v>22601.0</v>
      </c>
      <c r="G144" s="13">
        <v>25313.0</v>
      </c>
      <c r="H144" s="14">
        <f t="array" ref="H144">XLOOKUP(D144,'Regional Details'!$B$14:$B$29,'Regional Details'!$C$14:$C$29)</f>
        <v>0</v>
      </c>
      <c r="I144" s="13">
        <f t="shared" si="2"/>
        <v>135</v>
      </c>
      <c r="J144" s="13">
        <f t="shared" si="3"/>
        <v>135</v>
      </c>
      <c r="K144" s="15">
        <f t="shared" si="4"/>
        <v>3051135</v>
      </c>
      <c r="L144" s="13">
        <f t="shared" si="5"/>
        <v>3417255</v>
      </c>
      <c r="M144" s="13">
        <f t="shared" si="6"/>
        <v>74.03</v>
      </c>
      <c r="N144" s="13">
        <f t="shared" si="7"/>
        <v>73.16</v>
      </c>
      <c r="O144" s="13">
        <f t="shared" ref="O144:P144" si="149">M144*F144</f>
        <v>1673152.03</v>
      </c>
      <c r="P144" s="13">
        <f t="shared" si="149"/>
        <v>1851899.08</v>
      </c>
      <c r="Q144" s="13"/>
    </row>
    <row r="145" ht="15.75" customHeight="1">
      <c r="A145" s="13" t="s">
        <v>59</v>
      </c>
      <c r="B145" s="13" t="str">
        <f t="array" ref="B145">XLOOKUP(A145,Abbreviation!$A$17:$A$22,Abbreviation!$B$17:$B$22)</f>
        <v>May</v>
      </c>
      <c r="C145" s="13" t="str">
        <f t="array" ref="C145">XLOOKUP(D145,'Regional Details'!$B$14:$B$29,'Regional Details'!$A$14:$A$29)</f>
        <v>South</v>
      </c>
      <c r="D145" s="13" t="s">
        <v>19</v>
      </c>
      <c r="E145" s="13" t="s">
        <v>29</v>
      </c>
      <c r="F145" s="13">
        <v>24580.0</v>
      </c>
      <c r="G145" s="13">
        <v>30233.0</v>
      </c>
      <c r="H145" s="14">
        <f t="array" ref="H145">XLOOKUP(D145,'Regional Details'!$B$14:$B$29,'Regional Details'!$C$14:$C$29)</f>
        <v>0</v>
      </c>
      <c r="I145" s="13">
        <f t="shared" si="2"/>
        <v>60</v>
      </c>
      <c r="J145" s="13">
        <f t="shared" si="3"/>
        <v>60</v>
      </c>
      <c r="K145" s="15">
        <f t="shared" si="4"/>
        <v>1474800</v>
      </c>
      <c r="L145" s="13">
        <f t="shared" si="5"/>
        <v>1813980</v>
      </c>
      <c r="M145" s="13">
        <f t="shared" si="6"/>
        <v>33.75</v>
      </c>
      <c r="N145" s="13">
        <f t="shared" si="7"/>
        <v>29.89</v>
      </c>
      <c r="O145" s="13">
        <f t="shared" ref="O145:P145" si="150">M145*F145</f>
        <v>829575</v>
      </c>
      <c r="P145" s="13">
        <f t="shared" si="150"/>
        <v>903664.37</v>
      </c>
      <c r="Q145" s="13"/>
    </row>
    <row r="146" ht="15.75" customHeight="1">
      <c r="A146" s="13" t="s">
        <v>59</v>
      </c>
      <c r="B146" s="13" t="str">
        <f t="array" ref="B146">XLOOKUP(A146,Abbreviation!$A$17:$A$22,Abbreviation!$B$17:$B$22)</f>
        <v>May</v>
      </c>
      <c r="C146" s="13" t="str">
        <f t="array" ref="C146">XLOOKUP(D146,'Regional Details'!$B$14:$B$29,'Regional Details'!$A$14:$A$29)</f>
        <v>North</v>
      </c>
      <c r="D146" s="13" t="s">
        <v>20</v>
      </c>
      <c r="E146" s="13" t="s">
        <v>31</v>
      </c>
      <c r="F146" s="13">
        <v>26118.0</v>
      </c>
      <c r="G146" s="13">
        <v>32125.0</v>
      </c>
      <c r="H146" s="14">
        <f t="array" ref="H146">XLOOKUP(D146,'Regional Details'!$B$14:$B$29,'Regional Details'!$C$14:$C$29)</f>
        <v>0.1</v>
      </c>
      <c r="I146" s="13">
        <f t="shared" si="2"/>
        <v>135</v>
      </c>
      <c r="J146" s="13">
        <f t="shared" si="3"/>
        <v>121.5</v>
      </c>
      <c r="K146" s="15">
        <f t="shared" si="4"/>
        <v>3173337</v>
      </c>
      <c r="L146" s="13">
        <f t="shared" si="5"/>
        <v>4336875</v>
      </c>
      <c r="M146" s="13">
        <f t="shared" si="6"/>
        <v>74.03</v>
      </c>
      <c r="N146" s="13">
        <f t="shared" si="7"/>
        <v>73.16</v>
      </c>
      <c r="O146" s="13">
        <f t="shared" ref="O146:P146" si="151">M146*F146</f>
        <v>1933515.54</v>
      </c>
      <c r="P146" s="13">
        <f t="shared" si="151"/>
        <v>2350265</v>
      </c>
      <c r="Q146" s="13"/>
    </row>
    <row r="147" ht="15.75" customHeight="1">
      <c r="A147" s="13" t="s">
        <v>59</v>
      </c>
      <c r="B147" s="13" t="str">
        <f t="array" ref="B147">XLOOKUP(A147,Abbreviation!$A$17:$A$22,Abbreviation!$B$17:$B$22)</f>
        <v>May</v>
      </c>
      <c r="C147" s="13" t="str">
        <f t="array" ref="C147">XLOOKUP(D147,'Regional Details'!$B$14:$B$29,'Regional Details'!$A$14:$A$29)</f>
        <v>North</v>
      </c>
      <c r="D147" s="13" t="s">
        <v>20</v>
      </c>
      <c r="E147" s="13" t="s">
        <v>29</v>
      </c>
      <c r="F147" s="13">
        <v>23751.0</v>
      </c>
      <c r="G147" s="13">
        <v>27551.0</v>
      </c>
      <c r="H147" s="14">
        <f t="array" ref="H147">XLOOKUP(D147,'Regional Details'!$B$14:$B$29,'Regional Details'!$C$14:$C$29)</f>
        <v>0.1</v>
      </c>
      <c r="I147" s="13">
        <f t="shared" si="2"/>
        <v>60</v>
      </c>
      <c r="J147" s="13">
        <f t="shared" si="3"/>
        <v>54</v>
      </c>
      <c r="K147" s="15">
        <f t="shared" si="4"/>
        <v>1282554</v>
      </c>
      <c r="L147" s="13">
        <f t="shared" si="5"/>
        <v>1653060</v>
      </c>
      <c r="M147" s="13">
        <f t="shared" si="6"/>
        <v>33.75</v>
      </c>
      <c r="N147" s="13">
        <f t="shared" si="7"/>
        <v>29.89</v>
      </c>
      <c r="O147" s="13">
        <f t="shared" ref="O147:P147" si="152">M147*F147</f>
        <v>801596.25</v>
      </c>
      <c r="P147" s="13">
        <f t="shared" si="152"/>
        <v>823499.39</v>
      </c>
      <c r="Q147" s="13"/>
    </row>
    <row r="148" ht="15.75" customHeight="1">
      <c r="A148" s="13" t="s">
        <v>59</v>
      </c>
      <c r="B148" s="13" t="str">
        <f t="array" ref="B148">XLOOKUP(A148,Abbreviation!$A$17:$A$22,Abbreviation!$B$17:$B$22)</f>
        <v>May</v>
      </c>
      <c r="C148" s="13" t="str">
        <f t="array" ref="C148">XLOOKUP(D148,'Regional Details'!$B$14:$B$29,'Regional Details'!$A$14:$A$29)</f>
        <v>East</v>
      </c>
      <c r="D148" s="13" t="s">
        <v>21</v>
      </c>
      <c r="E148" s="13" t="s">
        <v>31</v>
      </c>
      <c r="F148" s="13">
        <v>30378.0</v>
      </c>
      <c r="G148" s="13">
        <v>32808.0</v>
      </c>
      <c r="H148" s="14">
        <f t="array" ref="H148">XLOOKUP(D148,'Regional Details'!$B$14:$B$29,'Regional Details'!$C$14:$C$29)</f>
        <v>0.05</v>
      </c>
      <c r="I148" s="13">
        <f t="shared" si="2"/>
        <v>135</v>
      </c>
      <c r="J148" s="13">
        <f t="shared" si="3"/>
        <v>128.25</v>
      </c>
      <c r="K148" s="15">
        <f t="shared" si="4"/>
        <v>3895978.5</v>
      </c>
      <c r="L148" s="13">
        <f t="shared" si="5"/>
        <v>4429080</v>
      </c>
      <c r="M148" s="13">
        <f t="shared" si="6"/>
        <v>74.03</v>
      </c>
      <c r="N148" s="13">
        <f t="shared" si="7"/>
        <v>73.16</v>
      </c>
      <c r="O148" s="13">
        <f t="shared" ref="O148:P148" si="153">M148*F148</f>
        <v>2248883.34</v>
      </c>
      <c r="P148" s="13">
        <f t="shared" si="153"/>
        <v>2400233.28</v>
      </c>
      <c r="Q148" s="13"/>
    </row>
    <row r="149" ht="15.75" customHeight="1">
      <c r="A149" s="13" t="s">
        <v>59</v>
      </c>
      <c r="B149" s="13" t="str">
        <f t="array" ref="B149">XLOOKUP(A149,Abbreviation!$A$17:$A$22,Abbreviation!$B$17:$B$22)</f>
        <v>May</v>
      </c>
      <c r="C149" s="13" t="str">
        <f t="array" ref="C149">XLOOKUP(D149,'Regional Details'!$B$14:$B$29,'Regional Details'!$A$14:$A$29)</f>
        <v>East</v>
      </c>
      <c r="D149" s="13" t="s">
        <v>21</v>
      </c>
      <c r="E149" s="13" t="s">
        <v>29</v>
      </c>
      <c r="F149" s="13">
        <v>20625.0</v>
      </c>
      <c r="G149" s="13">
        <v>21450.0</v>
      </c>
      <c r="H149" s="14">
        <f t="array" ref="H149">XLOOKUP(D149,'Regional Details'!$B$14:$B$29,'Regional Details'!$C$14:$C$29)</f>
        <v>0.05</v>
      </c>
      <c r="I149" s="13">
        <f t="shared" si="2"/>
        <v>60</v>
      </c>
      <c r="J149" s="13">
        <f t="shared" si="3"/>
        <v>57</v>
      </c>
      <c r="K149" s="15">
        <f t="shared" si="4"/>
        <v>1175625</v>
      </c>
      <c r="L149" s="13">
        <f t="shared" si="5"/>
        <v>1287000</v>
      </c>
      <c r="M149" s="13">
        <f t="shared" si="6"/>
        <v>33.75</v>
      </c>
      <c r="N149" s="13">
        <f t="shared" si="7"/>
        <v>29.89</v>
      </c>
      <c r="O149" s="13">
        <f t="shared" ref="O149:P149" si="154">M149*F149</f>
        <v>696093.75</v>
      </c>
      <c r="P149" s="13">
        <f t="shared" si="154"/>
        <v>641140.5</v>
      </c>
      <c r="Q149" s="13"/>
    </row>
    <row r="150" ht="15.75" customHeight="1">
      <c r="A150" s="13" t="s">
        <v>59</v>
      </c>
      <c r="B150" s="13" t="str">
        <f t="array" ref="B150">XLOOKUP(A150,Abbreviation!$A$17:$A$22,Abbreviation!$B$17:$B$22)</f>
        <v>May</v>
      </c>
      <c r="C150" s="13" t="str">
        <f t="array" ref="C150">XLOOKUP(D150,'Regional Details'!$B$14:$B$29,'Regional Details'!$A$14:$A$29)</f>
        <v>West</v>
      </c>
      <c r="D150" s="13" t="s">
        <v>22</v>
      </c>
      <c r="E150" s="13" t="s">
        <v>31</v>
      </c>
      <c r="F150" s="13">
        <v>32290.0</v>
      </c>
      <c r="G150" s="13">
        <v>33582.0</v>
      </c>
      <c r="H150" s="14">
        <f t="array" ref="H150">XLOOKUP(D150,'Regional Details'!$B$14:$B$29,'Regional Details'!$C$14:$C$29)</f>
        <v>0.05</v>
      </c>
      <c r="I150" s="13">
        <f t="shared" si="2"/>
        <v>135</v>
      </c>
      <c r="J150" s="13">
        <f t="shared" si="3"/>
        <v>128.25</v>
      </c>
      <c r="K150" s="15">
        <f t="shared" si="4"/>
        <v>4141192.5</v>
      </c>
      <c r="L150" s="13">
        <f t="shared" si="5"/>
        <v>4533570</v>
      </c>
      <c r="M150" s="13">
        <f t="shared" si="6"/>
        <v>74.03</v>
      </c>
      <c r="N150" s="13">
        <f t="shared" si="7"/>
        <v>73.16</v>
      </c>
      <c r="O150" s="13">
        <f t="shared" ref="O150:P150" si="155">M150*F150</f>
        <v>2390428.7</v>
      </c>
      <c r="P150" s="13">
        <f t="shared" si="155"/>
        <v>2456859.12</v>
      </c>
      <c r="Q150" s="13"/>
    </row>
    <row r="151" ht="15.75" customHeight="1">
      <c r="A151" s="13" t="s">
        <v>59</v>
      </c>
      <c r="B151" s="13" t="str">
        <f t="array" ref="B151">XLOOKUP(A151,Abbreviation!$A$17:$A$22,Abbreviation!$B$17:$B$22)</f>
        <v>May</v>
      </c>
      <c r="C151" s="13" t="str">
        <f t="array" ref="C151">XLOOKUP(D151,'Regional Details'!$B$14:$B$29,'Regional Details'!$A$14:$A$29)</f>
        <v>West</v>
      </c>
      <c r="D151" s="13" t="s">
        <v>22</v>
      </c>
      <c r="E151" s="13" t="s">
        <v>29</v>
      </c>
      <c r="F151" s="13">
        <v>26189.0</v>
      </c>
      <c r="G151" s="13">
        <v>27498.0</v>
      </c>
      <c r="H151" s="14">
        <f t="array" ref="H151">XLOOKUP(D151,'Regional Details'!$B$14:$B$29,'Regional Details'!$C$14:$C$29)</f>
        <v>0.05</v>
      </c>
      <c r="I151" s="13">
        <f t="shared" si="2"/>
        <v>60</v>
      </c>
      <c r="J151" s="13">
        <f t="shared" si="3"/>
        <v>57</v>
      </c>
      <c r="K151" s="15">
        <f t="shared" si="4"/>
        <v>1492773</v>
      </c>
      <c r="L151" s="13">
        <f t="shared" si="5"/>
        <v>1649880</v>
      </c>
      <c r="M151" s="13">
        <f t="shared" si="6"/>
        <v>33.75</v>
      </c>
      <c r="N151" s="13">
        <f t="shared" si="7"/>
        <v>29.89</v>
      </c>
      <c r="O151" s="13">
        <f t="shared" ref="O151:P151" si="156">M151*F151</f>
        <v>883878.75</v>
      </c>
      <c r="P151" s="13">
        <f t="shared" si="156"/>
        <v>821915.22</v>
      </c>
      <c r="Q151" s="13"/>
    </row>
    <row r="152" ht="15.75" customHeight="1">
      <c r="A152" s="13" t="s">
        <v>59</v>
      </c>
      <c r="B152" s="13" t="str">
        <f t="array" ref="B152">XLOOKUP(A152,Abbreviation!$A$17:$A$22,Abbreviation!$B$17:$B$22)</f>
        <v>May</v>
      </c>
      <c r="C152" s="13" t="str">
        <f t="array" ref="C152">XLOOKUP(D152,'Regional Details'!$B$14:$B$29,'Regional Details'!$A$14:$A$29)</f>
        <v>South</v>
      </c>
      <c r="D152" s="13" t="s">
        <v>23</v>
      </c>
      <c r="E152" s="13" t="s">
        <v>31</v>
      </c>
      <c r="F152" s="13">
        <v>44993.0</v>
      </c>
      <c r="G152" s="13">
        <v>53542.0</v>
      </c>
      <c r="H152" s="14">
        <f t="array" ref="H152">XLOOKUP(D152,'Regional Details'!$B$14:$B$29,'Regional Details'!$C$14:$C$29)</f>
        <v>0</v>
      </c>
      <c r="I152" s="13">
        <f t="shared" si="2"/>
        <v>135</v>
      </c>
      <c r="J152" s="13">
        <f t="shared" si="3"/>
        <v>135</v>
      </c>
      <c r="K152" s="15">
        <f t="shared" si="4"/>
        <v>6074055</v>
      </c>
      <c r="L152" s="13">
        <f t="shared" si="5"/>
        <v>7228170</v>
      </c>
      <c r="M152" s="13">
        <f t="shared" si="6"/>
        <v>74.03</v>
      </c>
      <c r="N152" s="13">
        <f t="shared" si="7"/>
        <v>73.16</v>
      </c>
      <c r="O152" s="13">
        <f t="shared" ref="O152:P152" si="157">M152*F152</f>
        <v>3330831.79</v>
      </c>
      <c r="P152" s="13">
        <f t="shared" si="157"/>
        <v>3917132.72</v>
      </c>
      <c r="Q152" s="13"/>
    </row>
    <row r="153" ht="15.75" customHeight="1">
      <c r="A153" s="13" t="s">
        <v>59</v>
      </c>
      <c r="B153" s="13" t="str">
        <f t="array" ref="B153">XLOOKUP(A153,Abbreviation!$A$17:$A$22,Abbreviation!$B$17:$B$22)</f>
        <v>May</v>
      </c>
      <c r="C153" s="13" t="str">
        <f t="array" ref="C153">XLOOKUP(D153,'Regional Details'!$B$14:$B$29,'Regional Details'!$A$14:$A$29)</f>
        <v>South</v>
      </c>
      <c r="D153" s="13" t="s">
        <v>23</v>
      </c>
      <c r="E153" s="13" t="s">
        <v>29</v>
      </c>
      <c r="F153" s="13">
        <v>44627.0</v>
      </c>
      <c r="G153" s="13">
        <v>52214.0</v>
      </c>
      <c r="H153" s="14">
        <f t="array" ref="H153">XLOOKUP(D153,'Regional Details'!$B$14:$B$29,'Regional Details'!$C$14:$C$29)</f>
        <v>0</v>
      </c>
      <c r="I153" s="13">
        <f t="shared" si="2"/>
        <v>60</v>
      </c>
      <c r="J153" s="13">
        <f t="shared" si="3"/>
        <v>60</v>
      </c>
      <c r="K153" s="15">
        <f t="shared" si="4"/>
        <v>2677620</v>
      </c>
      <c r="L153" s="13">
        <f t="shared" si="5"/>
        <v>3132840</v>
      </c>
      <c r="M153" s="13">
        <f t="shared" si="6"/>
        <v>33.75</v>
      </c>
      <c r="N153" s="13">
        <f t="shared" si="7"/>
        <v>29.89</v>
      </c>
      <c r="O153" s="13">
        <f t="shared" ref="O153:P153" si="158">M153*F153</f>
        <v>1506161.25</v>
      </c>
      <c r="P153" s="13">
        <f t="shared" si="158"/>
        <v>1560676.46</v>
      </c>
      <c r="Q153" s="13"/>
    </row>
    <row r="154" ht="15.75" customHeight="1">
      <c r="A154" s="13" t="s">
        <v>59</v>
      </c>
      <c r="B154" s="13" t="str">
        <f t="array" ref="B154">XLOOKUP(A154,Abbreviation!$A$17:$A$22,Abbreviation!$B$17:$B$22)</f>
        <v>May</v>
      </c>
      <c r="C154" s="13" t="str">
        <f t="array" ref="C154">XLOOKUP(D154,'Regional Details'!$B$14:$B$29,'Regional Details'!$A$14:$A$29)</f>
        <v>North</v>
      </c>
      <c r="D154" s="13" t="s">
        <v>24</v>
      </c>
      <c r="E154" s="13" t="s">
        <v>31</v>
      </c>
      <c r="F154" s="13">
        <v>24831.0</v>
      </c>
      <c r="G154" s="13">
        <v>25328.0</v>
      </c>
      <c r="H154" s="16">
        <f t="array" ref="H154">XLOOKUP(D154,'Regional Details'!$B$14:$B$29,'Regional Details'!$C$14:$C$29)</f>
        <v>0.125</v>
      </c>
      <c r="I154" s="13">
        <f t="shared" si="2"/>
        <v>135</v>
      </c>
      <c r="J154" s="13">
        <f t="shared" si="3"/>
        <v>118.125</v>
      </c>
      <c r="K154" s="15">
        <f t="shared" si="4"/>
        <v>2933161.875</v>
      </c>
      <c r="L154" s="13">
        <f t="shared" si="5"/>
        <v>3419280</v>
      </c>
      <c r="M154" s="13">
        <f t="shared" si="6"/>
        <v>74.03</v>
      </c>
      <c r="N154" s="13">
        <f t="shared" si="7"/>
        <v>73.16</v>
      </c>
      <c r="O154" s="13">
        <f t="shared" ref="O154:P154" si="159">M154*F154</f>
        <v>1838238.93</v>
      </c>
      <c r="P154" s="13">
        <f t="shared" si="159"/>
        <v>1852996.48</v>
      </c>
      <c r="Q154" s="13"/>
    </row>
    <row r="155" ht="15.75" customHeight="1">
      <c r="A155" s="13" t="s">
        <v>59</v>
      </c>
      <c r="B155" s="13" t="str">
        <f t="array" ref="B155">XLOOKUP(A155,Abbreviation!$A$17:$A$22,Abbreviation!$B$17:$B$22)</f>
        <v>May</v>
      </c>
      <c r="C155" s="13" t="str">
        <f t="array" ref="C155">XLOOKUP(D155,'Regional Details'!$B$14:$B$29,'Regional Details'!$A$14:$A$29)</f>
        <v>North</v>
      </c>
      <c r="D155" s="13" t="s">
        <v>24</v>
      </c>
      <c r="E155" s="13" t="s">
        <v>29</v>
      </c>
      <c r="F155" s="13">
        <v>15421.0</v>
      </c>
      <c r="G155" s="13">
        <v>16346.0</v>
      </c>
      <c r="H155" s="16">
        <f t="array" ref="H155">XLOOKUP(D155,'Regional Details'!$B$14:$B$29,'Regional Details'!$C$14:$C$29)</f>
        <v>0.125</v>
      </c>
      <c r="I155" s="13">
        <f t="shared" si="2"/>
        <v>60</v>
      </c>
      <c r="J155" s="13">
        <f t="shared" si="3"/>
        <v>52.5</v>
      </c>
      <c r="K155" s="15">
        <f t="shared" si="4"/>
        <v>809602.5</v>
      </c>
      <c r="L155" s="13">
        <f t="shared" si="5"/>
        <v>980760</v>
      </c>
      <c r="M155" s="13">
        <f t="shared" si="6"/>
        <v>33.75</v>
      </c>
      <c r="N155" s="13">
        <f t="shared" si="7"/>
        <v>29.89</v>
      </c>
      <c r="O155" s="13">
        <f t="shared" ref="O155:P155" si="160">M155*F155</f>
        <v>520458.75</v>
      </c>
      <c r="P155" s="13">
        <f t="shared" si="160"/>
        <v>488581.94</v>
      </c>
      <c r="Q155" s="13"/>
    </row>
    <row r="156" ht="15.75" customHeight="1">
      <c r="A156" s="13" t="s">
        <v>59</v>
      </c>
      <c r="B156" s="13" t="str">
        <f t="array" ref="B156">XLOOKUP(A156,Abbreviation!$A$17:$A$22,Abbreviation!$B$17:$B$22)</f>
        <v>May</v>
      </c>
      <c r="C156" s="13" t="str">
        <f t="array" ref="C156">XLOOKUP(D156,'Regional Details'!$B$14:$B$29,'Regional Details'!$A$14:$A$29)</f>
        <v>South</v>
      </c>
      <c r="D156" s="13" t="s">
        <v>27</v>
      </c>
      <c r="E156" s="13" t="s">
        <v>31</v>
      </c>
      <c r="F156" s="13">
        <v>26736.0</v>
      </c>
      <c r="G156" s="13">
        <v>28340.0</v>
      </c>
      <c r="H156" s="14">
        <f t="array" ref="H156">XLOOKUP(D156,'Regional Details'!$B$14:$B$29,'Regional Details'!$C$14:$C$29)</f>
        <v>0.1</v>
      </c>
      <c r="I156" s="13">
        <f t="shared" si="2"/>
        <v>135</v>
      </c>
      <c r="J156" s="13">
        <f t="shared" si="3"/>
        <v>121.5</v>
      </c>
      <c r="K156" s="15">
        <f t="shared" si="4"/>
        <v>3248424</v>
      </c>
      <c r="L156" s="13">
        <f t="shared" si="5"/>
        <v>3825900</v>
      </c>
      <c r="M156" s="13">
        <f t="shared" si="6"/>
        <v>74.03</v>
      </c>
      <c r="N156" s="13">
        <f t="shared" si="7"/>
        <v>73.16</v>
      </c>
      <c r="O156" s="13">
        <f t="shared" ref="O156:P156" si="161">M156*F156</f>
        <v>1979266.08</v>
      </c>
      <c r="P156" s="13">
        <f t="shared" si="161"/>
        <v>2073354.4</v>
      </c>
      <c r="Q156" s="13"/>
    </row>
    <row r="157" ht="15.75" customHeight="1">
      <c r="A157" s="13" t="s">
        <v>59</v>
      </c>
      <c r="B157" s="13" t="str">
        <f t="array" ref="B157">XLOOKUP(A157,Abbreviation!$A$17:$A$22,Abbreviation!$B$17:$B$22)</f>
        <v>May</v>
      </c>
      <c r="C157" s="13" t="str">
        <f t="array" ref="C157">XLOOKUP(D157,'Regional Details'!$B$14:$B$29,'Regional Details'!$A$14:$A$29)</f>
        <v>South</v>
      </c>
      <c r="D157" s="13" t="s">
        <v>27</v>
      </c>
      <c r="E157" s="13" t="s">
        <v>29</v>
      </c>
      <c r="F157" s="13">
        <v>17646.0</v>
      </c>
      <c r="G157" s="13">
        <v>18528.0</v>
      </c>
      <c r="H157" s="14">
        <f t="array" ref="H157">XLOOKUP(D157,'Regional Details'!$B$14:$B$29,'Regional Details'!$C$14:$C$29)</f>
        <v>0.1</v>
      </c>
      <c r="I157" s="13">
        <f t="shared" si="2"/>
        <v>60</v>
      </c>
      <c r="J157" s="13">
        <f t="shared" si="3"/>
        <v>54</v>
      </c>
      <c r="K157" s="15">
        <f t="shared" si="4"/>
        <v>952884</v>
      </c>
      <c r="L157" s="13">
        <f t="shared" si="5"/>
        <v>1111680</v>
      </c>
      <c r="M157" s="13">
        <f t="shared" si="6"/>
        <v>33.75</v>
      </c>
      <c r="N157" s="13">
        <f t="shared" si="7"/>
        <v>29.89</v>
      </c>
      <c r="O157" s="13">
        <f t="shared" ref="O157:P157" si="162">M157*F157</f>
        <v>595552.5</v>
      </c>
      <c r="P157" s="13">
        <f t="shared" si="162"/>
        <v>553801.92</v>
      </c>
      <c r="Q157" s="13"/>
    </row>
    <row r="158" ht="15.75" customHeight="1">
      <c r="A158" s="13" t="s">
        <v>59</v>
      </c>
      <c r="B158" s="13" t="str">
        <f t="array" ref="B158">XLOOKUP(A158,Abbreviation!$A$17:$A$22,Abbreviation!$B$17:$B$22)</f>
        <v>May</v>
      </c>
      <c r="C158" s="13" t="str">
        <f t="array" ref="C158">XLOOKUP(D158,'Regional Details'!$B$14:$B$29,'Regional Details'!$A$14:$A$29)</f>
        <v>West</v>
      </c>
      <c r="D158" s="13" t="s">
        <v>26</v>
      </c>
      <c r="E158" s="13" t="s">
        <v>31</v>
      </c>
      <c r="F158" s="13">
        <v>36686.0</v>
      </c>
      <c r="G158" s="13">
        <v>45858.0</v>
      </c>
      <c r="H158" s="14">
        <f t="array" ref="H158">XLOOKUP(D158,'Regional Details'!$B$14:$B$29,'Regional Details'!$C$14:$C$29)</f>
        <v>0</v>
      </c>
      <c r="I158" s="13">
        <f t="shared" si="2"/>
        <v>135</v>
      </c>
      <c r="J158" s="13">
        <f t="shared" si="3"/>
        <v>135</v>
      </c>
      <c r="K158" s="15">
        <f t="shared" si="4"/>
        <v>4952610</v>
      </c>
      <c r="L158" s="13">
        <f t="shared" si="5"/>
        <v>6190830</v>
      </c>
      <c r="M158" s="13">
        <f t="shared" si="6"/>
        <v>74.03</v>
      </c>
      <c r="N158" s="13">
        <f t="shared" si="7"/>
        <v>73.16</v>
      </c>
      <c r="O158" s="13">
        <f t="shared" ref="O158:P158" si="163">M158*F158</f>
        <v>2715864.58</v>
      </c>
      <c r="P158" s="13">
        <f t="shared" si="163"/>
        <v>3354971.28</v>
      </c>
      <c r="Q158" s="13"/>
    </row>
    <row r="159" ht="15.75" customHeight="1">
      <c r="A159" s="13" t="s">
        <v>59</v>
      </c>
      <c r="B159" s="13" t="str">
        <f t="array" ref="B159">XLOOKUP(A159,Abbreviation!$A$17:$A$22,Abbreviation!$B$17:$B$22)</f>
        <v>May</v>
      </c>
      <c r="C159" s="13" t="str">
        <f t="array" ref="C159">XLOOKUP(D159,'Regional Details'!$B$14:$B$29,'Regional Details'!$A$14:$A$29)</f>
        <v>West</v>
      </c>
      <c r="D159" s="13" t="s">
        <v>26</v>
      </c>
      <c r="E159" s="13" t="s">
        <v>29</v>
      </c>
      <c r="F159" s="13">
        <v>28563.0</v>
      </c>
      <c r="G159" s="13">
        <v>35132.0</v>
      </c>
      <c r="H159" s="14">
        <f t="array" ref="H159">XLOOKUP(D159,'Regional Details'!$B$14:$B$29,'Regional Details'!$C$14:$C$29)</f>
        <v>0</v>
      </c>
      <c r="I159" s="13">
        <f t="shared" si="2"/>
        <v>60</v>
      </c>
      <c r="J159" s="13">
        <f t="shared" si="3"/>
        <v>60</v>
      </c>
      <c r="K159" s="15">
        <f t="shared" si="4"/>
        <v>1713780</v>
      </c>
      <c r="L159" s="13">
        <f t="shared" si="5"/>
        <v>2107920</v>
      </c>
      <c r="M159" s="13">
        <f t="shared" si="6"/>
        <v>33.75</v>
      </c>
      <c r="N159" s="13">
        <f t="shared" si="7"/>
        <v>29.89</v>
      </c>
      <c r="O159" s="13">
        <f t="shared" ref="O159:P159" si="164">M159*F159</f>
        <v>964001.25</v>
      </c>
      <c r="P159" s="13">
        <f t="shared" si="164"/>
        <v>1050095.48</v>
      </c>
      <c r="Q159" s="13"/>
    </row>
    <row r="160" ht="15.75" customHeight="1">
      <c r="A160" s="13" t="s">
        <v>59</v>
      </c>
      <c r="B160" s="13" t="str">
        <f t="array" ref="B160">XLOOKUP(A160,Abbreviation!$A$17:$A$22,Abbreviation!$B$17:$B$22)</f>
        <v>May</v>
      </c>
      <c r="C160" s="13" t="str">
        <f t="array" ref="C160">XLOOKUP(D160,'Regional Details'!$B$14:$B$29,'Regional Details'!$A$14:$A$29)</f>
        <v>East</v>
      </c>
      <c r="D160" s="13" t="s">
        <v>25</v>
      </c>
      <c r="E160" s="13" t="s">
        <v>31</v>
      </c>
      <c r="F160" s="13">
        <v>31617.0</v>
      </c>
      <c r="G160" s="13">
        <v>38257.0</v>
      </c>
      <c r="H160" s="14">
        <f t="array" ref="H160">XLOOKUP(D160,'Regional Details'!$B$14:$B$29,'Regional Details'!$C$14:$C$29)</f>
        <v>0.05</v>
      </c>
      <c r="I160" s="13">
        <f t="shared" si="2"/>
        <v>135</v>
      </c>
      <c r="J160" s="13">
        <f t="shared" si="3"/>
        <v>128.25</v>
      </c>
      <c r="K160" s="15">
        <f t="shared" si="4"/>
        <v>4054880.25</v>
      </c>
      <c r="L160" s="13">
        <f t="shared" si="5"/>
        <v>5164695</v>
      </c>
      <c r="M160" s="13">
        <f t="shared" si="6"/>
        <v>74.03</v>
      </c>
      <c r="N160" s="13">
        <f t="shared" si="7"/>
        <v>73.16</v>
      </c>
      <c r="O160" s="13">
        <f t="shared" ref="O160:P160" si="165">M160*F160</f>
        <v>2340606.51</v>
      </c>
      <c r="P160" s="13">
        <f t="shared" si="165"/>
        <v>2798882.12</v>
      </c>
      <c r="Q160" s="13"/>
    </row>
    <row r="161" ht="15.75" customHeight="1">
      <c r="A161" s="13" t="s">
        <v>59</v>
      </c>
      <c r="B161" s="13" t="str">
        <f t="array" ref="B161">XLOOKUP(A161,Abbreviation!$A$17:$A$22,Abbreviation!$B$17:$B$22)</f>
        <v>May</v>
      </c>
      <c r="C161" s="13" t="str">
        <f t="array" ref="C161">XLOOKUP(D161,'Regional Details'!$B$14:$B$29,'Regional Details'!$A$14:$A$29)</f>
        <v>East</v>
      </c>
      <c r="D161" s="13" t="s">
        <v>25</v>
      </c>
      <c r="E161" s="13" t="s">
        <v>29</v>
      </c>
      <c r="F161" s="13">
        <v>40690.0</v>
      </c>
      <c r="G161" s="13">
        <v>46387.0</v>
      </c>
      <c r="H161" s="14">
        <f t="array" ref="H161">XLOOKUP(D161,'Regional Details'!$B$14:$B$29,'Regional Details'!$C$14:$C$29)</f>
        <v>0.05</v>
      </c>
      <c r="I161" s="13">
        <f t="shared" si="2"/>
        <v>60</v>
      </c>
      <c r="J161" s="13">
        <f t="shared" si="3"/>
        <v>57</v>
      </c>
      <c r="K161" s="15">
        <f t="shared" si="4"/>
        <v>2319330</v>
      </c>
      <c r="L161" s="13">
        <f t="shared" si="5"/>
        <v>2783220</v>
      </c>
      <c r="M161" s="13">
        <f t="shared" si="6"/>
        <v>33.75</v>
      </c>
      <c r="N161" s="13">
        <f t="shared" si="7"/>
        <v>29.89</v>
      </c>
      <c r="O161" s="13">
        <f t="shared" ref="O161:P161" si="166">M161*F161</f>
        <v>1373287.5</v>
      </c>
      <c r="P161" s="13">
        <f t="shared" si="166"/>
        <v>1386507.43</v>
      </c>
      <c r="Q161" s="13"/>
    </row>
    <row r="162" ht="15.75" customHeight="1">
      <c r="A162" s="13" t="s">
        <v>61</v>
      </c>
      <c r="B162" s="13" t="str">
        <f t="array" ref="B162">XLOOKUP(A162,Abbreviation!$A$17:$A$22,Abbreviation!$B$17:$B$22)</f>
        <v>June</v>
      </c>
      <c r="C162" s="13" t="str">
        <f t="array" ref="C162">XLOOKUP(D162,'Regional Details'!$B$14:$B$29,'Regional Details'!$A$14:$A$29)</f>
        <v>North</v>
      </c>
      <c r="D162" s="13" t="s">
        <v>12</v>
      </c>
      <c r="E162" s="13" t="s">
        <v>31</v>
      </c>
      <c r="F162" s="13">
        <v>45144.0</v>
      </c>
      <c r="G162" s="13">
        <v>54173.0</v>
      </c>
      <c r="H162" s="14">
        <f t="array" ref="H162">XLOOKUP(D162,'Regional Details'!$B$14:$B$29,'Regional Details'!$C$14:$C$29)</f>
        <v>0</v>
      </c>
      <c r="I162" s="13">
        <f t="shared" si="2"/>
        <v>135</v>
      </c>
      <c r="J162" s="13">
        <f t="shared" si="3"/>
        <v>135</v>
      </c>
      <c r="K162" s="15">
        <f t="shared" si="4"/>
        <v>6094440</v>
      </c>
      <c r="L162" s="13">
        <f t="shared" si="5"/>
        <v>7313355</v>
      </c>
      <c r="M162" s="13">
        <f t="shared" si="6"/>
        <v>74.03</v>
      </c>
      <c r="N162" s="13">
        <f t="shared" si="7"/>
        <v>73.16</v>
      </c>
      <c r="O162" s="13">
        <f t="shared" ref="O162:P162" si="167">M162*F162</f>
        <v>3342010.32</v>
      </c>
      <c r="P162" s="13">
        <f t="shared" si="167"/>
        <v>3963296.68</v>
      </c>
      <c r="Q162" s="13"/>
    </row>
    <row r="163" ht="15.75" customHeight="1">
      <c r="A163" s="13" t="s">
        <v>61</v>
      </c>
      <c r="B163" s="13" t="str">
        <f t="array" ref="B163">XLOOKUP(A163,Abbreviation!$A$17:$A$22,Abbreviation!$B$17:$B$22)</f>
        <v>June</v>
      </c>
      <c r="C163" s="13" t="str">
        <f t="array" ref="C163">XLOOKUP(D163,'Regional Details'!$B$14:$B$29,'Regional Details'!$A$14:$A$29)</f>
        <v>North</v>
      </c>
      <c r="D163" s="13" t="s">
        <v>12</v>
      </c>
      <c r="E163" s="13" t="s">
        <v>29</v>
      </c>
      <c r="F163" s="13">
        <v>34369.0</v>
      </c>
      <c r="G163" s="13">
        <v>38493.0</v>
      </c>
      <c r="H163" s="14">
        <f t="array" ref="H163">XLOOKUP(D163,'Regional Details'!$B$14:$B$29,'Regional Details'!$C$14:$C$29)</f>
        <v>0</v>
      </c>
      <c r="I163" s="13">
        <f t="shared" si="2"/>
        <v>60</v>
      </c>
      <c r="J163" s="13">
        <f t="shared" si="3"/>
        <v>60</v>
      </c>
      <c r="K163" s="15">
        <f t="shared" si="4"/>
        <v>2062140</v>
      </c>
      <c r="L163" s="13">
        <f t="shared" si="5"/>
        <v>2309580</v>
      </c>
      <c r="M163" s="13">
        <f t="shared" si="6"/>
        <v>33.75</v>
      </c>
      <c r="N163" s="13">
        <f t="shared" si="7"/>
        <v>29.89</v>
      </c>
      <c r="O163" s="13">
        <f t="shared" ref="O163:P163" si="168">M163*F163</f>
        <v>1159953.75</v>
      </c>
      <c r="P163" s="13">
        <f t="shared" si="168"/>
        <v>1150555.77</v>
      </c>
      <c r="Q163" s="13"/>
    </row>
    <row r="164" ht="15.75" customHeight="1">
      <c r="A164" s="13" t="s">
        <v>61</v>
      </c>
      <c r="B164" s="13" t="str">
        <f t="array" ref="B164">XLOOKUP(A164,Abbreviation!$A$17:$A$22,Abbreviation!$B$17:$B$22)</f>
        <v>June</v>
      </c>
      <c r="C164" s="13" t="str">
        <f t="array" ref="C164">XLOOKUP(D164,'Regional Details'!$B$14:$B$29,'Regional Details'!$A$14:$A$29)</f>
        <v>East</v>
      </c>
      <c r="D164" s="13" t="s">
        <v>13</v>
      </c>
      <c r="E164" s="13" t="s">
        <v>31</v>
      </c>
      <c r="F164" s="13">
        <v>23879.0</v>
      </c>
      <c r="G164" s="13">
        <v>29610.0</v>
      </c>
      <c r="H164" s="14">
        <f t="array" ref="H164">XLOOKUP(D164,'Regional Details'!$B$14:$B$29,'Regional Details'!$C$14:$C$29)</f>
        <v>0</v>
      </c>
      <c r="I164" s="13">
        <f t="shared" si="2"/>
        <v>135</v>
      </c>
      <c r="J164" s="13">
        <f t="shared" si="3"/>
        <v>135</v>
      </c>
      <c r="K164" s="15">
        <f t="shared" si="4"/>
        <v>3223665</v>
      </c>
      <c r="L164" s="13">
        <f t="shared" si="5"/>
        <v>3997350</v>
      </c>
      <c r="M164" s="13">
        <f t="shared" si="6"/>
        <v>74.03</v>
      </c>
      <c r="N164" s="13">
        <f t="shared" si="7"/>
        <v>73.16</v>
      </c>
      <c r="O164" s="13">
        <f t="shared" ref="O164:P164" si="169">M164*F164</f>
        <v>1767762.37</v>
      </c>
      <c r="P164" s="13">
        <f t="shared" si="169"/>
        <v>2166267.6</v>
      </c>
      <c r="Q164" s="13"/>
    </row>
    <row r="165" ht="15.75" customHeight="1">
      <c r="A165" s="13" t="s">
        <v>61</v>
      </c>
      <c r="B165" s="13" t="str">
        <f t="array" ref="B165">XLOOKUP(A165,Abbreviation!$A$17:$A$22,Abbreviation!$B$17:$B$22)</f>
        <v>June</v>
      </c>
      <c r="C165" s="13" t="str">
        <f t="array" ref="C165">XLOOKUP(D165,'Regional Details'!$B$14:$B$29,'Regional Details'!$A$14:$A$29)</f>
        <v>East</v>
      </c>
      <c r="D165" s="13" t="s">
        <v>13</v>
      </c>
      <c r="E165" s="13" t="s">
        <v>29</v>
      </c>
      <c r="F165" s="13">
        <v>48568.0</v>
      </c>
      <c r="G165" s="13">
        <v>58767.0</v>
      </c>
      <c r="H165" s="14">
        <f t="array" ref="H165">XLOOKUP(D165,'Regional Details'!$B$14:$B$29,'Regional Details'!$C$14:$C$29)</f>
        <v>0</v>
      </c>
      <c r="I165" s="13">
        <f t="shared" si="2"/>
        <v>60</v>
      </c>
      <c r="J165" s="13">
        <f t="shared" si="3"/>
        <v>60</v>
      </c>
      <c r="K165" s="15">
        <f t="shared" si="4"/>
        <v>2914080</v>
      </c>
      <c r="L165" s="13">
        <f t="shared" si="5"/>
        <v>3526020</v>
      </c>
      <c r="M165" s="13">
        <f t="shared" si="6"/>
        <v>33.75</v>
      </c>
      <c r="N165" s="13">
        <f t="shared" si="7"/>
        <v>29.89</v>
      </c>
      <c r="O165" s="13">
        <f t="shared" ref="O165:P165" si="170">M165*F165</f>
        <v>1639170</v>
      </c>
      <c r="P165" s="13">
        <f t="shared" si="170"/>
        <v>1756545.63</v>
      </c>
      <c r="Q165" s="13"/>
    </row>
    <row r="166" ht="15.75" customHeight="1">
      <c r="A166" s="13" t="s">
        <v>61</v>
      </c>
      <c r="B166" s="13" t="str">
        <f t="array" ref="B166">XLOOKUP(A166,Abbreviation!$A$17:$A$22,Abbreviation!$B$17:$B$22)</f>
        <v>June</v>
      </c>
      <c r="C166" s="13" t="str">
        <f t="array" ref="C166">XLOOKUP(D166,'Regional Details'!$B$14:$B$29,'Regional Details'!$A$14:$A$29)</f>
        <v>West</v>
      </c>
      <c r="D166" s="13" t="s">
        <v>14</v>
      </c>
      <c r="E166" s="13" t="s">
        <v>31</v>
      </c>
      <c r="F166" s="13">
        <v>29074.0</v>
      </c>
      <c r="G166" s="13">
        <v>36052.0</v>
      </c>
      <c r="H166" s="14">
        <f t="array" ref="H166">XLOOKUP(D166,'Regional Details'!$B$14:$B$29,'Regional Details'!$C$14:$C$29)</f>
        <v>0</v>
      </c>
      <c r="I166" s="13">
        <f t="shared" si="2"/>
        <v>135</v>
      </c>
      <c r="J166" s="13">
        <f t="shared" si="3"/>
        <v>135</v>
      </c>
      <c r="K166" s="15">
        <f t="shared" si="4"/>
        <v>3924990</v>
      </c>
      <c r="L166" s="13">
        <f t="shared" si="5"/>
        <v>4867020</v>
      </c>
      <c r="M166" s="13">
        <f t="shared" si="6"/>
        <v>74.03</v>
      </c>
      <c r="N166" s="13">
        <f t="shared" si="7"/>
        <v>73.16</v>
      </c>
      <c r="O166" s="13">
        <f t="shared" ref="O166:P166" si="171">M166*F166</f>
        <v>2152348.22</v>
      </c>
      <c r="P166" s="13">
        <f t="shared" si="171"/>
        <v>2637564.32</v>
      </c>
      <c r="Q166" s="13"/>
    </row>
    <row r="167" ht="15.75" customHeight="1">
      <c r="A167" s="13" t="s">
        <v>61</v>
      </c>
      <c r="B167" s="13" t="str">
        <f t="array" ref="B167">XLOOKUP(A167,Abbreviation!$A$17:$A$22,Abbreviation!$B$17:$B$22)</f>
        <v>June</v>
      </c>
      <c r="C167" s="13" t="str">
        <f t="array" ref="C167">XLOOKUP(D167,'Regional Details'!$B$14:$B$29,'Regional Details'!$A$14:$A$29)</f>
        <v>West</v>
      </c>
      <c r="D167" s="13" t="s">
        <v>14</v>
      </c>
      <c r="E167" s="13" t="s">
        <v>29</v>
      </c>
      <c r="F167" s="13">
        <v>34634.0</v>
      </c>
      <c r="G167" s="13">
        <v>41907.0</v>
      </c>
      <c r="H167" s="14">
        <f t="array" ref="H167">XLOOKUP(D167,'Regional Details'!$B$14:$B$29,'Regional Details'!$C$14:$C$29)</f>
        <v>0</v>
      </c>
      <c r="I167" s="13">
        <f t="shared" si="2"/>
        <v>60</v>
      </c>
      <c r="J167" s="13">
        <f t="shared" si="3"/>
        <v>60</v>
      </c>
      <c r="K167" s="15">
        <f t="shared" si="4"/>
        <v>2078040</v>
      </c>
      <c r="L167" s="13">
        <f t="shared" si="5"/>
        <v>2514420</v>
      </c>
      <c r="M167" s="13">
        <f t="shared" si="6"/>
        <v>33.75</v>
      </c>
      <c r="N167" s="13">
        <f t="shared" si="7"/>
        <v>29.89</v>
      </c>
      <c r="O167" s="13">
        <f t="shared" ref="O167:P167" si="172">M167*F167</f>
        <v>1168897.5</v>
      </c>
      <c r="P167" s="13">
        <f t="shared" si="172"/>
        <v>1252600.23</v>
      </c>
      <c r="Q167" s="13"/>
    </row>
    <row r="168" ht="15.75" customHeight="1">
      <c r="A168" s="13" t="s">
        <v>61</v>
      </c>
      <c r="B168" s="13" t="str">
        <f t="array" ref="B168">XLOOKUP(A168,Abbreviation!$A$17:$A$22,Abbreviation!$B$17:$B$22)</f>
        <v>June</v>
      </c>
      <c r="C168" s="13" t="str">
        <f t="array" ref="C168">XLOOKUP(D168,'Regional Details'!$B$14:$B$29,'Regional Details'!$A$14:$A$29)</f>
        <v>South</v>
      </c>
      <c r="D168" s="13" t="s">
        <v>15</v>
      </c>
      <c r="E168" s="13" t="s">
        <v>31</v>
      </c>
      <c r="F168" s="13">
        <v>54884.0</v>
      </c>
      <c r="G168" s="13">
        <v>60921.0</v>
      </c>
      <c r="H168" s="14">
        <f t="array" ref="H168">XLOOKUP(D168,'Regional Details'!$B$14:$B$29,'Regional Details'!$C$14:$C$29)</f>
        <v>0</v>
      </c>
      <c r="I168" s="13">
        <f t="shared" si="2"/>
        <v>135</v>
      </c>
      <c r="J168" s="13">
        <f t="shared" si="3"/>
        <v>135</v>
      </c>
      <c r="K168" s="15">
        <f t="shared" si="4"/>
        <v>7409340</v>
      </c>
      <c r="L168" s="13">
        <f t="shared" si="5"/>
        <v>8224335</v>
      </c>
      <c r="M168" s="13">
        <f t="shared" si="6"/>
        <v>74.03</v>
      </c>
      <c r="N168" s="13">
        <f t="shared" si="7"/>
        <v>73.16</v>
      </c>
      <c r="O168" s="13">
        <f t="shared" ref="O168:P168" si="173">M168*F168</f>
        <v>4063062.52</v>
      </c>
      <c r="P168" s="13">
        <f t="shared" si="173"/>
        <v>4456980.36</v>
      </c>
      <c r="Q168" s="13"/>
    </row>
    <row r="169" ht="15.75" customHeight="1">
      <c r="A169" s="13" t="s">
        <v>61</v>
      </c>
      <c r="B169" s="13" t="str">
        <f t="array" ref="B169">XLOOKUP(A169,Abbreviation!$A$17:$A$22,Abbreviation!$B$17:$B$22)</f>
        <v>June</v>
      </c>
      <c r="C169" s="13" t="str">
        <f t="array" ref="C169">XLOOKUP(D169,'Regional Details'!$B$14:$B$29,'Regional Details'!$A$14:$A$29)</f>
        <v>South</v>
      </c>
      <c r="D169" s="13" t="s">
        <v>15</v>
      </c>
      <c r="E169" s="13" t="s">
        <v>29</v>
      </c>
      <c r="F169" s="13">
        <v>29269.0</v>
      </c>
      <c r="G169" s="13">
        <v>35708.0</v>
      </c>
      <c r="H169" s="14">
        <f t="array" ref="H169">XLOOKUP(D169,'Regional Details'!$B$14:$B$29,'Regional Details'!$C$14:$C$29)</f>
        <v>0</v>
      </c>
      <c r="I169" s="13">
        <f t="shared" si="2"/>
        <v>60</v>
      </c>
      <c r="J169" s="13">
        <f t="shared" si="3"/>
        <v>60</v>
      </c>
      <c r="K169" s="15">
        <f t="shared" si="4"/>
        <v>1756140</v>
      </c>
      <c r="L169" s="13">
        <f t="shared" si="5"/>
        <v>2142480</v>
      </c>
      <c r="M169" s="13">
        <f t="shared" si="6"/>
        <v>33.75</v>
      </c>
      <c r="N169" s="13">
        <f t="shared" si="7"/>
        <v>29.89</v>
      </c>
      <c r="O169" s="13">
        <f t="shared" ref="O169:P169" si="174">M169*F169</f>
        <v>987828.75</v>
      </c>
      <c r="P169" s="13">
        <f t="shared" si="174"/>
        <v>1067312.12</v>
      </c>
      <c r="Q169" s="13"/>
    </row>
    <row r="170" ht="15.75" customHeight="1">
      <c r="A170" s="13" t="s">
        <v>61</v>
      </c>
      <c r="B170" s="13" t="str">
        <f t="array" ref="B170">XLOOKUP(A170,Abbreviation!$A$17:$A$22,Abbreviation!$B$17:$B$22)</f>
        <v>June</v>
      </c>
      <c r="C170" s="13" t="str">
        <f t="array" ref="C170">XLOOKUP(D170,'Regional Details'!$B$14:$B$29,'Regional Details'!$A$14:$A$29)</f>
        <v>North</v>
      </c>
      <c r="D170" s="13" t="s">
        <v>16</v>
      </c>
      <c r="E170" s="13" t="s">
        <v>31</v>
      </c>
      <c r="F170" s="13">
        <v>48329.0</v>
      </c>
      <c r="G170" s="13">
        <v>59928.0</v>
      </c>
      <c r="H170" s="14">
        <f t="array" ref="H170">XLOOKUP(D170,'Regional Details'!$B$14:$B$29,'Regional Details'!$C$14:$C$29)</f>
        <v>0</v>
      </c>
      <c r="I170" s="13">
        <f t="shared" si="2"/>
        <v>135</v>
      </c>
      <c r="J170" s="13">
        <f t="shared" si="3"/>
        <v>135</v>
      </c>
      <c r="K170" s="15">
        <f t="shared" si="4"/>
        <v>6524415</v>
      </c>
      <c r="L170" s="13">
        <f t="shared" si="5"/>
        <v>8090280</v>
      </c>
      <c r="M170" s="13">
        <f t="shared" si="6"/>
        <v>74.03</v>
      </c>
      <c r="N170" s="13">
        <f t="shared" si="7"/>
        <v>73.16</v>
      </c>
      <c r="O170" s="13">
        <f t="shared" ref="O170:P170" si="175">M170*F170</f>
        <v>3577795.87</v>
      </c>
      <c r="P170" s="13">
        <f t="shared" si="175"/>
        <v>4384332.48</v>
      </c>
      <c r="Q170" s="13"/>
    </row>
    <row r="171" ht="15.75" customHeight="1">
      <c r="A171" s="13" t="s">
        <v>61</v>
      </c>
      <c r="B171" s="13" t="str">
        <f t="array" ref="B171">XLOOKUP(A171,Abbreviation!$A$17:$A$22,Abbreviation!$B$17:$B$22)</f>
        <v>June</v>
      </c>
      <c r="C171" s="13" t="str">
        <f t="array" ref="C171">XLOOKUP(D171,'Regional Details'!$B$14:$B$29,'Regional Details'!$A$14:$A$29)</f>
        <v>North</v>
      </c>
      <c r="D171" s="13" t="s">
        <v>16</v>
      </c>
      <c r="E171" s="13" t="s">
        <v>29</v>
      </c>
      <c r="F171" s="13">
        <v>49606.0</v>
      </c>
      <c r="G171" s="13">
        <v>62008.0</v>
      </c>
      <c r="H171" s="14">
        <f t="array" ref="H171">XLOOKUP(D171,'Regional Details'!$B$14:$B$29,'Regional Details'!$C$14:$C$29)</f>
        <v>0</v>
      </c>
      <c r="I171" s="13">
        <f t="shared" si="2"/>
        <v>60</v>
      </c>
      <c r="J171" s="13">
        <f t="shared" si="3"/>
        <v>60</v>
      </c>
      <c r="K171" s="15">
        <f t="shared" si="4"/>
        <v>2976360</v>
      </c>
      <c r="L171" s="13">
        <f t="shared" si="5"/>
        <v>3720480</v>
      </c>
      <c r="M171" s="13">
        <f t="shared" si="6"/>
        <v>33.75</v>
      </c>
      <c r="N171" s="13">
        <f t="shared" si="7"/>
        <v>29.89</v>
      </c>
      <c r="O171" s="13">
        <f t="shared" ref="O171:P171" si="176">M171*F171</f>
        <v>1674202.5</v>
      </c>
      <c r="P171" s="13">
        <f t="shared" si="176"/>
        <v>1853419.12</v>
      </c>
      <c r="Q171" s="13"/>
    </row>
    <row r="172" ht="15.75" customHeight="1">
      <c r="A172" s="13" t="s">
        <v>61</v>
      </c>
      <c r="B172" s="13" t="str">
        <f t="array" ref="B172">XLOOKUP(A172,Abbreviation!$A$17:$A$22,Abbreviation!$B$17:$B$22)</f>
        <v>June</v>
      </c>
      <c r="C172" s="13" t="str">
        <f t="array" ref="C172">XLOOKUP(D172,'Regional Details'!$B$14:$B$29,'Regional Details'!$A$14:$A$29)</f>
        <v>East</v>
      </c>
      <c r="D172" s="13" t="s">
        <v>17</v>
      </c>
      <c r="E172" s="13" t="s">
        <v>31</v>
      </c>
      <c r="F172" s="13">
        <v>15617.0</v>
      </c>
      <c r="G172" s="13">
        <v>16242.0</v>
      </c>
      <c r="H172" s="16">
        <f t="array" ref="H172">XLOOKUP(D172,'Regional Details'!$B$14:$B$29,'Regional Details'!$C$14:$C$29)</f>
        <v>0.125</v>
      </c>
      <c r="I172" s="13">
        <f t="shared" si="2"/>
        <v>135</v>
      </c>
      <c r="J172" s="13">
        <f t="shared" si="3"/>
        <v>118.125</v>
      </c>
      <c r="K172" s="15">
        <f t="shared" si="4"/>
        <v>1844758.125</v>
      </c>
      <c r="L172" s="13">
        <f t="shared" si="5"/>
        <v>2192670</v>
      </c>
      <c r="M172" s="13">
        <f t="shared" si="6"/>
        <v>74.03</v>
      </c>
      <c r="N172" s="13">
        <f t="shared" si="7"/>
        <v>73.16</v>
      </c>
      <c r="O172" s="13">
        <f t="shared" ref="O172:P172" si="177">M172*F172</f>
        <v>1156126.51</v>
      </c>
      <c r="P172" s="13">
        <f t="shared" si="177"/>
        <v>1188264.72</v>
      </c>
      <c r="Q172" s="13"/>
    </row>
    <row r="173" ht="15.75" customHeight="1">
      <c r="A173" s="13" t="s">
        <v>61</v>
      </c>
      <c r="B173" s="13" t="str">
        <f t="array" ref="B173">XLOOKUP(A173,Abbreviation!$A$17:$A$22,Abbreviation!$B$17:$B$22)</f>
        <v>June</v>
      </c>
      <c r="C173" s="13" t="str">
        <f t="array" ref="C173">XLOOKUP(D173,'Regional Details'!$B$14:$B$29,'Regional Details'!$A$14:$A$29)</f>
        <v>East</v>
      </c>
      <c r="D173" s="13" t="s">
        <v>17</v>
      </c>
      <c r="E173" s="13" t="s">
        <v>29</v>
      </c>
      <c r="F173" s="13">
        <v>22965.0</v>
      </c>
      <c r="G173" s="13">
        <v>23884.0</v>
      </c>
      <c r="H173" s="16">
        <f t="array" ref="H173">XLOOKUP(D173,'Regional Details'!$B$14:$B$29,'Regional Details'!$C$14:$C$29)</f>
        <v>0.125</v>
      </c>
      <c r="I173" s="13">
        <f t="shared" si="2"/>
        <v>60</v>
      </c>
      <c r="J173" s="13">
        <f t="shared" si="3"/>
        <v>52.5</v>
      </c>
      <c r="K173" s="15">
        <f t="shared" si="4"/>
        <v>1205662.5</v>
      </c>
      <c r="L173" s="13">
        <f t="shared" si="5"/>
        <v>1433040</v>
      </c>
      <c r="M173" s="13">
        <f t="shared" si="6"/>
        <v>33.75</v>
      </c>
      <c r="N173" s="13">
        <f t="shared" si="7"/>
        <v>29.89</v>
      </c>
      <c r="O173" s="13">
        <f t="shared" ref="O173:P173" si="178">M173*F173</f>
        <v>775068.75</v>
      </c>
      <c r="P173" s="13">
        <f t="shared" si="178"/>
        <v>713892.76</v>
      </c>
      <c r="Q173" s="13"/>
    </row>
    <row r="174" ht="15.75" customHeight="1">
      <c r="A174" s="13" t="s">
        <v>61</v>
      </c>
      <c r="B174" s="13" t="str">
        <f t="array" ref="B174">XLOOKUP(A174,Abbreviation!$A$17:$A$22,Abbreviation!$B$17:$B$22)</f>
        <v>June</v>
      </c>
      <c r="C174" s="13" t="str">
        <f t="array" ref="C174">XLOOKUP(D174,'Regional Details'!$B$14:$B$29,'Regional Details'!$A$14:$A$29)</f>
        <v>West</v>
      </c>
      <c r="D174" s="13" t="s">
        <v>18</v>
      </c>
      <c r="E174" s="13" t="s">
        <v>31</v>
      </c>
      <c r="F174" s="13">
        <v>41023.0</v>
      </c>
      <c r="G174" s="13">
        <v>46766.0</v>
      </c>
      <c r="H174" s="14">
        <f t="array" ref="H174">XLOOKUP(D174,'Regional Details'!$B$14:$B$29,'Regional Details'!$C$14:$C$29)</f>
        <v>0</v>
      </c>
      <c r="I174" s="13">
        <f t="shared" si="2"/>
        <v>135</v>
      </c>
      <c r="J174" s="13">
        <f t="shared" si="3"/>
        <v>135</v>
      </c>
      <c r="K174" s="15">
        <f t="shared" si="4"/>
        <v>5538105</v>
      </c>
      <c r="L174" s="13">
        <f t="shared" si="5"/>
        <v>6313410</v>
      </c>
      <c r="M174" s="13">
        <f t="shared" si="6"/>
        <v>74.03</v>
      </c>
      <c r="N174" s="13">
        <f t="shared" si="7"/>
        <v>73.16</v>
      </c>
      <c r="O174" s="13">
        <f t="shared" ref="O174:P174" si="179">M174*F174</f>
        <v>3036932.69</v>
      </c>
      <c r="P174" s="13">
        <f t="shared" si="179"/>
        <v>3421400.56</v>
      </c>
      <c r="Q174" s="13"/>
    </row>
    <row r="175" ht="15.75" customHeight="1">
      <c r="A175" s="13" t="s">
        <v>61</v>
      </c>
      <c r="B175" s="13" t="str">
        <f t="array" ref="B175">XLOOKUP(A175,Abbreviation!$A$17:$A$22,Abbreviation!$B$17:$B$22)</f>
        <v>June</v>
      </c>
      <c r="C175" s="13" t="str">
        <f t="array" ref="C175">XLOOKUP(D175,'Regional Details'!$B$14:$B$29,'Regional Details'!$A$14:$A$29)</f>
        <v>West</v>
      </c>
      <c r="D175" s="13" t="s">
        <v>18</v>
      </c>
      <c r="E175" s="13" t="s">
        <v>29</v>
      </c>
      <c r="F175" s="13">
        <v>24476.0</v>
      </c>
      <c r="G175" s="13">
        <v>29126.0</v>
      </c>
      <c r="H175" s="14">
        <f t="array" ref="H175">XLOOKUP(D175,'Regional Details'!$B$14:$B$29,'Regional Details'!$C$14:$C$29)</f>
        <v>0</v>
      </c>
      <c r="I175" s="13">
        <f t="shared" si="2"/>
        <v>60</v>
      </c>
      <c r="J175" s="13">
        <f t="shared" si="3"/>
        <v>60</v>
      </c>
      <c r="K175" s="15">
        <f t="shared" si="4"/>
        <v>1468560</v>
      </c>
      <c r="L175" s="13">
        <f t="shared" si="5"/>
        <v>1747560</v>
      </c>
      <c r="M175" s="13">
        <f t="shared" si="6"/>
        <v>33.75</v>
      </c>
      <c r="N175" s="13">
        <f t="shared" si="7"/>
        <v>29.89</v>
      </c>
      <c r="O175" s="13">
        <f t="shared" ref="O175:P175" si="180">M175*F175</f>
        <v>826065</v>
      </c>
      <c r="P175" s="13">
        <f t="shared" si="180"/>
        <v>870576.14</v>
      </c>
      <c r="Q175" s="13"/>
    </row>
    <row r="176" ht="15.75" customHeight="1">
      <c r="A176" s="13" t="s">
        <v>61</v>
      </c>
      <c r="B176" s="13" t="str">
        <f t="array" ref="B176">XLOOKUP(A176,Abbreviation!$A$17:$A$22,Abbreviation!$B$17:$B$22)</f>
        <v>June</v>
      </c>
      <c r="C176" s="13" t="str">
        <f t="array" ref="C176">XLOOKUP(D176,'Regional Details'!$B$14:$B$29,'Regional Details'!$A$14:$A$29)</f>
        <v>South</v>
      </c>
      <c r="D176" s="13" t="s">
        <v>19</v>
      </c>
      <c r="E176" s="13" t="s">
        <v>31</v>
      </c>
      <c r="F176" s="13">
        <v>26217.0</v>
      </c>
      <c r="G176" s="13">
        <v>32509.0</v>
      </c>
      <c r="H176" s="14">
        <f t="array" ref="H176">XLOOKUP(D176,'Regional Details'!$B$14:$B$29,'Regional Details'!$C$14:$C$29)</f>
        <v>0</v>
      </c>
      <c r="I176" s="13">
        <f t="shared" si="2"/>
        <v>135</v>
      </c>
      <c r="J176" s="13">
        <f t="shared" si="3"/>
        <v>135</v>
      </c>
      <c r="K176" s="15">
        <f t="shared" si="4"/>
        <v>3539295</v>
      </c>
      <c r="L176" s="13">
        <f t="shared" si="5"/>
        <v>4388715</v>
      </c>
      <c r="M176" s="13">
        <f t="shared" si="6"/>
        <v>74.03</v>
      </c>
      <c r="N176" s="13">
        <f t="shared" si="7"/>
        <v>73.16</v>
      </c>
      <c r="O176" s="13">
        <f t="shared" ref="O176:P176" si="181">M176*F176</f>
        <v>1940844.51</v>
      </c>
      <c r="P176" s="13">
        <f t="shared" si="181"/>
        <v>2378358.44</v>
      </c>
      <c r="Q176" s="13"/>
    </row>
    <row r="177" ht="15.75" customHeight="1">
      <c r="A177" s="13" t="s">
        <v>61</v>
      </c>
      <c r="B177" s="13" t="str">
        <f t="array" ref="B177">XLOOKUP(A177,Abbreviation!$A$17:$A$22,Abbreviation!$B$17:$B$22)</f>
        <v>June</v>
      </c>
      <c r="C177" s="13" t="str">
        <f t="array" ref="C177">XLOOKUP(D177,'Regional Details'!$B$14:$B$29,'Regional Details'!$A$14:$A$29)</f>
        <v>South</v>
      </c>
      <c r="D177" s="13" t="s">
        <v>19</v>
      </c>
      <c r="E177" s="13" t="s">
        <v>29</v>
      </c>
      <c r="F177" s="13">
        <v>28267.0</v>
      </c>
      <c r="G177" s="13">
        <v>33638.0</v>
      </c>
      <c r="H177" s="14">
        <f t="array" ref="H177">XLOOKUP(D177,'Regional Details'!$B$14:$B$29,'Regional Details'!$C$14:$C$29)</f>
        <v>0</v>
      </c>
      <c r="I177" s="13">
        <f t="shared" si="2"/>
        <v>60</v>
      </c>
      <c r="J177" s="13">
        <f t="shared" si="3"/>
        <v>60</v>
      </c>
      <c r="K177" s="15">
        <f t="shared" si="4"/>
        <v>1696020</v>
      </c>
      <c r="L177" s="13">
        <f t="shared" si="5"/>
        <v>2018280</v>
      </c>
      <c r="M177" s="13">
        <f t="shared" si="6"/>
        <v>33.75</v>
      </c>
      <c r="N177" s="13">
        <f t="shared" si="7"/>
        <v>29.89</v>
      </c>
      <c r="O177" s="13">
        <f t="shared" ref="O177:P177" si="182">M177*F177</f>
        <v>954011.25</v>
      </c>
      <c r="P177" s="13">
        <f t="shared" si="182"/>
        <v>1005439.82</v>
      </c>
      <c r="Q177" s="13"/>
    </row>
    <row r="178" ht="15.75" customHeight="1">
      <c r="A178" s="13" t="s">
        <v>61</v>
      </c>
      <c r="B178" s="13" t="str">
        <f t="array" ref="B178">XLOOKUP(A178,Abbreviation!$A$17:$A$22,Abbreviation!$B$17:$B$22)</f>
        <v>June</v>
      </c>
      <c r="C178" s="13" t="str">
        <f t="array" ref="C178">XLOOKUP(D178,'Regional Details'!$B$14:$B$29,'Regional Details'!$A$14:$A$29)</f>
        <v>North</v>
      </c>
      <c r="D178" s="13" t="s">
        <v>20</v>
      </c>
      <c r="E178" s="13" t="s">
        <v>31</v>
      </c>
      <c r="F178" s="13">
        <v>26640.0</v>
      </c>
      <c r="G178" s="13">
        <v>31702.0</v>
      </c>
      <c r="H178" s="14">
        <f t="array" ref="H178">XLOOKUP(D178,'Regional Details'!$B$14:$B$29,'Regional Details'!$C$14:$C$29)</f>
        <v>0.1</v>
      </c>
      <c r="I178" s="13">
        <f t="shared" si="2"/>
        <v>135</v>
      </c>
      <c r="J178" s="13">
        <f t="shared" si="3"/>
        <v>121.5</v>
      </c>
      <c r="K178" s="15">
        <f t="shared" si="4"/>
        <v>3236760</v>
      </c>
      <c r="L178" s="13">
        <f t="shared" si="5"/>
        <v>4279770</v>
      </c>
      <c r="M178" s="13">
        <f t="shared" si="6"/>
        <v>74.03</v>
      </c>
      <c r="N178" s="13">
        <f t="shared" si="7"/>
        <v>73.16</v>
      </c>
      <c r="O178" s="13">
        <f t="shared" ref="O178:P178" si="183">M178*F178</f>
        <v>1972159.2</v>
      </c>
      <c r="P178" s="13">
        <f t="shared" si="183"/>
        <v>2319318.32</v>
      </c>
      <c r="Q178" s="13"/>
    </row>
    <row r="179" ht="15.75" customHeight="1">
      <c r="A179" s="13" t="s">
        <v>61</v>
      </c>
      <c r="B179" s="13" t="str">
        <f t="array" ref="B179">XLOOKUP(A179,Abbreviation!$A$17:$A$22,Abbreviation!$B$17:$B$22)</f>
        <v>June</v>
      </c>
      <c r="C179" s="13" t="str">
        <f t="array" ref="C179">XLOOKUP(D179,'Regional Details'!$B$14:$B$29,'Regional Details'!$A$14:$A$29)</f>
        <v>North</v>
      </c>
      <c r="D179" s="13" t="s">
        <v>20</v>
      </c>
      <c r="E179" s="13" t="s">
        <v>29</v>
      </c>
      <c r="F179" s="13">
        <v>25414.0</v>
      </c>
      <c r="G179" s="13">
        <v>28210.0</v>
      </c>
      <c r="H179" s="14">
        <f t="array" ref="H179">XLOOKUP(D179,'Regional Details'!$B$14:$B$29,'Regional Details'!$C$14:$C$29)</f>
        <v>0.1</v>
      </c>
      <c r="I179" s="13">
        <f t="shared" si="2"/>
        <v>60</v>
      </c>
      <c r="J179" s="13">
        <f t="shared" si="3"/>
        <v>54</v>
      </c>
      <c r="K179" s="15">
        <f t="shared" si="4"/>
        <v>1372356</v>
      </c>
      <c r="L179" s="13">
        <f t="shared" si="5"/>
        <v>1692600</v>
      </c>
      <c r="M179" s="13">
        <f t="shared" si="6"/>
        <v>33.75</v>
      </c>
      <c r="N179" s="13">
        <f t="shared" si="7"/>
        <v>29.89</v>
      </c>
      <c r="O179" s="13">
        <f t="shared" ref="O179:P179" si="184">M179*F179</f>
        <v>857722.5</v>
      </c>
      <c r="P179" s="13">
        <f t="shared" si="184"/>
        <v>843196.9</v>
      </c>
      <c r="Q179" s="13"/>
    </row>
    <row r="180" ht="15.75" customHeight="1">
      <c r="A180" s="13" t="s">
        <v>61</v>
      </c>
      <c r="B180" s="13" t="str">
        <f t="array" ref="B180">XLOOKUP(A180,Abbreviation!$A$17:$A$22,Abbreviation!$B$17:$B$22)</f>
        <v>June</v>
      </c>
      <c r="C180" s="13" t="str">
        <f t="array" ref="C180">XLOOKUP(D180,'Regional Details'!$B$14:$B$29,'Regional Details'!$A$14:$A$29)</f>
        <v>East</v>
      </c>
      <c r="D180" s="13" t="s">
        <v>21</v>
      </c>
      <c r="E180" s="13" t="s">
        <v>31</v>
      </c>
      <c r="F180" s="13">
        <v>30986.0</v>
      </c>
      <c r="G180" s="13">
        <v>32535.0</v>
      </c>
      <c r="H180" s="14">
        <f t="array" ref="H180">XLOOKUP(D180,'Regional Details'!$B$14:$B$29,'Regional Details'!$C$14:$C$29)</f>
        <v>0.05</v>
      </c>
      <c r="I180" s="13">
        <f t="shared" si="2"/>
        <v>135</v>
      </c>
      <c r="J180" s="13">
        <f t="shared" si="3"/>
        <v>128.25</v>
      </c>
      <c r="K180" s="15">
        <f t="shared" si="4"/>
        <v>3973954.5</v>
      </c>
      <c r="L180" s="13">
        <f t="shared" si="5"/>
        <v>4392225</v>
      </c>
      <c r="M180" s="13">
        <f t="shared" si="6"/>
        <v>74.03</v>
      </c>
      <c r="N180" s="13">
        <f t="shared" si="7"/>
        <v>73.16</v>
      </c>
      <c r="O180" s="13">
        <f t="shared" ref="O180:P180" si="185">M180*F180</f>
        <v>2293893.58</v>
      </c>
      <c r="P180" s="13">
        <f t="shared" si="185"/>
        <v>2380260.6</v>
      </c>
      <c r="Q180" s="13"/>
    </row>
    <row r="181" ht="15.75" customHeight="1">
      <c r="A181" s="13" t="s">
        <v>61</v>
      </c>
      <c r="B181" s="13" t="str">
        <f t="array" ref="B181">XLOOKUP(A181,Abbreviation!$A$17:$A$22,Abbreviation!$B$17:$B$22)</f>
        <v>June</v>
      </c>
      <c r="C181" s="13" t="str">
        <f t="array" ref="C181">XLOOKUP(D181,'Regional Details'!$B$14:$B$29,'Regional Details'!$A$14:$A$29)</f>
        <v>East</v>
      </c>
      <c r="D181" s="13" t="s">
        <v>21</v>
      </c>
      <c r="E181" s="13" t="s">
        <v>29</v>
      </c>
      <c r="F181" s="13">
        <v>22275.0</v>
      </c>
      <c r="G181" s="13">
        <v>23389.0</v>
      </c>
      <c r="H181" s="14">
        <f t="array" ref="H181">XLOOKUP(D181,'Regional Details'!$B$14:$B$29,'Regional Details'!$C$14:$C$29)</f>
        <v>0.05</v>
      </c>
      <c r="I181" s="13">
        <f t="shared" si="2"/>
        <v>60</v>
      </c>
      <c r="J181" s="13">
        <f t="shared" si="3"/>
        <v>57</v>
      </c>
      <c r="K181" s="15">
        <f t="shared" si="4"/>
        <v>1269675</v>
      </c>
      <c r="L181" s="13">
        <f t="shared" si="5"/>
        <v>1403340</v>
      </c>
      <c r="M181" s="13">
        <f t="shared" si="6"/>
        <v>33.75</v>
      </c>
      <c r="N181" s="13">
        <f t="shared" si="7"/>
        <v>29.89</v>
      </c>
      <c r="O181" s="13">
        <f t="shared" ref="O181:P181" si="186">M181*F181</f>
        <v>751781.25</v>
      </c>
      <c r="P181" s="13">
        <f t="shared" si="186"/>
        <v>699097.21</v>
      </c>
      <c r="Q181" s="13"/>
    </row>
    <row r="182" ht="15.75" customHeight="1">
      <c r="A182" s="13" t="s">
        <v>61</v>
      </c>
      <c r="B182" s="13" t="str">
        <f t="array" ref="B182">XLOOKUP(A182,Abbreviation!$A$17:$A$22,Abbreviation!$B$17:$B$22)</f>
        <v>June</v>
      </c>
      <c r="C182" s="13" t="str">
        <f t="array" ref="C182">XLOOKUP(D182,'Regional Details'!$B$14:$B$29,'Regional Details'!$A$14:$A$29)</f>
        <v>West</v>
      </c>
      <c r="D182" s="13" t="s">
        <v>22</v>
      </c>
      <c r="E182" s="13" t="s">
        <v>31</v>
      </c>
      <c r="F182" s="13">
        <v>37779.0</v>
      </c>
      <c r="G182" s="13">
        <v>40801.0</v>
      </c>
      <c r="H182" s="14">
        <f t="array" ref="H182">XLOOKUP(D182,'Regional Details'!$B$14:$B$29,'Regional Details'!$C$14:$C$29)</f>
        <v>0.05</v>
      </c>
      <c r="I182" s="13">
        <f t="shared" si="2"/>
        <v>135</v>
      </c>
      <c r="J182" s="13">
        <f t="shared" si="3"/>
        <v>128.25</v>
      </c>
      <c r="K182" s="15">
        <f t="shared" si="4"/>
        <v>4845156.75</v>
      </c>
      <c r="L182" s="13">
        <f t="shared" si="5"/>
        <v>5508135</v>
      </c>
      <c r="M182" s="13">
        <f t="shared" si="6"/>
        <v>74.03</v>
      </c>
      <c r="N182" s="13">
        <f t="shared" si="7"/>
        <v>73.16</v>
      </c>
      <c r="O182" s="13">
        <f t="shared" ref="O182:P182" si="187">M182*F182</f>
        <v>2796779.37</v>
      </c>
      <c r="P182" s="13">
        <f t="shared" si="187"/>
        <v>2985001.16</v>
      </c>
      <c r="Q182" s="13"/>
    </row>
    <row r="183" ht="15.75" customHeight="1">
      <c r="A183" s="13" t="s">
        <v>61</v>
      </c>
      <c r="B183" s="13" t="str">
        <f t="array" ref="B183">XLOOKUP(A183,Abbreviation!$A$17:$A$22,Abbreviation!$B$17:$B$22)</f>
        <v>June</v>
      </c>
      <c r="C183" s="13" t="str">
        <f t="array" ref="C183">XLOOKUP(D183,'Regional Details'!$B$14:$B$29,'Regional Details'!$A$14:$A$29)</f>
        <v>West</v>
      </c>
      <c r="D183" s="13" t="s">
        <v>22</v>
      </c>
      <c r="E183" s="13" t="s">
        <v>29</v>
      </c>
      <c r="F183" s="13">
        <v>30903.0</v>
      </c>
      <c r="G183" s="13">
        <v>32757.0</v>
      </c>
      <c r="H183" s="14">
        <f t="array" ref="H183">XLOOKUP(D183,'Regional Details'!$B$14:$B$29,'Regional Details'!$C$14:$C$29)</f>
        <v>0.05</v>
      </c>
      <c r="I183" s="13">
        <f t="shared" si="2"/>
        <v>60</v>
      </c>
      <c r="J183" s="13">
        <f t="shared" si="3"/>
        <v>57</v>
      </c>
      <c r="K183" s="15">
        <f t="shared" si="4"/>
        <v>1761471</v>
      </c>
      <c r="L183" s="13">
        <f t="shared" si="5"/>
        <v>1965420</v>
      </c>
      <c r="M183" s="13">
        <f t="shared" si="6"/>
        <v>33.75</v>
      </c>
      <c r="N183" s="13">
        <f t="shared" si="7"/>
        <v>29.89</v>
      </c>
      <c r="O183" s="13">
        <f t="shared" ref="O183:P183" si="188">M183*F183</f>
        <v>1042976.25</v>
      </c>
      <c r="P183" s="13">
        <f t="shared" si="188"/>
        <v>979106.73</v>
      </c>
      <c r="Q183" s="13"/>
    </row>
    <row r="184" ht="15.75" customHeight="1">
      <c r="A184" s="13" t="s">
        <v>61</v>
      </c>
      <c r="B184" s="13" t="str">
        <f t="array" ref="B184">XLOOKUP(A184,Abbreviation!$A$17:$A$22,Abbreviation!$B$17:$B$22)</f>
        <v>June</v>
      </c>
      <c r="C184" s="13" t="str">
        <f t="array" ref="C184">XLOOKUP(D184,'Regional Details'!$B$14:$B$29,'Regional Details'!$A$14:$A$29)</f>
        <v>South</v>
      </c>
      <c r="D184" s="13" t="s">
        <v>23</v>
      </c>
      <c r="E184" s="13" t="s">
        <v>31</v>
      </c>
      <c r="F184" s="13">
        <v>52642.0</v>
      </c>
      <c r="G184" s="13">
        <v>62644.0</v>
      </c>
      <c r="H184" s="14">
        <f t="array" ref="H184">XLOOKUP(D184,'Regional Details'!$B$14:$B$29,'Regional Details'!$C$14:$C$29)</f>
        <v>0</v>
      </c>
      <c r="I184" s="13">
        <f t="shared" si="2"/>
        <v>135</v>
      </c>
      <c r="J184" s="13">
        <f t="shared" si="3"/>
        <v>135</v>
      </c>
      <c r="K184" s="15">
        <f t="shared" si="4"/>
        <v>7106670</v>
      </c>
      <c r="L184" s="13">
        <f t="shared" si="5"/>
        <v>8456940</v>
      </c>
      <c r="M184" s="13">
        <f t="shared" si="6"/>
        <v>74.03</v>
      </c>
      <c r="N184" s="13">
        <f t="shared" si="7"/>
        <v>73.16</v>
      </c>
      <c r="O184" s="13">
        <f t="shared" ref="O184:P184" si="189">M184*F184</f>
        <v>3897087.26</v>
      </c>
      <c r="P184" s="13">
        <f t="shared" si="189"/>
        <v>4583035.04</v>
      </c>
      <c r="Q184" s="13"/>
    </row>
    <row r="185" ht="15.75" customHeight="1">
      <c r="A185" s="13" t="s">
        <v>61</v>
      </c>
      <c r="B185" s="13" t="str">
        <f t="array" ref="B185">XLOOKUP(A185,Abbreviation!$A$17:$A$22,Abbreviation!$B$17:$B$22)</f>
        <v>June</v>
      </c>
      <c r="C185" s="13" t="str">
        <f t="array" ref="C185">XLOOKUP(D185,'Regional Details'!$B$14:$B$29,'Regional Details'!$A$14:$A$29)</f>
        <v>South</v>
      </c>
      <c r="D185" s="13" t="s">
        <v>23</v>
      </c>
      <c r="E185" s="13" t="s">
        <v>29</v>
      </c>
      <c r="F185" s="13">
        <v>52660.0</v>
      </c>
      <c r="G185" s="13">
        <v>60032.0</v>
      </c>
      <c r="H185" s="14">
        <f t="array" ref="H185">XLOOKUP(D185,'Regional Details'!$B$14:$B$29,'Regional Details'!$C$14:$C$29)</f>
        <v>0</v>
      </c>
      <c r="I185" s="13">
        <f t="shared" si="2"/>
        <v>60</v>
      </c>
      <c r="J185" s="13">
        <f t="shared" si="3"/>
        <v>60</v>
      </c>
      <c r="K185" s="15">
        <f t="shared" si="4"/>
        <v>3159600</v>
      </c>
      <c r="L185" s="13">
        <f t="shared" si="5"/>
        <v>3601920</v>
      </c>
      <c r="M185" s="13">
        <f t="shared" si="6"/>
        <v>33.75</v>
      </c>
      <c r="N185" s="13">
        <f t="shared" si="7"/>
        <v>29.89</v>
      </c>
      <c r="O185" s="13">
        <f t="shared" ref="O185:P185" si="190">M185*F185</f>
        <v>1777275</v>
      </c>
      <c r="P185" s="13">
        <f t="shared" si="190"/>
        <v>1794356.48</v>
      </c>
      <c r="Q185" s="13"/>
    </row>
    <row r="186" ht="15.75" customHeight="1">
      <c r="A186" s="13" t="s">
        <v>61</v>
      </c>
      <c r="B186" s="13" t="str">
        <f t="array" ref="B186">XLOOKUP(A186,Abbreviation!$A$17:$A$22,Abbreviation!$B$17:$B$22)</f>
        <v>June</v>
      </c>
      <c r="C186" s="13" t="str">
        <f t="array" ref="C186">XLOOKUP(D186,'Regional Details'!$B$14:$B$29,'Regional Details'!$A$14:$A$29)</f>
        <v>North</v>
      </c>
      <c r="D186" s="13" t="s">
        <v>24</v>
      </c>
      <c r="E186" s="13" t="s">
        <v>31</v>
      </c>
      <c r="F186" s="13">
        <v>25328.0</v>
      </c>
      <c r="G186" s="13">
        <v>25835.0</v>
      </c>
      <c r="H186" s="16">
        <f t="array" ref="H186">XLOOKUP(D186,'Regional Details'!$B$14:$B$29,'Regional Details'!$C$14:$C$29)</f>
        <v>0.125</v>
      </c>
      <c r="I186" s="13">
        <f t="shared" si="2"/>
        <v>135</v>
      </c>
      <c r="J186" s="13">
        <f t="shared" si="3"/>
        <v>118.125</v>
      </c>
      <c r="K186" s="15">
        <f t="shared" si="4"/>
        <v>2991870</v>
      </c>
      <c r="L186" s="13">
        <f t="shared" si="5"/>
        <v>3487725</v>
      </c>
      <c r="M186" s="13">
        <f t="shared" si="6"/>
        <v>74.03</v>
      </c>
      <c r="N186" s="13">
        <f t="shared" si="7"/>
        <v>73.16</v>
      </c>
      <c r="O186" s="13">
        <f t="shared" ref="O186:P186" si="191">M186*F186</f>
        <v>1875031.84</v>
      </c>
      <c r="P186" s="13">
        <f t="shared" si="191"/>
        <v>1890088.6</v>
      </c>
      <c r="Q186" s="13"/>
    </row>
    <row r="187" ht="15.75" customHeight="1">
      <c r="A187" s="13" t="s">
        <v>61</v>
      </c>
      <c r="B187" s="13" t="str">
        <f t="array" ref="B187">XLOOKUP(A187,Abbreviation!$A$17:$A$22,Abbreviation!$B$17:$B$22)</f>
        <v>June</v>
      </c>
      <c r="C187" s="13" t="str">
        <f t="array" ref="C187">XLOOKUP(D187,'Regional Details'!$B$14:$B$29,'Regional Details'!$A$14:$A$29)</f>
        <v>North</v>
      </c>
      <c r="D187" s="13" t="s">
        <v>24</v>
      </c>
      <c r="E187" s="13" t="s">
        <v>29</v>
      </c>
      <c r="F187" s="13">
        <v>15729.0</v>
      </c>
      <c r="G187" s="13">
        <v>16044.0</v>
      </c>
      <c r="H187" s="16">
        <f t="array" ref="H187">XLOOKUP(D187,'Regional Details'!$B$14:$B$29,'Regional Details'!$C$14:$C$29)</f>
        <v>0.125</v>
      </c>
      <c r="I187" s="13">
        <f t="shared" si="2"/>
        <v>60</v>
      </c>
      <c r="J187" s="13">
        <f t="shared" si="3"/>
        <v>52.5</v>
      </c>
      <c r="K187" s="15">
        <f t="shared" si="4"/>
        <v>825772.5</v>
      </c>
      <c r="L187" s="13">
        <f t="shared" si="5"/>
        <v>962640</v>
      </c>
      <c r="M187" s="13">
        <f t="shared" si="6"/>
        <v>33.75</v>
      </c>
      <c r="N187" s="13">
        <f t="shared" si="7"/>
        <v>29.89</v>
      </c>
      <c r="O187" s="13">
        <f t="shared" ref="O187:P187" si="192">M187*F187</f>
        <v>530853.75</v>
      </c>
      <c r="P187" s="13">
        <f t="shared" si="192"/>
        <v>479555.16</v>
      </c>
      <c r="Q187" s="13"/>
    </row>
    <row r="188" ht="15.75" customHeight="1">
      <c r="A188" s="13" t="s">
        <v>61</v>
      </c>
      <c r="B188" s="13" t="str">
        <f t="array" ref="B188">XLOOKUP(A188,Abbreviation!$A$17:$A$22,Abbreviation!$B$17:$B$22)</f>
        <v>June</v>
      </c>
      <c r="C188" s="13" t="str">
        <f t="array" ref="C188">XLOOKUP(D188,'Regional Details'!$B$14:$B$29,'Regional Details'!$A$14:$A$29)</f>
        <v>South</v>
      </c>
      <c r="D188" s="13" t="s">
        <v>27</v>
      </c>
      <c r="E188" s="13" t="s">
        <v>31</v>
      </c>
      <c r="F188" s="13">
        <v>27805.0</v>
      </c>
      <c r="G188" s="13">
        <v>28917.0</v>
      </c>
      <c r="H188" s="14">
        <f t="array" ref="H188">XLOOKUP(D188,'Regional Details'!$B$14:$B$29,'Regional Details'!$C$14:$C$29)</f>
        <v>0.1</v>
      </c>
      <c r="I188" s="13">
        <f t="shared" si="2"/>
        <v>135</v>
      </c>
      <c r="J188" s="13">
        <f t="shared" si="3"/>
        <v>121.5</v>
      </c>
      <c r="K188" s="15">
        <f t="shared" si="4"/>
        <v>3378307.5</v>
      </c>
      <c r="L188" s="13">
        <f t="shared" si="5"/>
        <v>3903795</v>
      </c>
      <c r="M188" s="13">
        <f t="shared" si="6"/>
        <v>74.03</v>
      </c>
      <c r="N188" s="13">
        <f t="shared" si="7"/>
        <v>73.16</v>
      </c>
      <c r="O188" s="13">
        <f t="shared" ref="O188:P188" si="193">M188*F188</f>
        <v>2058404.15</v>
      </c>
      <c r="P188" s="13">
        <f t="shared" si="193"/>
        <v>2115567.72</v>
      </c>
      <c r="Q188" s="13"/>
    </row>
    <row r="189" ht="15.75" customHeight="1">
      <c r="A189" s="13" t="s">
        <v>61</v>
      </c>
      <c r="B189" s="13" t="str">
        <f t="array" ref="B189">XLOOKUP(A189,Abbreviation!$A$17:$A$22,Abbreviation!$B$17:$B$22)</f>
        <v>June</v>
      </c>
      <c r="C189" s="13" t="str">
        <f t="array" ref="C189">XLOOKUP(D189,'Regional Details'!$B$14:$B$29,'Regional Details'!$A$14:$A$29)</f>
        <v>South</v>
      </c>
      <c r="D189" s="13" t="s">
        <v>27</v>
      </c>
      <c r="E189" s="13" t="s">
        <v>29</v>
      </c>
      <c r="F189" s="13">
        <v>18175.0</v>
      </c>
      <c r="G189" s="13">
        <v>19266.0</v>
      </c>
      <c r="H189" s="14">
        <f t="array" ref="H189">XLOOKUP(D189,'Regional Details'!$B$14:$B$29,'Regional Details'!$C$14:$C$29)</f>
        <v>0.1</v>
      </c>
      <c r="I189" s="13">
        <f t="shared" si="2"/>
        <v>60</v>
      </c>
      <c r="J189" s="13">
        <f t="shared" si="3"/>
        <v>54</v>
      </c>
      <c r="K189" s="15">
        <f t="shared" si="4"/>
        <v>981450</v>
      </c>
      <c r="L189" s="13">
        <f t="shared" si="5"/>
        <v>1155960</v>
      </c>
      <c r="M189" s="13">
        <f t="shared" si="6"/>
        <v>33.75</v>
      </c>
      <c r="N189" s="13">
        <f t="shared" si="7"/>
        <v>29.89</v>
      </c>
      <c r="O189" s="13">
        <f t="shared" ref="O189:P189" si="194">M189*F189</f>
        <v>613406.25</v>
      </c>
      <c r="P189" s="13">
        <f t="shared" si="194"/>
        <v>575860.74</v>
      </c>
      <c r="Q189" s="13"/>
    </row>
    <row r="190" ht="15.75" customHeight="1">
      <c r="A190" s="13" t="s">
        <v>61</v>
      </c>
      <c r="B190" s="13" t="str">
        <f t="array" ref="B190">XLOOKUP(A190,Abbreviation!$A$17:$A$22,Abbreviation!$B$17:$B$22)</f>
        <v>June</v>
      </c>
      <c r="C190" s="13" t="str">
        <f t="array" ref="C190">XLOOKUP(D190,'Regional Details'!$B$14:$B$29,'Regional Details'!$A$14:$A$29)</f>
        <v>West</v>
      </c>
      <c r="D190" s="13" t="s">
        <v>26</v>
      </c>
      <c r="E190" s="13" t="s">
        <v>31</v>
      </c>
      <c r="F190" s="13">
        <v>43289.0</v>
      </c>
      <c r="G190" s="13">
        <v>51514.0</v>
      </c>
      <c r="H190" s="14">
        <f t="array" ref="H190">XLOOKUP(D190,'Regional Details'!$B$14:$B$29,'Regional Details'!$C$14:$C$29)</f>
        <v>0</v>
      </c>
      <c r="I190" s="13">
        <f t="shared" si="2"/>
        <v>135</v>
      </c>
      <c r="J190" s="13">
        <f t="shared" si="3"/>
        <v>135</v>
      </c>
      <c r="K190" s="15">
        <f t="shared" si="4"/>
        <v>5844015</v>
      </c>
      <c r="L190" s="13">
        <f t="shared" si="5"/>
        <v>6954390</v>
      </c>
      <c r="M190" s="13">
        <f t="shared" si="6"/>
        <v>74.03</v>
      </c>
      <c r="N190" s="13">
        <f t="shared" si="7"/>
        <v>73.16</v>
      </c>
      <c r="O190" s="13">
        <f t="shared" ref="O190:P190" si="195">M190*F190</f>
        <v>3204684.67</v>
      </c>
      <c r="P190" s="13">
        <f t="shared" si="195"/>
        <v>3768764.24</v>
      </c>
      <c r="Q190" s="13"/>
    </row>
    <row r="191" ht="15.75" customHeight="1">
      <c r="A191" s="13" t="s">
        <v>61</v>
      </c>
      <c r="B191" s="13" t="str">
        <f t="array" ref="B191">XLOOKUP(A191,Abbreviation!$A$17:$A$22,Abbreviation!$B$17:$B$22)</f>
        <v>June</v>
      </c>
      <c r="C191" s="13" t="str">
        <f t="array" ref="C191">XLOOKUP(D191,'Regional Details'!$B$14:$B$29,'Regional Details'!$A$14:$A$29)</f>
        <v>West</v>
      </c>
      <c r="D191" s="13" t="s">
        <v>26</v>
      </c>
      <c r="E191" s="13" t="s">
        <v>29</v>
      </c>
      <c r="F191" s="13">
        <v>33419.0</v>
      </c>
      <c r="G191" s="13">
        <v>41105.0</v>
      </c>
      <c r="H191" s="14">
        <f t="array" ref="H191">XLOOKUP(D191,'Regional Details'!$B$14:$B$29,'Regional Details'!$C$14:$C$29)</f>
        <v>0</v>
      </c>
      <c r="I191" s="13">
        <f t="shared" si="2"/>
        <v>60</v>
      </c>
      <c r="J191" s="13">
        <f t="shared" si="3"/>
        <v>60</v>
      </c>
      <c r="K191" s="15">
        <f t="shared" si="4"/>
        <v>2005140</v>
      </c>
      <c r="L191" s="13">
        <f t="shared" si="5"/>
        <v>2466300</v>
      </c>
      <c r="M191" s="13">
        <f t="shared" si="6"/>
        <v>33.75</v>
      </c>
      <c r="N191" s="13">
        <f t="shared" si="7"/>
        <v>29.89</v>
      </c>
      <c r="O191" s="13">
        <f t="shared" ref="O191:P191" si="196">M191*F191</f>
        <v>1127891.25</v>
      </c>
      <c r="P191" s="13">
        <f t="shared" si="196"/>
        <v>1228628.45</v>
      </c>
      <c r="Q191" s="13"/>
    </row>
    <row r="192" ht="15.75" customHeight="1">
      <c r="A192" s="13" t="s">
        <v>61</v>
      </c>
      <c r="B192" s="13" t="str">
        <f t="array" ref="B192">XLOOKUP(A192,Abbreviation!$A$17:$A$22,Abbreviation!$B$17:$B$22)</f>
        <v>June</v>
      </c>
      <c r="C192" s="13" t="str">
        <f t="array" ref="C192">XLOOKUP(D192,'Regional Details'!$B$14:$B$29,'Regional Details'!$A$14:$A$29)</f>
        <v>East</v>
      </c>
      <c r="D192" s="13" t="s">
        <v>25</v>
      </c>
      <c r="E192" s="13" t="s">
        <v>31</v>
      </c>
      <c r="F192" s="13">
        <v>36992.0</v>
      </c>
      <c r="G192" s="13">
        <v>45130.0</v>
      </c>
      <c r="H192" s="14">
        <f t="array" ref="H192">XLOOKUP(D192,'Regional Details'!$B$14:$B$29,'Regional Details'!$C$14:$C$29)</f>
        <v>0.05</v>
      </c>
      <c r="I192" s="13">
        <f t="shared" si="2"/>
        <v>135</v>
      </c>
      <c r="J192" s="13">
        <f t="shared" si="3"/>
        <v>128.25</v>
      </c>
      <c r="K192" s="15">
        <f t="shared" si="4"/>
        <v>4744224</v>
      </c>
      <c r="L192" s="13">
        <f t="shared" si="5"/>
        <v>6092550</v>
      </c>
      <c r="M192" s="13">
        <f t="shared" si="6"/>
        <v>74.03</v>
      </c>
      <c r="N192" s="13">
        <f t="shared" si="7"/>
        <v>73.16</v>
      </c>
      <c r="O192" s="13">
        <f t="shared" ref="O192:P192" si="197">M192*F192</f>
        <v>2738517.76</v>
      </c>
      <c r="P192" s="13">
        <f t="shared" si="197"/>
        <v>3301710.8</v>
      </c>
      <c r="Q192" s="13"/>
    </row>
    <row r="193" ht="15.75" customHeight="1">
      <c r="A193" s="13" t="s">
        <v>61</v>
      </c>
      <c r="B193" s="13" t="str">
        <f t="array" ref="B193">XLOOKUP(A193,Abbreviation!$A$17:$A$22,Abbreviation!$B$17:$B$22)</f>
        <v>June</v>
      </c>
      <c r="C193" s="13" t="str">
        <f t="array" ref="C193">XLOOKUP(D193,'Regional Details'!$B$14:$B$29,'Regional Details'!$A$14:$A$29)</f>
        <v>East</v>
      </c>
      <c r="D193" s="13" t="s">
        <v>25</v>
      </c>
      <c r="E193" s="13" t="s">
        <v>29</v>
      </c>
      <c r="F193" s="13">
        <v>47607.0</v>
      </c>
      <c r="G193" s="13">
        <v>53320.0</v>
      </c>
      <c r="H193" s="14">
        <f t="array" ref="H193">XLOOKUP(D193,'Regional Details'!$B$14:$B$29,'Regional Details'!$C$14:$C$29)</f>
        <v>0.05</v>
      </c>
      <c r="I193" s="13">
        <f t="shared" si="2"/>
        <v>60</v>
      </c>
      <c r="J193" s="13">
        <f t="shared" si="3"/>
        <v>57</v>
      </c>
      <c r="K193" s="15">
        <f t="shared" si="4"/>
        <v>2713599</v>
      </c>
      <c r="L193" s="13">
        <f t="shared" si="5"/>
        <v>3199200</v>
      </c>
      <c r="M193" s="13">
        <f t="shared" si="6"/>
        <v>33.75</v>
      </c>
      <c r="N193" s="13">
        <f t="shared" si="7"/>
        <v>29.89</v>
      </c>
      <c r="O193" s="13">
        <f t="shared" ref="O193:P193" si="198">M193*F193</f>
        <v>1606736.25</v>
      </c>
      <c r="P193" s="13">
        <f t="shared" si="198"/>
        <v>1593734.8</v>
      </c>
      <c r="Q193" s="13"/>
    </row>
    <row r="194" ht="15.75" customHeight="1">
      <c r="A194" s="13"/>
      <c r="B194" s="13"/>
      <c r="C194" s="13"/>
      <c r="D194" s="13" t="s">
        <v>32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4.88"/>
  </cols>
  <sheetData>
    <row r="1" ht="15.75" customHeight="1">
      <c r="A1" s="17" t="s">
        <v>76</v>
      </c>
      <c r="B1" s="18"/>
      <c r="C1" s="18"/>
      <c r="D1" s="18"/>
      <c r="E1" s="19"/>
      <c r="F1" s="20"/>
      <c r="G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1" t="s">
        <v>0</v>
      </c>
      <c r="B2" s="22" t="s">
        <v>3</v>
      </c>
      <c r="C2" s="18"/>
      <c r="D2" s="18"/>
      <c r="E2" s="19"/>
      <c r="F2" s="20"/>
      <c r="G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21" t="s">
        <v>47</v>
      </c>
      <c r="B3" s="22" t="s">
        <v>32</v>
      </c>
      <c r="C3" s="18"/>
      <c r="D3" s="18"/>
      <c r="E3" s="19"/>
      <c r="F3" s="20"/>
      <c r="G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3" t="s">
        <v>10</v>
      </c>
      <c r="B4" s="24" t="s">
        <v>77</v>
      </c>
      <c r="C4" s="19"/>
      <c r="D4" s="24" t="s">
        <v>78</v>
      </c>
      <c r="E4" s="19"/>
      <c r="F4" s="20"/>
      <c r="G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25"/>
      <c r="B5" s="26" t="s">
        <v>79</v>
      </c>
      <c r="C5" s="26" t="s">
        <v>80</v>
      </c>
      <c r="D5" s="26" t="s">
        <v>79</v>
      </c>
      <c r="E5" s="26" t="s">
        <v>80</v>
      </c>
      <c r="F5" s="20"/>
      <c r="G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6" t="str">
        <f>IFERROR(__xludf.DUMMYFUNCTION("unique(FILTER('Sales Data'!$D$2:$D$193,'Sales Data'!$C$2:$C$193=B2))"),"Pune")</f>
        <v>Pune</v>
      </c>
      <c r="B6" s="26">
        <f>if($B$3="Overall",SUMIFS('Sales Data'!$F:$F,'Sales Data'!$C:$C,$B$2,'Sales Data'!$D:$D,$A6),SUMIFS('Sales Data'!$F:$F,'Sales Data'!$C:$C,$B$2,'Sales Data'!$D:$D,$A6,'Sales Data'!$E:$E,$B$3))</f>
        <v>271261</v>
      </c>
      <c r="C6" s="26">
        <f>if($B$3="Overall",SUMIFS('Sales Data'!$K:$K,'Sales Data'!$C:$C,$B$2,'Sales Data'!$D:$D,$A6),SUMIFS('Sales Data'!$K:$K,'Sales Data'!$C:$C,$B$2,'Sales Data'!$D:$D,$A6,'Sales Data'!$E:$E,$B$3))</f>
        <v>25619910</v>
      </c>
      <c r="D6" s="26">
        <f>if($B$3="Overall",SUMIFS('Sales Data'!$G:$G,'Sales Data'!$C:$C,$B$2,'Sales Data'!$D:$D,$A6),SUMIFS('Sales Data'!$G:$G,'Sales Data'!$C:$C,$B$2,'Sales Data'!$D:$D,$A6,'Sales Data'!$E:$E,$B$3))</f>
        <v>322275</v>
      </c>
      <c r="E6" s="26">
        <f>if($B$3="Overall",SUMIFS('Sales Data'!$L:$L,'Sales Data'!$C:$C,$B$2,'Sales Data'!$D:$D,$A6),SUMIFS('Sales Data'!$L:$L,'Sales Data'!$C:$C,$B$2,'Sales Data'!$D:$D,$A6,'Sales Data'!$E:$E,$B$3))</f>
        <v>30718875</v>
      </c>
      <c r="F6" s="20"/>
      <c r="G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26" t="str">
        <f>IFERROR(__xludf.DUMMYFUNCTION("""COMPUTED_VALUE"""),"Ahmedabad")</f>
        <v>Ahmedabad</v>
      </c>
      <c r="B7" s="26">
        <f>if($B$3="Overall",SUMIFS('Sales Data'!$F:$F,'Sales Data'!$C:$C,$B$2,'Sales Data'!$D:$D,$A7),SUMIFS('Sales Data'!$F:$F,'Sales Data'!$C:$C,$B$2,'Sales Data'!$D:$D,$A7,'Sales Data'!$E:$E,$B$3))</f>
        <v>279086</v>
      </c>
      <c r="C7" s="26">
        <f>if($B$3="Overall",SUMIFS('Sales Data'!$K:$K,'Sales Data'!$C:$C,$B$2,'Sales Data'!$D:$D,$A7),SUMIFS('Sales Data'!$K:$K,'Sales Data'!$C:$C,$B$2,'Sales Data'!$D:$D,$A7,'Sales Data'!$E:$E,$B$3))</f>
        <v>29974110</v>
      </c>
      <c r="D7" s="26">
        <f>if($B$3="Overall",SUMIFS('Sales Data'!$G:$G,'Sales Data'!$C:$C,$B$2,'Sales Data'!$D:$D,$A7),SUMIFS('Sales Data'!$G:$G,'Sales Data'!$C:$C,$B$2,'Sales Data'!$D:$D,$A7,'Sales Data'!$E:$E,$B$3))</f>
        <v>332797</v>
      </c>
      <c r="E7" s="26">
        <f>if($B$3="Overall",SUMIFS('Sales Data'!$L:$L,'Sales Data'!$C:$C,$B$2,'Sales Data'!$D:$D,$A7),SUMIFS('Sales Data'!$L:$L,'Sales Data'!$C:$C,$B$2,'Sales Data'!$D:$D,$A7,'Sales Data'!$E:$E,$B$3))</f>
        <v>35858370</v>
      </c>
      <c r="F7" s="20"/>
      <c r="G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26" t="str">
        <f>IFERROR(__xludf.DUMMYFUNCTION("""COMPUTED_VALUE"""),"Surat")</f>
        <v>Surat</v>
      </c>
      <c r="B8" s="26">
        <f>if($B$3="Overall",SUMIFS('Sales Data'!$F:$F,'Sales Data'!$C:$C,$B$2,'Sales Data'!$D:$D,$A8),SUMIFS('Sales Data'!$F:$F,'Sales Data'!$C:$C,$B$2,'Sales Data'!$D:$D,$A8,'Sales Data'!$E:$E,$B$3))</f>
        <v>290250</v>
      </c>
      <c r="C8" s="27">
        <f>if($B$3="Overall",SUMIFS('Sales Data'!$K:$K,'Sales Data'!$C:$C,$B$2,'Sales Data'!$D:$D,$A8),SUMIFS('Sales Data'!$K:$K,'Sales Data'!$C:$C,$B$2,'Sales Data'!$D:$D,$A8,'Sales Data'!$E:$E,$B$3))</f>
        <v>28019205</v>
      </c>
      <c r="D8" s="26">
        <f>if($B$3="Overall",SUMIFS('Sales Data'!$G:$G,'Sales Data'!$C:$C,$B$2,'Sales Data'!$D:$D,$A8),SUMIFS('Sales Data'!$G:$G,'Sales Data'!$C:$C,$B$2,'Sales Data'!$D:$D,$A8,'Sales Data'!$E:$E,$B$3))</f>
        <v>305211</v>
      </c>
      <c r="E8" s="26">
        <f>if($B$3="Overall",SUMIFS('Sales Data'!$L:$L,'Sales Data'!$C:$C,$B$2,'Sales Data'!$D:$D,$A8),SUMIFS('Sales Data'!$L:$L,'Sales Data'!$C:$C,$B$2,'Sales Data'!$D:$D,$A8,'Sales Data'!$E:$E,$B$3))</f>
        <v>31056135</v>
      </c>
      <c r="F8" s="20"/>
      <c r="G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6" t="str">
        <f>IFERROR(__xludf.DUMMYFUNCTION("""COMPUTED_VALUE"""),"Jaipur")</f>
        <v>Jaipur</v>
      </c>
      <c r="B9" s="26">
        <f>if($B$3="Overall",SUMIFS('Sales Data'!$F:$F,'Sales Data'!$C:$C,$B$2,'Sales Data'!$D:$D,$A9),SUMIFS('Sales Data'!$F:$F,'Sales Data'!$C:$C,$B$2,'Sales Data'!$D:$D,$A9,'Sales Data'!$E:$E,$B$3))</f>
        <v>322072</v>
      </c>
      <c r="C9" s="26">
        <f>if($B$3="Overall",SUMIFS('Sales Data'!$K:$K,'Sales Data'!$C:$C,$B$2,'Sales Data'!$D:$D,$A9),SUMIFS('Sales Data'!$K:$K,'Sales Data'!$C:$C,$B$2,'Sales Data'!$D:$D,$A9,'Sales Data'!$E:$E,$B$3))</f>
        <v>32978895</v>
      </c>
      <c r="D9" s="26">
        <f>if($B$3="Overall",SUMIFS('Sales Data'!$G:$G,'Sales Data'!$C:$C,$B$2,'Sales Data'!$D:$D,$A9),SUMIFS('Sales Data'!$G:$G,'Sales Data'!$C:$C,$B$2,'Sales Data'!$D:$D,$A9,'Sales Data'!$E:$E,$B$3))</f>
        <v>387498</v>
      </c>
      <c r="E9" s="26">
        <f>if($B$3="Overall",SUMIFS('Sales Data'!$L:$L,'Sales Data'!$C:$C,$B$2,'Sales Data'!$D:$D,$A9),SUMIFS('Sales Data'!$L:$L,'Sales Data'!$C:$C,$B$2,'Sales Data'!$D:$D,$A9,'Sales Data'!$E:$E,$B$3))</f>
        <v>39539505</v>
      </c>
      <c r="F9" s="20"/>
      <c r="G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8" t="s">
        <v>81</v>
      </c>
      <c r="B12" s="18"/>
      <c r="C12" s="18"/>
      <c r="D12" s="18"/>
      <c r="E12" s="18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1" t="s">
        <v>10</v>
      </c>
      <c r="B13" s="22" t="s">
        <v>14</v>
      </c>
      <c r="C13" s="18"/>
      <c r="D13" s="18"/>
      <c r="E13" s="18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1" t="s">
        <v>47</v>
      </c>
      <c r="B14" s="22" t="str">
        <f>B3</f>
        <v>Overall</v>
      </c>
      <c r="C14" s="18"/>
      <c r="D14" s="18"/>
      <c r="E14" s="18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3" t="s">
        <v>38</v>
      </c>
      <c r="B15" s="24" t="s">
        <v>77</v>
      </c>
      <c r="C15" s="19"/>
      <c r="D15" s="24" t="s">
        <v>78</v>
      </c>
      <c r="E15" s="19"/>
      <c r="F15" s="29" t="s">
        <v>82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25"/>
      <c r="B16" s="30" t="s">
        <v>79</v>
      </c>
      <c r="C16" s="30" t="s">
        <v>80</v>
      </c>
      <c r="D16" s="30" t="s">
        <v>79</v>
      </c>
      <c r="E16" s="30" t="s">
        <v>80</v>
      </c>
      <c r="F16" s="25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26" t="s">
        <v>52</v>
      </c>
      <c r="B17" s="26">
        <f>if($B$3="Overall",SUMIFS('Sales Data'!$F:$F,'Sales Data'!$B:$B,$A17,'Sales Data'!$C:$C,$B$2,'Sales Data'!$D:$D,$B$13), SUMIFS('Sales Data'!$F:$F,'Sales Data'!$B:$B,$A17,'Sales Data'!$C:$C,$B$2,'Sales Data'!$D:$D,$B$13,'Sales Data'!$E:$E,$B$3))</f>
        <v>29526</v>
      </c>
      <c r="C17" s="26">
        <f>if($B$3="Overall",SUMIFS('Sales Data'!$K:$K,'Sales Data'!$B:$B,$A17,'Sales Data'!$C:$C,$B$2,'Sales Data'!$D:$D,$B$13), SUMIFS('Sales Data'!$K:$K,'Sales Data'!$B:$B,$A17,'Sales Data'!$C:$C,$B$2,'Sales Data'!$D:$D,$B$13,'Sales Data'!$E:$E,$B$3))</f>
        <v>2801085</v>
      </c>
      <c r="D17" s="26">
        <f>if($B$3="Overall",SUMIFS('Sales Data'!$G:$G,'Sales Data'!$B:$B,$A17,'Sales Data'!$C:$C,$B$2,'Sales Data'!$D:$D,$B$13), SUMIFS('Sales Data'!$G:$G,'Sales Data'!$B:$B,$A17,'Sales Data'!$C:$C,$B$2,'Sales Data'!$D:$D,$B$13,'Sales Data'!$E:$E,$B$3))</f>
        <v>34924</v>
      </c>
      <c r="E17" s="31">
        <f>if($B$3="Overall",SUMIFS('Sales Data'!$L:$L,'Sales Data'!$B:$B,$A17,'Sales Data'!$C:$C,$B$2,'Sales Data'!$D:$D,$B$13), SUMIFS('Sales Data'!$L:$L,'Sales Data'!$B:$B,$A17,'Sales Data'!$C:$C,$B$2,'Sales Data'!$D:$D,$B$13,'Sales Data'!$E:$E,$B$3))</f>
        <v>3269115</v>
      </c>
      <c r="F17" s="32">
        <f t="shared" ref="F17:F22" si="1">(D17-B17)/B17</f>
        <v>0.1828219197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26" t="s">
        <v>54</v>
      </c>
      <c r="B18" s="26">
        <f>if($B$3="Overall",SUMIFS('Sales Data'!$F:$F,'Sales Data'!$B:$B,$A18,'Sales Data'!$C:$C,$B$2,'Sales Data'!$D:$D,$B$13), SUMIFS('Sales Data'!$F:$F,'Sales Data'!$B:$B,$A18,'Sales Data'!$C:$C,$B$2,'Sales Data'!$D:$D,$B$13,'Sales Data'!$E:$E,$B$3))</f>
        <v>34566</v>
      </c>
      <c r="C18" s="26">
        <f>if($B$3="Overall",SUMIFS('Sales Data'!$K:$K,'Sales Data'!$B:$B,$A18,'Sales Data'!$C:$C,$B$2,'Sales Data'!$D:$D,$B$13), SUMIFS('Sales Data'!$K:$K,'Sales Data'!$B:$B,$A18,'Sales Data'!$C:$C,$B$2,'Sales Data'!$D:$D,$B$13,'Sales Data'!$E:$E,$B$3))</f>
        <v>3268185</v>
      </c>
      <c r="D18" s="26">
        <f>if($B$3="Overall",SUMIFS('Sales Data'!$G:$G,'Sales Data'!$B:$B,$A18,'Sales Data'!$C:$C,$B$2,'Sales Data'!$D:$D,$B$13), SUMIFS('Sales Data'!$G:$G,'Sales Data'!$B:$B,$A18,'Sales Data'!$C:$C,$B$2,'Sales Data'!$D:$D,$B$13,'Sales Data'!$E:$E,$B$3))</f>
        <v>40893</v>
      </c>
      <c r="E18" s="31">
        <f>if($B$3="Overall",SUMIFS('Sales Data'!$L:$L,'Sales Data'!$B:$B,$A18,'Sales Data'!$C:$C,$B$2,'Sales Data'!$D:$D,$B$13), SUMIFS('Sales Data'!$L:$L,'Sales Data'!$B:$B,$A18,'Sales Data'!$C:$C,$B$2,'Sales Data'!$D:$D,$B$13,'Sales Data'!$E:$E,$B$3))</f>
        <v>3898605</v>
      </c>
      <c r="F18" s="32">
        <f t="shared" si="1"/>
        <v>0.1830411387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6" t="s">
        <v>56</v>
      </c>
      <c r="B19" s="26">
        <f>if($B$3="Overall",SUMIFS('Sales Data'!$F:$F,'Sales Data'!$B:$B,$A19,'Sales Data'!$C:$C,$B$2,'Sales Data'!$D:$D,$B$13), SUMIFS('Sales Data'!$F:$F,'Sales Data'!$B:$B,$A19,'Sales Data'!$C:$C,$B$2,'Sales Data'!$D:$D,$B$13,'Sales Data'!$E:$E,$B$3))</f>
        <v>40788</v>
      </c>
      <c r="C19" s="26">
        <f>if($B$3="Overall",SUMIFS('Sales Data'!$K:$K,'Sales Data'!$B:$B,$A19,'Sales Data'!$C:$C,$B$2,'Sales Data'!$D:$D,$B$13), SUMIFS('Sales Data'!$K:$K,'Sales Data'!$B:$B,$A19,'Sales Data'!$C:$C,$B$2,'Sales Data'!$D:$D,$B$13,'Sales Data'!$E:$E,$B$3))</f>
        <v>3856455</v>
      </c>
      <c r="D19" s="26">
        <f>if($B$3="Overall",SUMIFS('Sales Data'!$G:$G,'Sales Data'!$B:$B,$A19,'Sales Data'!$C:$C,$B$2,'Sales Data'!$D:$D,$B$13), SUMIFS('Sales Data'!$G:$G,'Sales Data'!$B:$B,$A19,'Sales Data'!$C:$C,$B$2,'Sales Data'!$D:$D,$B$13,'Sales Data'!$E:$E,$B$3))</f>
        <v>47309</v>
      </c>
      <c r="E19" s="31">
        <f>if($B$3="Overall",SUMIFS('Sales Data'!$L:$L,'Sales Data'!$B:$B,$A19,'Sales Data'!$C:$C,$B$2,'Sales Data'!$D:$D,$B$13), SUMIFS('Sales Data'!$L:$L,'Sales Data'!$B:$B,$A19,'Sales Data'!$C:$C,$B$2,'Sales Data'!$D:$D,$B$13,'Sales Data'!$E:$E,$B$3))</f>
        <v>4571790</v>
      </c>
      <c r="F19" s="32">
        <f t="shared" si="1"/>
        <v>0.1598754536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6" t="s">
        <v>58</v>
      </c>
      <c r="B20" s="26">
        <f>if($B$3="Overall",SUMIFS('Sales Data'!$F:$F,'Sales Data'!$B:$B,$A20,'Sales Data'!$C:$C,$B$2,'Sales Data'!$D:$D,$B$13), SUMIFS('Sales Data'!$F:$F,'Sales Data'!$B:$B,$A20,'Sales Data'!$C:$C,$B$2,'Sales Data'!$D:$D,$B$13,'Sales Data'!$E:$E,$B$3))</f>
        <v>47534</v>
      </c>
      <c r="C20" s="26">
        <f>if($B$3="Overall",SUMIFS('Sales Data'!$K:$K,'Sales Data'!$B:$B,$A20,'Sales Data'!$C:$C,$B$2,'Sales Data'!$D:$D,$B$13), SUMIFS('Sales Data'!$K:$K,'Sales Data'!$B:$B,$A20,'Sales Data'!$C:$C,$B$2,'Sales Data'!$D:$D,$B$13,'Sales Data'!$E:$E,$B$3))</f>
        <v>4486665</v>
      </c>
      <c r="D20" s="26">
        <f>if($B$3="Overall",SUMIFS('Sales Data'!$G:$G,'Sales Data'!$B:$B,$A20,'Sales Data'!$C:$C,$B$2,'Sales Data'!$D:$D,$B$13), SUMIFS('Sales Data'!$G:$G,'Sales Data'!$B:$B,$A20,'Sales Data'!$C:$C,$B$2,'Sales Data'!$D:$D,$B$13,'Sales Data'!$E:$E,$B$3))</f>
        <v>55160</v>
      </c>
      <c r="E20" s="31">
        <f>if($B$3="Overall",SUMIFS('Sales Data'!$L:$L,'Sales Data'!$B:$B,$A20,'Sales Data'!$C:$C,$B$2,'Sales Data'!$D:$D,$B$13), SUMIFS('Sales Data'!$L:$L,'Sales Data'!$B:$B,$A20,'Sales Data'!$C:$C,$B$2,'Sales Data'!$D:$D,$B$13,'Sales Data'!$E:$E,$B$3))</f>
        <v>5303850</v>
      </c>
      <c r="F20" s="32">
        <f t="shared" si="1"/>
        <v>0.1604325325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6" t="s">
        <v>60</v>
      </c>
      <c r="B21" s="26">
        <f>if($B$3="Overall",SUMIFS('Sales Data'!$F:$F,'Sales Data'!$B:$B,$A21,'Sales Data'!$C:$C,$B$2,'Sales Data'!$D:$D,$B$13), SUMIFS('Sales Data'!$F:$F,'Sales Data'!$B:$B,$A21,'Sales Data'!$C:$C,$B$2,'Sales Data'!$D:$D,$B$13,'Sales Data'!$E:$E,$B$3))</f>
        <v>55139</v>
      </c>
      <c r="C21" s="26">
        <f>if($B$3="Overall",SUMIFS('Sales Data'!$K:$K,'Sales Data'!$B:$B,$A21,'Sales Data'!$C:$C,$B$2,'Sales Data'!$D:$D,$B$13), SUMIFS('Sales Data'!$K:$K,'Sales Data'!$B:$B,$A21,'Sales Data'!$C:$C,$B$2,'Sales Data'!$D:$D,$B$13,'Sales Data'!$E:$E,$B$3))</f>
        <v>5204490</v>
      </c>
      <c r="D21" s="26">
        <f>if($B$3="Overall",SUMIFS('Sales Data'!$G:$G,'Sales Data'!$B:$B,$A21,'Sales Data'!$C:$C,$B$2,'Sales Data'!$D:$D,$B$13), SUMIFS('Sales Data'!$G:$G,'Sales Data'!$B:$B,$A21,'Sales Data'!$C:$C,$B$2,'Sales Data'!$D:$D,$B$13,'Sales Data'!$E:$E,$B$3))</f>
        <v>66030</v>
      </c>
      <c r="E21" s="31">
        <f>if($B$3="Overall",SUMIFS('Sales Data'!$L:$L,'Sales Data'!$B:$B,$A21,'Sales Data'!$C:$C,$B$2,'Sales Data'!$D:$D,$B$13), SUMIFS('Sales Data'!$L:$L,'Sales Data'!$B:$B,$A21,'Sales Data'!$C:$C,$B$2,'Sales Data'!$D:$D,$B$13,'Sales Data'!$E:$E,$B$3))</f>
        <v>6294075</v>
      </c>
      <c r="F21" s="32">
        <f t="shared" si="1"/>
        <v>0.1975189974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6" t="s">
        <v>62</v>
      </c>
      <c r="B22" s="26">
        <f>if($B$3="Overall",SUMIFS('Sales Data'!$F:$F,'Sales Data'!$B:$B,$A22,'Sales Data'!$C:$C,$B$2,'Sales Data'!$D:$D,$B$13), SUMIFS('Sales Data'!$F:$F,'Sales Data'!$B:$B,$A22,'Sales Data'!$C:$C,$B$2,'Sales Data'!$D:$D,$B$13,'Sales Data'!$E:$E,$B$3))</f>
        <v>63708</v>
      </c>
      <c r="C22" s="26">
        <f>if($B$3="Overall",SUMIFS('Sales Data'!$K:$K,'Sales Data'!$B:$B,$A22,'Sales Data'!$C:$C,$B$2,'Sales Data'!$D:$D,$B$13), SUMIFS('Sales Data'!$K:$K,'Sales Data'!$B:$B,$A22,'Sales Data'!$C:$C,$B$2,'Sales Data'!$D:$D,$B$13,'Sales Data'!$E:$E,$B$3))</f>
        <v>6003030</v>
      </c>
      <c r="D22" s="26">
        <f>if($B$3="Overall",SUMIFS('Sales Data'!$G:$G,'Sales Data'!$B:$B,$A22,'Sales Data'!$C:$C,$B$2,'Sales Data'!$D:$D,$B$13), SUMIFS('Sales Data'!$G:$G,'Sales Data'!$B:$B,$A22,'Sales Data'!$C:$C,$B$2,'Sales Data'!$D:$D,$B$13,'Sales Data'!$E:$E,$B$3))</f>
        <v>77959</v>
      </c>
      <c r="E22" s="31">
        <f>if($B$3="Overall",SUMIFS('Sales Data'!$L:$L,'Sales Data'!$B:$B,$A22,'Sales Data'!$C:$C,$B$2,'Sales Data'!$D:$D,$B$13), SUMIFS('Sales Data'!$L:$L,'Sales Data'!$B:$B,$A22,'Sales Data'!$C:$C,$B$2,'Sales Data'!$D:$D,$B$13,'Sales Data'!$E:$E,$B$3))</f>
        <v>7381440</v>
      </c>
      <c r="F22" s="32">
        <f t="shared" si="1"/>
        <v>0.2236924719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13:F13"/>
    <mergeCell ref="B14:F14"/>
    <mergeCell ref="A15:A16"/>
    <mergeCell ref="B15:C15"/>
    <mergeCell ref="D15:E15"/>
    <mergeCell ref="F15:F16"/>
    <mergeCell ref="A1:E1"/>
    <mergeCell ref="B2:E2"/>
    <mergeCell ref="B3:E3"/>
    <mergeCell ref="A4:A5"/>
    <mergeCell ref="B4:C4"/>
    <mergeCell ref="D4:E4"/>
    <mergeCell ref="A12:F12"/>
  </mergeCells>
  <dataValidations>
    <dataValidation type="list" allowBlank="1" showErrorMessage="1" sqref="B2">
      <formula1>'Regional Details'!$A$14:$A$29</formula1>
    </dataValidation>
    <dataValidation type="list" allowBlank="1" showErrorMessage="1" sqref="B13">
      <formula1>'Region-wise Sales'!$A$6:$A$9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13.0"/>
    <col customWidth="1" min="3" max="3" width="16.38"/>
    <col customWidth="1" min="4" max="5" width="15.63"/>
    <col customWidth="1" min="6" max="6" width="12.63"/>
    <col customWidth="1" min="7" max="7" width="14.63"/>
  </cols>
  <sheetData>
    <row r="1" ht="15.75" customHeight="1">
      <c r="A1" s="7" t="s">
        <v>83</v>
      </c>
      <c r="B1" s="7" t="s">
        <v>84</v>
      </c>
    </row>
    <row r="2" ht="15.75" customHeight="1">
      <c r="A2" s="33" t="s">
        <v>31</v>
      </c>
      <c r="B2" s="34">
        <v>300.0</v>
      </c>
    </row>
    <row r="3" ht="15.75" customHeight="1">
      <c r="A3" s="3" t="s">
        <v>29</v>
      </c>
      <c r="B3" s="3">
        <v>200.0</v>
      </c>
    </row>
    <row r="4" ht="15.75" customHeight="1">
      <c r="A4" s="7"/>
      <c r="B4" s="3"/>
    </row>
    <row r="5" ht="15.75" customHeight="1">
      <c r="A5" s="35" t="s">
        <v>85</v>
      </c>
      <c r="D5" s="7"/>
      <c r="E5" s="35" t="s">
        <v>86</v>
      </c>
    </row>
    <row r="6" ht="15.75" customHeight="1">
      <c r="A6" s="7" t="s">
        <v>83</v>
      </c>
      <c r="B6" s="36" t="s">
        <v>87</v>
      </c>
      <c r="C6" s="36" t="s">
        <v>88</v>
      </c>
      <c r="D6" s="6"/>
      <c r="E6" s="7" t="s">
        <v>83</v>
      </c>
      <c r="F6" s="36" t="s">
        <v>87</v>
      </c>
      <c r="G6" s="36" t="s">
        <v>88</v>
      </c>
    </row>
    <row r="7" ht="15.75" customHeight="1">
      <c r="A7" s="33" t="s">
        <v>89</v>
      </c>
      <c r="B7" s="37">
        <v>0.35</v>
      </c>
      <c r="C7" s="6">
        <v>8.0</v>
      </c>
      <c r="D7" s="33"/>
      <c r="E7" s="33" t="s">
        <v>89</v>
      </c>
      <c r="F7" s="37">
        <v>0.42</v>
      </c>
      <c r="G7" s="6">
        <v>8.0</v>
      </c>
    </row>
    <row r="8" ht="15.75" customHeight="1">
      <c r="A8" s="33" t="s">
        <v>90</v>
      </c>
      <c r="B8" s="37">
        <v>0.35</v>
      </c>
      <c r="C8" s="6">
        <v>50.0</v>
      </c>
      <c r="D8" s="33"/>
      <c r="E8" s="33" t="s">
        <v>91</v>
      </c>
      <c r="F8" s="37">
        <v>0.06</v>
      </c>
      <c r="G8" s="6">
        <v>90.0</v>
      </c>
    </row>
    <row r="9" ht="15.75" customHeight="1">
      <c r="A9" s="33" t="s">
        <v>92</v>
      </c>
      <c r="B9" s="37">
        <v>0.1</v>
      </c>
      <c r="C9" s="6">
        <v>400.0</v>
      </c>
      <c r="D9" s="33"/>
      <c r="E9" s="33" t="s">
        <v>93</v>
      </c>
      <c r="F9" s="37">
        <v>0.03</v>
      </c>
      <c r="G9" s="6">
        <v>1200.0</v>
      </c>
    </row>
    <row r="10" ht="15.75" customHeight="1">
      <c r="A10" s="33" t="s">
        <v>94</v>
      </c>
      <c r="B10" s="37">
        <v>0.1</v>
      </c>
      <c r="C10" s="6">
        <v>300.0</v>
      </c>
      <c r="D10" s="33"/>
      <c r="E10" s="33" t="s">
        <v>95</v>
      </c>
      <c r="F10" s="37">
        <v>0.2</v>
      </c>
      <c r="G10" s="6">
        <v>80.0</v>
      </c>
    </row>
    <row r="11" ht="15.75" customHeight="1">
      <c r="A11" s="33" t="s">
        <v>91</v>
      </c>
      <c r="B11" s="37">
        <v>0.05</v>
      </c>
      <c r="C11" s="6">
        <v>90.0</v>
      </c>
      <c r="D11" s="33"/>
      <c r="E11" s="33" t="s">
        <v>96</v>
      </c>
      <c r="F11" s="37">
        <v>0.15</v>
      </c>
      <c r="G11" s="6">
        <v>40.0</v>
      </c>
    </row>
    <row r="12" ht="15.75" customHeight="1">
      <c r="A12" s="33" t="s">
        <v>97</v>
      </c>
      <c r="B12" s="37">
        <v>0.02</v>
      </c>
      <c r="C12" s="6">
        <v>1100.0</v>
      </c>
      <c r="D12" s="33"/>
      <c r="E12" s="33" t="s">
        <v>98</v>
      </c>
      <c r="F12" s="37">
        <v>0.07</v>
      </c>
      <c r="G12" s="6">
        <v>29.0</v>
      </c>
    </row>
    <row r="13" ht="15.75" customHeight="1">
      <c r="A13" s="33" t="s">
        <v>93</v>
      </c>
      <c r="B13" s="37">
        <v>0.03</v>
      </c>
      <c r="C13" s="6">
        <v>1200.0</v>
      </c>
      <c r="D13" s="33"/>
      <c r="E13" s="33" t="s">
        <v>99</v>
      </c>
      <c r="F13" s="37">
        <v>0.07</v>
      </c>
      <c r="G13" s="6">
        <v>25.0</v>
      </c>
    </row>
    <row r="14" ht="15.75" customHeight="1">
      <c r="A14" s="33"/>
      <c r="B14" s="37"/>
    </row>
    <row r="15" ht="15.75" customHeight="1">
      <c r="A15" s="38"/>
      <c r="B15" s="36"/>
    </row>
    <row r="16" ht="15.75" customHeight="1">
      <c r="A16" s="3"/>
      <c r="B16" s="36" t="s">
        <v>100</v>
      </c>
      <c r="C16" s="36" t="s">
        <v>101</v>
      </c>
    </row>
    <row r="17" ht="15.75" customHeight="1">
      <c r="A17" s="7" t="s">
        <v>102</v>
      </c>
      <c r="B17" s="34">
        <v>2.0</v>
      </c>
      <c r="C17" s="6">
        <v>5.0</v>
      </c>
    </row>
    <row r="18" ht="15.75" customHeight="1">
      <c r="A18" s="7" t="s">
        <v>103</v>
      </c>
      <c r="B18" s="34">
        <v>8.0</v>
      </c>
      <c r="C18" s="6">
        <v>11.0</v>
      </c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5" t="s">
        <v>104</v>
      </c>
    </row>
    <row r="22" ht="15.75" customHeight="1">
      <c r="A22" s="7" t="s">
        <v>105</v>
      </c>
      <c r="B22" s="3"/>
    </row>
    <row r="23" ht="15.75" customHeight="1">
      <c r="A23" s="33" t="s">
        <v>106</v>
      </c>
      <c r="B23" s="34">
        <v>150000.0</v>
      </c>
    </row>
    <row r="24" ht="15.75" customHeight="1">
      <c r="A24" s="33" t="s">
        <v>107</v>
      </c>
      <c r="B24" s="34">
        <v>75000.0</v>
      </c>
    </row>
    <row r="25" ht="15.75" customHeight="1">
      <c r="A25" s="7" t="s">
        <v>108</v>
      </c>
      <c r="B25" s="7" t="s">
        <v>109</v>
      </c>
    </row>
    <row r="26" ht="15.75" customHeight="1">
      <c r="A26" s="33" t="s">
        <v>110</v>
      </c>
      <c r="B26" s="34">
        <v>85725.0</v>
      </c>
      <c r="C26" s="39">
        <v>0.1</v>
      </c>
    </row>
    <row r="27" ht="15.75" customHeight="1">
      <c r="A27" s="3"/>
      <c r="B27" s="3"/>
    </row>
    <row r="28" ht="15.75" customHeight="1">
      <c r="A28" s="7" t="s">
        <v>111</v>
      </c>
      <c r="B28" s="36" t="s">
        <v>112</v>
      </c>
    </row>
    <row r="29" ht="15.75" customHeight="1">
      <c r="A29" s="33" t="s">
        <v>113</v>
      </c>
      <c r="B29" s="40">
        <v>1.0E7</v>
      </c>
    </row>
    <row r="30" ht="15.75" customHeight="1">
      <c r="A30" s="33" t="s">
        <v>114</v>
      </c>
      <c r="B30" s="40" t="s">
        <v>115</v>
      </c>
    </row>
    <row r="31" ht="15.75" customHeight="1">
      <c r="A31" s="33" t="s">
        <v>116</v>
      </c>
      <c r="B31" s="40" t="s">
        <v>117</v>
      </c>
      <c r="C31" s="39">
        <v>0.12</v>
      </c>
    </row>
    <row r="32" ht="15.75" customHeight="1">
      <c r="A32" s="3"/>
      <c r="B32" s="3"/>
    </row>
    <row r="33" ht="15.75" customHeight="1"/>
    <row r="34" ht="15.75" customHeight="1">
      <c r="A34" s="6" t="s">
        <v>118</v>
      </c>
      <c r="B34" s="6">
        <f>B26</f>
        <v>85725</v>
      </c>
      <c r="C34" s="6">
        <f t="shared" ref="C34:G34" si="1">B34*(1+$C$26)</f>
        <v>94297.5</v>
      </c>
      <c r="D34" s="6">
        <f t="shared" si="1"/>
        <v>103727.25</v>
      </c>
      <c r="E34" s="6">
        <f t="shared" si="1"/>
        <v>114099.975</v>
      </c>
      <c r="F34" s="6">
        <f t="shared" si="1"/>
        <v>125509.9725</v>
      </c>
      <c r="G34" s="6">
        <f t="shared" si="1"/>
        <v>138060.9698</v>
      </c>
    </row>
    <row r="35" ht="15.75" customHeight="1"/>
    <row r="36" ht="15.75" customHeight="1">
      <c r="A36" s="6" t="s">
        <v>119</v>
      </c>
    </row>
    <row r="37" ht="15.75" customHeight="1">
      <c r="A37" s="6" t="str">
        <f t="shared" ref="A37:B37" si="2">A29</f>
        <v>Ads Preparation </v>
      </c>
      <c r="B37" s="41">
        <f t="shared" si="2"/>
        <v>10000000</v>
      </c>
    </row>
    <row r="38" ht="15.75" customHeight="1">
      <c r="A38" s="6" t="str">
        <f t="shared" ref="A38:A39" si="3">A30</f>
        <v>IPL Themed Pack</v>
      </c>
      <c r="B38" s="42">
        <v>100000.0</v>
      </c>
    </row>
    <row r="39" ht="15.75" customHeight="1">
      <c r="A39" s="6" t="str">
        <f t="shared" si="3"/>
        <v>IPL Marketing Budget</v>
      </c>
      <c r="B39" s="6">
        <v>1200000.0</v>
      </c>
      <c r="C39" s="6">
        <f t="shared" ref="C39:G39" si="4">B39*(1+$C$31)</f>
        <v>1344000</v>
      </c>
      <c r="D39" s="6">
        <f t="shared" si="4"/>
        <v>1505280</v>
      </c>
      <c r="E39" s="6">
        <f t="shared" si="4"/>
        <v>1685913.6</v>
      </c>
      <c r="F39" s="6">
        <f t="shared" si="4"/>
        <v>1888223.232</v>
      </c>
      <c r="G39" s="6">
        <f t="shared" si="4"/>
        <v>2114810.02</v>
      </c>
    </row>
    <row r="40" ht="15.75" customHeight="1">
      <c r="A40" s="6" t="s">
        <v>120</v>
      </c>
      <c r="B40" s="41">
        <f t="shared" ref="B40:G40" si="5">SUM(B37:B39)</f>
        <v>11300000</v>
      </c>
      <c r="C40" s="6">
        <f t="shared" si="5"/>
        <v>1344000</v>
      </c>
      <c r="D40" s="6">
        <f t="shared" si="5"/>
        <v>1505280</v>
      </c>
      <c r="E40" s="6">
        <f t="shared" si="5"/>
        <v>1685913.6</v>
      </c>
      <c r="F40" s="6">
        <f t="shared" si="5"/>
        <v>1888223.232</v>
      </c>
      <c r="G40" s="6">
        <f t="shared" si="5"/>
        <v>2114810.02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5:C5"/>
    <mergeCell ref="E5:G5"/>
    <mergeCell ref="A21:B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2" max="6" width="12.63"/>
  </cols>
  <sheetData>
    <row r="1" ht="15.75" customHeight="1">
      <c r="A1" s="43" t="s">
        <v>121</v>
      </c>
      <c r="B1" s="43" t="s">
        <v>52</v>
      </c>
      <c r="C1" s="43" t="s">
        <v>54</v>
      </c>
      <c r="D1" s="43" t="s">
        <v>56</v>
      </c>
      <c r="E1" s="43" t="s">
        <v>58</v>
      </c>
      <c r="F1" s="43" t="s">
        <v>60</v>
      </c>
      <c r="G1" s="43" t="s">
        <v>62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3" t="s">
        <v>122</v>
      </c>
      <c r="B2" s="13">
        <f>SUMIFS('Sales Data'!$F:$F,'Sales Data'!$B:$B,B$1,'Sales Data'!$E:$E,'Sales Data'!$E$4)</f>
        <v>309397</v>
      </c>
      <c r="C2" s="13">
        <f>SUMIFS('Sales Data'!$F:$F,'Sales Data'!$B:$B,C$1,'Sales Data'!$E:$E,'Sales Data'!$E$4)</f>
        <v>348728</v>
      </c>
      <c r="D2" s="13">
        <f>SUMIFS('Sales Data'!$F:$F,'Sales Data'!$B:$B,D$1,'Sales Data'!$E:$E,'Sales Data'!$E$4)</f>
        <v>393862</v>
      </c>
      <c r="E2" s="13">
        <f>SUMIFS('Sales Data'!$F:$F,'Sales Data'!$B:$B,E$1,'Sales Data'!$E:$E,'Sales Data'!$E$4)</f>
        <v>442908</v>
      </c>
      <c r="F2" s="13">
        <f>SUMIFS('Sales Data'!$F:$F,'Sales Data'!$B:$B,F$1,'Sales Data'!$E:$E,'Sales Data'!$E$4)</f>
        <v>500422</v>
      </c>
      <c r="G2" s="13">
        <f>SUMIFS('Sales Data'!$F:$F,'Sales Data'!$B:$B,G$1,'Sales Data'!$E:$E,'Sales Data'!$E$4)</f>
        <v>565628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3" t="s">
        <v>123</v>
      </c>
      <c r="B3" s="13">
        <f>SUMIFS('Sales Data'!$G:$G,'Sales Data'!$B:$B,B$1,'Sales Data'!$E:$E,'Sales Data'!$E$4)</f>
        <v>350453</v>
      </c>
      <c r="C3" s="13">
        <f>SUMIFS('Sales Data'!$G:$G,'Sales Data'!$B:$B,C$1,'Sales Data'!$E:$E,'Sales Data'!$E$4)</f>
        <v>393986</v>
      </c>
      <c r="D3" s="13">
        <f>SUMIFS('Sales Data'!$G:$G,'Sales Data'!$B:$B,D$1,'Sales Data'!$E:$E,'Sales Data'!$E$4)</f>
        <v>455401</v>
      </c>
      <c r="E3" s="13">
        <f>SUMIFS('Sales Data'!$G:$G,'Sales Data'!$B:$B,E$1,'Sales Data'!$E:$E,'Sales Data'!$E$4)</f>
        <v>510037</v>
      </c>
      <c r="F3" s="13">
        <f>SUMIFS('Sales Data'!$G:$G,'Sales Data'!$B:$B,F$1,'Sales Data'!$E:$E,'Sales Data'!$E$4)</f>
        <v>575847</v>
      </c>
      <c r="G3" s="13">
        <f>SUMIFS('Sales Data'!$G:$G,'Sales Data'!$B:$B,G$1,'Sales Data'!$E:$E,'Sales Data'!$E$4)</f>
        <v>655279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43" t="s">
        <v>124</v>
      </c>
      <c r="B5" s="43" t="s">
        <v>52</v>
      </c>
      <c r="C5" s="43" t="s">
        <v>54</v>
      </c>
      <c r="D5" s="43" t="s">
        <v>56</v>
      </c>
      <c r="E5" s="43" t="s">
        <v>58</v>
      </c>
      <c r="F5" s="43" t="s">
        <v>60</v>
      </c>
      <c r="G5" s="43" t="s">
        <v>62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 t="s">
        <v>122</v>
      </c>
      <c r="B6" s="13">
        <f>SUMIFS('Sales Data'!$F:$F,'Sales Data'!$B:$B,B$1,'Sales Data'!$E:$E,'Sales Data'!$E$3)</f>
        <v>273222</v>
      </c>
      <c r="C6" s="13">
        <f>SUMIFS('Sales Data'!$F:$F,'Sales Data'!$B:$B,C$1,'Sales Data'!$E:$E,'Sales Data'!$E$3)</f>
        <v>307880</v>
      </c>
      <c r="D6" s="13">
        <f>SUMIFS('Sales Data'!$F:$F,'Sales Data'!$B:$B,D$1,'Sales Data'!$E:$E,'Sales Data'!$E$3)</f>
        <v>348993</v>
      </c>
      <c r="E6" s="13">
        <f>SUMIFS('Sales Data'!$F:$F,'Sales Data'!$B:$B,E$1,'Sales Data'!$E:$E,'Sales Data'!$E$3)</f>
        <v>397553</v>
      </c>
      <c r="F6" s="13">
        <f>SUMIFS('Sales Data'!$F:$F,'Sales Data'!$B:$B,F$1,'Sales Data'!$E:$E,'Sales Data'!$E$3)</f>
        <v>453944</v>
      </c>
      <c r="G6" s="13">
        <f>SUMIFS('Sales Data'!$F:$F,'Sales Data'!$B:$B,G$1,'Sales Data'!$E:$E,'Sales Data'!$E$3)</f>
        <v>518336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 t="s">
        <v>123</v>
      </c>
      <c r="B7" s="13">
        <f>SUMIFS('Sales Data'!$G:$G,'Sales Data'!$B:$B,B$1,'Sales Data'!$E:$E,'Sales Data'!$E$3)</f>
        <v>315855</v>
      </c>
      <c r="C7" s="13">
        <f>SUMIFS('Sales Data'!$G:$G,'Sales Data'!$B:$B,C$1,'Sales Data'!$E:$E,'Sales Data'!$E$3)</f>
        <v>352265</v>
      </c>
      <c r="D7" s="13">
        <f>SUMIFS('Sales Data'!$G:$G,'Sales Data'!$B:$B,D$1,'Sales Data'!$E:$E,'Sales Data'!$E$3)</f>
        <v>401237</v>
      </c>
      <c r="E7" s="13">
        <f>SUMIFS('Sales Data'!$G:$G,'Sales Data'!$B:$B,E$1,'Sales Data'!$E:$E,'Sales Data'!$E$3)</f>
        <v>462085</v>
      </c>
      <c r="F7" s="13">
        <f>SUMIFS('Sales Data'!$G:$G,'Sales Data'!$B:$B,F$1,'Sales Data'!$E:$E,'Sales Data'!$E$3)</f>
        <v>519273</v>
      </c>
      <c r="G7" s="13">
        <f>SUMIFS('Sales Data'!$G:$G,'Sales Data'!$B:$B,G$1,'Sales Data'!$E:$E,'Sales Data'!$E$3)</f>
        <v>597654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43" t="s">
        <v>125</v>
      </c>
      <c r="B10" s="43" t="s">
        <v>52</v>
      </c>
      <c r="C10" s="43" t="s">
        <v>54</v>
      </c>
      <c r="D10" s="43" t="s">
        <v>56</v>
      </c>
      <c r="E10" s="43" t="s">
        <v>58</v>
      </c>
      <c r="F10" s="43" t="s">
        <v>60</v>
      </c>
      <c r="G10" s="43" t="s">
        <v>62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 t="s">
        <v>122</v>
      </c>
      <c r="B11" s="13">
        <f>SUMIFS('Sales Data'!$K:$K,'Sales Data'!$B:$B,B$10,'Sales Data'!$E:$E,'Sales Data'!$E$2)</f>
        <v>40181190.75</v>
      </c>
      <c r="C11" s="13">
        <f>SUMIFS('Sales Data'!$K:$K,'Sales Data'!$B:$B,C$10,'Sales Data'!$E:$E,'Sales Data'!$E$2)</f>
        <v>45379409.63</v>
      </c>
      <c r="D11" s="13">
        <f>SUMIFS('Sales Data'!$K:$K,'Sales Data'!$B:$B,D$10,'Sales Data'!$E:$E,'Sales Data'!$E$2)</f>
        <v>51371499.38</v>
      </c>
      <c r="E11" s="13">
        <f>SUMIFS('Sales Data'!$K:$K,'Sales Data'!$B:$B,E$10,'Sales Data'!$E:$E,'Sales Data'!$E$2)</f>
        <v>57889883.25</v>
      </c>
      <c r="F11" s="13">
        <f>SUMIFS('Sales Data'!$K:$K,'Sales Data'!$B:$B,F$10,'Sales Data'!$E:$E,'Sales Data'!$E$2)</f>
        <v>65534599.13</v>
      </c>
      <c r="G11" s="13">
        <f>SUMIFS('Sales Data'!$K:$K,'Sales Data'!$B:$B,G$10,'Sales Data'!$E:$E,'Sales Data'!$E$2)</f>
        <v>74219965.88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 t="s">
        <v>123</v>
      </c>
      <c r="B12" s="13">
        <f>SUMIFS('Sales Data'!$L:$L,'Sales Data'!$B:$B,B$10,'Sales Data'!$E:$E,'Sales Data'!$E$2)</f>
        <v>47311155</v>
      </c>
      <c r="C12" s="13">
        <f>SUMIFS('Sales Data'!$L:$L,'Sales Data'!$B:$B,C$10,'Sales Data'!$E:$E,'Sales Data'!$E$2)</f>
        <v>53188110</v>
      </c>
      <c r="D12" s="13">
        <f>SUMIFS('Sales Data'!$L:$L,'Sales Data'!$B:$B,D$10,'Sales Data'!$E:$E,'Sales Data'!$E$2)</f>
        <v>61479135</v>
      </c>
      <c r="E12" s="13">
        <f>SUMIFS('Sales Data'!$L:$L,'Sales Data'!$B:$B,E$10,'Sales Data'!$E:$E,'Sales Data'!$E$2)</f>
        <v>68854995</v>
      </c>
      <c r="F12" s="13">
        <f>SUMIFS('Sales Data'!$L:$L,'Sales Data'!$B:$B,F$10,'Sales Data'!$E:$E,'Sales Data'!$E$2)</f>
        <v>77739345</v>
      </c>
      <c r="G12" s="13">
        <f>SUMIFS('Sales Data'!$L:$L,'Sales Data'!$B:$B,G$10,'Sales Data'!$E:$E,'Sales Data'!$E$2)</f>
        <v>88462665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43" t="s">
        <v>126</v>
      </c>
      <c r="B14" s="43" t="s">
        <v>52</v>
      </c>
      <c r="C14" s="43" t="s">
        <v>54</v>
      </c>
      <c r="D14" s="43" t="s">
        <v>56</v>
      </c>
      <c r="E14" s="43" t="s">
        <v>58</v>
      </c>
      <c r="F14" s="43" t="s">
        <v>60</v>
      </c>
      <c r="G14" s="43" t="s">
        <v>62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 t="s">
        <v>122</v>
      </c>
      <c r="B15" s="13">
        <f>SUMIFS('Sales Data'!$K:$K,'Sales Data'!$B:$B,B$10,'Sales Data'!$E:$E,'Sales Data'!$E$3)</f>
        <v>15807775.5</v>
      </c>
      <c r="C15" s="13">
        <f>SUMIFS('Sales Data'!$K:$K,'Sales Data'!$B:$B,C$10,'Sales Data'!$E:$E,'Sales Data'!$E$3)</f>
        <v>17849055</v>
      </c>
      <c r="D15" s="13">
        <f>SUMIFS('Sales Data'!$K:$K,'Sales Data'!$B:$B,D$10,'Sales Data'!$E:$E,'Sales Data'!$E$3)</f>
        <v>20264796</v>
      </c>
      <c r="E15" s="13">
        <f>SUMIFS('Sales Data'!$K:$K,'Sales Data'!$B:$B,E$10,'Sales Data'!$E:$E,'Sales Data'!$E$3)</f>
        <v>23127658.5</v>
      </c>
      <c r="F15" s="13">
        <f>SUMIFS('Sales Data'!$K:$K,'Sales Data'!$B:$B,F$10,'Sales Data'!$E:$E,'Sales Data'!$E$3)</f>
        <v>26449116</v>
      </c>
      <c r="G15" s="13">
        <f>SUMIFS('Sales Data'!$K:$K,'Sales Data'!$B:$B,G$10,'Sales Data'!$E:$E,'Sales Data'!$E$3)</f>
        <v>30246066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 t="s">
        <v>123</v>
      </c>
      <c r="B16" s="13">
        <f>SUMIFS('Sales Data'!$L:$L,'Sales Data'!$B:$B,B$10,'Sales Data'!$E:$E,'Sales Data'!$E$3)</f>
        <v>18951300</v>
      </c>
      <c r="C16" s="13">
        <f>SUMIFS('Sales Data'!$L:$L,'Sales Data'!$B:$B,C$10,'Sales Data'!$E:$E,'Sales Data'!$E$3)</f>
        <v>21135900</v>
      </c>
      <c r="D16" s="13">
        <f>SUMIFS('Sales Data'!$L:$L,'Sales Data'!$B:$B,D$10,'Sales Data'!$E:$E,'Sales Data'!$E$3)</f>
        <v>24074220</v>
      </c>
      <c r="E16" s="13">
        <f>SUMIFS('Sales Data'!$L:$L,'Sales Data'!$B:$B,E$10,'Sales Data'!$E:$E,'Sales Data'!$E$3)</f>
        <v>27725100</v>
      </c>
      <c r="F16" s="13">
        <f>SUMIFS('Sales Data'!$L:$L,'Sales Data'!$B:$B,F$10,'Sales Data'!$E:$E,'Sales Data'!$E$3)</f>
        <v>31156380</v>
      </c>
      <c r="G16" s="13">
        <f>SUMIFS('Sales Data'!$L:$L,'Sales Data'!$B:$B,G$10,'Sales Data'!$E:$E,'Sales Data'!$E$3)</f>
        <v>35859240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43" t="s">
        <v>38</v>
      </c>
      <c r="B19" s="43" t="s">
        <v>52</v>
      </c>
      <c r="C19" s="43" t="s">
        <v>54</v>
      </c>
      <c r="D19" s="43" t="s">
        <v>56</v>
      </c>
      <c r="E19" s="43" t="s">
        <v>58</v>
      </c>
      <c r="F19" s="43" t="s">
        <v>60</v>
      </c>
      <c r="G19" s="43" t="s">
        <v>62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 t="s">
        <v>77</v>
      </c>
      <c r="B20" s="44">
        <f t="shared" ref="B20:G20" si="1">B15+B11</f>
        <v>55988966.25</v>
      </c>
      <c r="C20" s="44">
        <f t="shared" si="1"/>
        <v>63228464.63</v>
      </c>
      <c r="D20" s="44">
        <f t="shared" si="1"/>
        <v>71636295.38</v>
      </c>
      <c r="E20" s="44">
        <f t="shared" si="1"/>
        <v>81017541.75</v>
      </c>
      <c r="F20" s="44">
        <f t="shared" si="1"/>
        <v>91983715.13</v>
      </c>
      <c r="G20" s="44">
        <f t="shared" si="1"/>
        <v>104466031.9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 t="s">
        <v>78</v>
      </c>
      <c r="B21" s="13">
        <f t="shared" ref="B21:G21" si="2">B16+B12</f>
        <v>66262455</v>
      </c>
      <c r="C21" s="13">
        <f t="shared" si="2"/>
        <v>74324010</v>
      </c>
      <c r="D21" s="13">
        <f t="shared" si="2"/>
        <v>85553355</v>
      </c>
      <c r="E21" s="13">
        <f t="shared" si="2"/>
        <v>96580095</v>
      </c>
      <c r="F21" s="13">
        <f t="shared" si="2"/>
        <v>108895725</v>
      </c>
      <c r="G21" s="13">
        <f t="shared" si="2"/>
        <v>124321905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5"/>
    <col customWidth="1" min="2" max="6" width="12.63"/>
  </cols>
  <sheetData>
    <row r="1" ht="15.75" customHeight="1">
      <c r="A1" s="45" t="s">
        <v>127</v>
      </c>
      <c r="B1" s="12" t="s">
        <v>52</v>
      </c>
      <c r="C1" s="12" t="s">
        <v>54</v>
      </c>
      <c r="D1" s="12" t="s">
        <v>56</v>
      </c>
      <c r="E1" s="12" t="s">
        <v>58</v>
      </c>
      <c r="F1" s="12" t="s">
        <v>60</v>
      </c>
      <c r="G1" s="12" t="s">
        <v>62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3" t="str">
        <f>Assumptions!A7</f>
        <v>Water</v>
      </c>
      <c r="B2" s="13">
        <f>Assumptions!$B$2*Assumptions!$B7</f>
        <v>105</v>
      </c>
      <c r="C2" s="13">
        <f>Assumptions!$B$2*Assumptions!$B7</f>
        <v>105</v>
      </c>
      <c r="D2" s="13">
        <f>Assumptions!$B$2*Assumptions!$B7</f>
        <v>105</v>
      </c>
      <c r="E2" s="13">
        <f>Assumptions!$B$2*Assumptions!$B7</f>
        <v>105</v>
      </c>
      <c r="F2" s="13">
        <f>Assumptions!$B$2*Assumptions!$B7</f>
        <v>105</v>
      </c>
      <c r="G2" s="13">
        <f>Assumptions!$B$2*Assumptions!$B7</f>
        <v>105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3" t="str">
        <f>Assumptions!A8</f>
        <v>Milk</v>
      </c>
      <c r="B3" s="13">
        <f>Assumptions!$B$2*Assumptions!$B8</f>
        <v>105</v>
      </c>
      <c r="C3" s="13">
        <f>Assumptions!$B$2*Assumptions!$B8</f>
        <v>105</v>
      </c>
      <c r="D3" s="13">
        <f>Assumptions!$B$2*Assumptions!$B8</f>
        <v>105</v>
      </c>
      <c r="E3" s="13">
        <f>Assumptions!$B$2*Assumptions!$B8</f>
        <v>105</v>
      </c>
      <c r="F3" s="13">
        <f>Assumptions!$B$2*Assumptions!$B8</f>
        <v>105</v>
      </c>
      <c r="G3" s="13">
        <f>Assumptions!$B$2*Assumptions!$B8</f>
        <v>105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 t="str">
        <f>Assumptions!A9</f>
        <v>Pea Protein Extract</v>
      </c>
      <c r="B4" s="13">
        <f>Assumptions!$B$2*Assumptions!$B9</f>
        <v>30</v>
      </c>
      <c r="C4" s="13">
        <f>Assumptions!$B$2*Assumptions!$B9</f>
        <v>30</v>
      </c>
      <c r="D4" s="13">
        <f>Assumptions!$B$2*Assumptions!$B9</f>
        <v>30</v>
      </c>
      <c r="E4" s="13">
        <f>Assumptions!$B$2*Assumptions!$B9</f>
        <v>30</v>
      </c>
      <c r="F4" s="13">
        <f>Assumptions!$B$2*Assumptions!$B9</f>
        <v>30</v>
      </c>
      <c r="G4" s="13">
        <f>Assumptions!$B$2*Assumptions!$B9</f>
        <v>30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 t="str">
        <f>Assumptions!A10</f>
        <v>Coffee Bean Extract</v>
      </c>
      <c r="B5" s="13">
        <f>Assumptions!$B$2*Assumptions!$B10</f>
        <v>30</v>
      </c>
      <c r="C5" s="13">
        <f>Assumptions!$B$2*Assumptions!$B10</f>
        <v>30</v>
      </c>
      <c r="D5" s="13">
        <f>Assumptions!$B$2*Assumptions!$B10</f>
        <v>30</v>
      </c>
      <c r="E5" s="13">
        <f>Assumptions!$B$2*Assumptions!$B10</f>
        <v>30</v>
      </c>
      <c r="F5" s="13">
        <f>Assumptions!$B$2*Assumptions!$B10</f>
        <v>30</v>
      </c>
      <c r="G5" s="13">
        <f>Assumptions!$B$2*Assumptions!$B10</f>
        <v>30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 t="str">
        <f>Assumptions!A11</f>
        <v>Dates Extract</v>
      </c>
      <c r="B6" s="13">
        <f>Assumptions!$B$2*Assumptions!$B11</f>
        <v>15</v>
      </c>
      <c r="C6" s="13">
        <f>Assumptions!$B$2*Assumptions!$B11</f>
        <v>15</v>
      </c>
      <c r="D6" s="13">
        <f>Assumptions!$B$2*Assumptions!$B11</f>
        <v>15</v>
      </c>
      <c r="E6" s="13">
        <f>Assumptions!$B$2*Assumptions!$B11</f>
        <v>15</v>
      </c>
      <c r="F6" s="13">
        <f>Assumptions!$B$2*Assumptions!$B11</f>
        <v>15</v>
      </c>
      <c r="G6" s="13">
        <f>Assumptions!$B$2*Assumptions!$B11</f>
        <v>15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 t="str">
        <f>Assumptions!A12</f>
        <v>Monk Fruit Extract</v>
      </c>
      <c r="B7" s="13">
        <f>Assumptions!$B$2*Assumptions!$B12</f>
        <v>6</v>
      </c>
      <c r="C7" s="13">
        <f>Assumptions!$B$2*Assumptions!$B12</f>
        <v>6</v>
      </c>
      <c r="D7" s="13">
        <f>Assumptions!$B$2*Assumptions!$B12</f>
        <v>6</v>
      </c>
      <c r="E7" s="13">
        <f>Assumptions!$B$2*Assumptions!$B12</f>
        <v>6</v>
      </c>
      <c r="F7" s="13">
        <f>Assumptions!$B$2*Assumptions!$B12</f>
        <v>6</v>
      </c>
      <c r="G7" s="13">
        <f>Assumptions!$B$2*Assumptions!$B12</f>
        <v>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 t="str">
        <f>Assumptions!A13</f>
        <v>Other Ingredients</v>
      </c>
      <c r="B8" s="13">
        <f>Assumptions!$B$2*Assumptions!$B13</f>
        <v>9</v>
      </c>
      <c r="C8" s="13">
        <f>Assumptions!$B$2*Assumptions!$B13</f>
        <v>9</v>
      </c>
      <c r="D8" s="13">
        <f>Assumptions!$B$2*Assumptions!$B13</f>
        <v>9</v>
      </c>
      <c r="E8" s="13">
        <f>Assumptions!$B$2*Assumptions!$B13</f>
        <v>9</v>
      </c>
      <c r="F8" s="13">
        <f>Assumptions!$B$2*Assumptions!$B13</f>
        <v>9</v>
      </c>
      <c r="G8" s="13">
        <f>Assumptions!$B$2*Assumptions!$B13</f>
        <v>9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45" t="s">
        <v>128</v>
      </c>
      <c r="B11" s="12" t="s">
        <v>52</v>
      </c>
      <c r="C11" s="12" t="s">
        <v>54</v>
      </c>
      <c r="D11" s="12" t="s">
        <v>56</v>
      </c>
      <c r="E11" s="12" t="s">
        <v>58</v>
      </c>
      <c r="F11" s="12" t="s">
        <v>60</v>
      </c>
      <c r="G11" s="12" t="s">
        <v>62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 t="str">
        <f t="shared" ref="A12:A18" si="1">A2</f>
        <v>Water</v>
      </c>
      <c r="B12" s="13">
        <f>(B2*'Sales Quantity'!B$2)/1000</f>
        <v>32486.685</v>
      </c>
      <c r="C12" s="13">
        <f>(C2*'Sales Quantity'!C$2)/1000</f>
        <v>36616.44</v>
      </c>
      <c r="D12" s="13">
        <f>(D2*'Sales Quantity'!D$2)/1000</f>
        <v>41355.51</v>
      </c>
      <c r="E12" s="13">
        <f>(E2*'Sales Quantity'!E$2)/1000</f>
        <v>46505.34</v>
      </c>
      <c r="F12" s="13">
        <f>(F2*'Sales Quantity'!F$2)/1000</f>
        <v>52544.31</v>
      </c>
      <c r="G12" s="13">
        <f>(G2*'Sales Quantity'!G$2)/1000</f>
        <v>59390.94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 t="str">
        <f t="shared" si="1"/>
        <v>Milk</v>
      </c>
      <c r="B13" s="13">
        <f>(B3*'Sales Quantity'!B$2)/1000</f>
        <v>32486.685</v>
      </c>
      <c r="C13" s="13">
        <f>(C3*'Sales Quantity'!C$2)/1000</f>
        <v>36616.44</v>
      </c>
      <c r="D13" s="13">
        <f>(D3*'Sales Quantity'!D$2)/1000</f>
        <v>41355.51</v>
      </c>
      <c r="E13" s="13">
        <f>(E3*'Sales Quantity'!E$2)/1000</f>
        <v>46505.34</v>
      </c>
      <c r="F13" s="13">
        <f>(F3*'Sales Quantity'!F$2)/1000</f>
        <v>52544.31</v>
      </c>
      <c r="G13" s="13">
        <f>(G3*'Sales Quantity'!G$2)/1000</f>
        <v>59390.94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 t="str">
        <f t="shared" si="1"/>
        <v>Pea Protein Extract</v>
      </c>
      <c r="B14" s="13">
        <f>(B4*'Sales Quantity'!B$2)/1000</f>
        <v>9281.91</v>
      </c>
      <c r="C14" s="13">
        <f>(C4*'Sales Quantity'!C$2)/1000</f>
        <v>10461.84</v>
      </c>
      <c r="D14" s="13">
        <f>(D4*'Sales Quantity'!D$2)/1000</f>
        <v>11815.86</v>
      </c>
      <c r="E14" s="13">
        <f>(E4*'Sales Quantity'!E$2)/1000</f>
        <v>13287.24</v>
      </c>
      <c r="F14" s="13">
        <f>(F4*'Sales Quantity'!F$2)/1000</f>
        <v>15012.66</v>
      </c>
      <c r="G14" s="13">
        <f>(G4*'Sales Quantity'!G$2)/1000</f>
        <v>16968.84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 t="str">
        <f t="shared" si="1"/>
        <v>Coffee Bean Extract</v>
      </c>
      <c r="B15" s="13">
        <f>(B5*'Sales Quantity'!B$2)/1000</f>
        <v>9281.91</v>
      </c>
      <c r="C15" s="13">
        <f>(C5*'Sales Quantity'!C$2)/1000</f>
        <v>10461.84</v>
      </c>
      <c r="D15" s="13">
        <f>(D5*'Sales Quantity'!D$2)/1000</f>
        <v>11815.86</v>
      </c>
      <c r="E15" s="13">
        <f>(E5*'Sales Quantity'!E$2)/1000</f>
        <v>13287.24</v>
      </c>
      <c r="F15" s="13">
        <f>(F5*'Sales Quantity'!F$2)/1000</f>
        <v>15012.66</v>
      </c>
      <c r="G15" s="13">
        <f>(G5*'Sales Quantity'!G$2)/1000</f>
        <v>16968.84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 t="str">
        <f t="shared" si="1"/>
        <v>Dates Extract</v>
      </c>
      <c r="B16" s="13">
        <f>(B6*'Sales Quantity'!B$2)/1000</f>
        <v>4640.955</v>
      </c>
      <c r="C16" s="13">
        <f>(C6*'Sales Quantity'!C$2)/1000</f>
        <v>5230.92</v>
      </c>
      <c r="D16" s="13">
        <f>(D6*'Sales Quantity'!D$2)/1000</f>
        <v>5907.93</v>
      </c>
      <c r="E16" s="13">
        <f>(E6*'Sales Quantity'!E$2)/1000</f>
        <v>6643.62</v>
      </c>
      <c r="F16" s="13">
        <f>(F6*'Sales Quantity'!F$2)/1000</f>
        <v>7506.33</v>
      </c>
      <c r="G16" s="13">
        <f>(G6*'Sales Quantity'!G$2)/1000</f>
        <v>8484.42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 t="str">
        <f t="shared" si="1"/>
        <v>Monk Fruit Extract</v>
      </c>
      <c r="B17" s="13">
        <f>(B7*'Sales Quantity'!B$2)/1000</f>
        <v>1856.382</v>
      </c>
      <c r="C17" s="13">
        <f>(C7*'Sales Quantity'!C$2)/1000</f>
        <v>2092.368</v>
      </c>
      <c r="D17" s="13">
        <f>(D7*'Sales Quantity'!D$2)/1000</f>
        <v>2363.172</v>
      </c>
      <c r="E17" s="13">
        <f>(E7*'Sales Quantity'!E$2)/1000</f>
        <v>2657.448</v>
      </c>
      <c r="F17" s="13">
        <f>(F7*'Sales Quantity'!F$2)/1000</f>
        <v>3002.532</v>
      </c>
      <c r="G17" s="13">
        <f>(G7*'Sales Quantity'!G$2)/1000</f>
        <v>3393.768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 t="str">
        <f t="shared" si="1"/>
        <v>Other Ingredients</v>
      </c>
      <c r="B18" s="13">
        <f>(B8*'Sales Quantity'!B$2)/1000</f>
        <v>2784.573</v>
      </c>
      <c r="C18" s="13">
        <f>(C8*'Sales Quantity'!C$2)/1000</f>
        <v>3138.552</v>
      </c>
      <c r="D18" s="13">
        <f>(D8*'Sales Quantity'!D$2)/1000</f>
        <v>3544.758</v>
      </c>
      <c r="E18" s="13">
        <f>(E8*'Sales Quantity'!E$2)/1000</f>
        <v>3986.172</v>
      </c>
      <c r="F18" s="13">
        <f>(F8*'Sales Quantity'!F$2)/1000</f>
        <v>4503.798</v>
      </c>
      <c r="G18" s="13">
        <f>(G8*'Sales Quantity'!G$2)/1000</f>
        <v>5090.652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45" t="s">
        <v>129</v>
      </c>
      <c r="B20" s="12" t="s">
        <v>52</v>
      </c>
      <c r="C20" s="12" t="s">
        <v>54</v>
      </c>
      <c r="D20" s="12" t="s">
        <v>56</v>
      </c>
      <c r="E20" s="12" t="s">
        <v>58</v>
      </c>
      <c r="F20" s="12" t="s">
        <v>60</v>
      </c>
      <c r="G20" s="12" t="s">
        <v>62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 t="str">
        <f t="shared" ref="A21:A27" si="2">A12</f>
        <v>Water</v>
      </c>
      <c r="B21" s="13">
        <f>(B2*'Sales Quantity'!B$3)/1000</f>
        <v>36797.565</v>
      </c>
      <c r="C21" s="13">
        <f>(C2*'Sales Quantity'!C$3)/1000</f>
        <v>41368.53</v>
      </c>
      <c r="D21" s="13">
        <f>(D2*'Sales Quantity'!D$3)/1000</f>
        <v>47817.105</v>
      </c>
      <c r="E21" s="13">
        <f>(E2*'Sales Quantity'!E$3)/1000</f>
        <v>53553.885</v>
      </c>
      <c r="F21" s="13">
        <f>(F2*'Sales Quantity'!F$3)/1000</f>
        <v>60463.935</v>
      </c>
      <c r="G21" s="13">
        <f>(G2*'Sales Quantity'!G$3)/1000</f>
        <v>68804.295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 t="str">
        <f t="shared" si="2"/>
        <v>Milk</v>
      </c>
      <c r="B22" s="13">
        <f>(B3*'Sales Quantity'!B$3)/1000</f>
        <v>36797.565</v>
      </c>
      <c r="C22" s="13">
        <f>(C3*'Sales Quantity'!C$3)/1000</f>
        <v>41368.53</v>
      </c>
      <c r="D22" s="13">
        <f>(D3*'Sales Quantity'!D$3)/1000</f>
        <v>47817.105</v>
      </c>
      <c r="E22" s="13">
        <f>(E3*'Sales Quantity'!E$3)/1000</f>
        <v>53553.885</v>
      </c>
      <c r="F22" s="13">
        <f>(F3*'Sales Quantity'!F$3)/1000</f>
        <v>60463.935</v>
      </c>
      <c r="G22" s="13">
        <f>(G3*'Sales Quantity'!G$3)/1000</f>
        <v>68804.295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 t="str">
        <f t="shared" si="2"/>
        <v>Pea Protein Extract</v>
      </c>
      <c r="B23" s="13">
        <f>(B4*'Sales Quantity'!B$3)/1000</f>
        <v>10513.59</v>
      </c>
      <c r="C23" s="13">
        <f>(C4*'Sales Quantity'!C$3)/1000</f>
        <v>11819.58</v>
      </c>
      <c r="D23" s="13">
        <f>(D4*'Sales Quantity'!D$3)/1000</f>
        <v>13662.03</v>
      </c>
      <c r="E23" s="13">
        <f>(E4*'Sales Quantity'!E$3)/1000</f>
        <v>15301.11</v>
      </c>
      <c r="F23" s="13">
        <f>(F4*'Sales Quantity'!F$3)/1000</f>
        <v>17275.41</v>
      </c>
      <c r="G23" s="13">
        <f>(G4*'Sales Quantity'!G$3)/1000</f>
        <v>19658.37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 t="str">
        <f t="shared" si="2"/>
        <v>Coffee Bean Extract</v>
      </c>
      <c r="B24" s="13">
        <f>(B5*'Sales Quantity'!B$3)/1000</f>
        <v>10513.59</v>
      </c>
      <c r="C24" s="13">
        <f>(C5*'Sales Quantity'!C$3)/1000</f>
        <v>11819.58</v>
      </c>
      <c r="D24" s="13">
        <f>(D5*'Sales Quantity'!D$3)/1000</f>
        <v>13662.03</v>
      </c>
      <c r="E24" s="13">
        <f>(E5*'Sales Quantity'!E$3)/1000</f>
        <v>15301.11</v>
      </c>
      <c r="F24" s="13">
        <f>(F5*'Sales Quantity'!F$3)/1000</f>
        <v>17275.41</v>
      </c>
      <c r="G24" s="13">
        <f>(G5*'Sales Quantity'!G$3)/1000</f>
        <v>19658.37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 t="str">
        <f t="shared" si="2"/>
        <v>Dates Extract</v>
      </c>
      <c r="B25" s="13">
        <f>(B6*'Sales Quantity'!B$3)/1000</f>
        <v>5256.795</v>
      </c>
      <c r="C25" s="13">
        <f>(C6*'Sales Quantity'!C$3)/1000</f>
        <v>5909.79</v>
      </c>
      <c r="D25" s="13">
        <f>(D6*'Sales Quantity'!D$3)/1000</f>
        <v>6831.015</v>
      </c>
      <c r="E25" s="13">
        <f>(E6*'Sales Quantity'!E$3)/1000</f>
        <v>7650.555</v>
      </c>
      <c r="F25" s="13">
        <f>(F6*'Sales Quantity'!F$3)/1000</f>
        <v>8637.705</v>
      </c>
      <c r="G25" s="13">
        <f>(G6*'Sales Quantity'!G$3)/1000</f>
        <v>9829.185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 t="str">
        <f t="shared" si="2"/>
        <v>Monk Fruit Extract</v>
      </c>
      <c r="B26" s="13">
        <f>(B7*'Sales Quantity'!B$3)/1000</f>
        <v>2102.718</v>
      </c>
      <c r="C26" s="13">
        <f>(C7*'Sales Quantity'!C$3)/1000</f>
        <v>2363.916</v>
      </c>
      <c r="D26" s="13">
        <f>(D7*'Sales Quantity'!D$3)/1000</f>
        <v>2732.406</v>
      </c>
      <c r="E26" s="13">
        <f>(E7*'Sales Quantity'!E$3)/1000</f>
        <v>3060.222</v>
      </c>
      <c r="F26" s="13">
        <f>(F7*'Sales Quantity'!F$3)/1000</f>
        <v>3455.082</v>
      </c>
      <c r="G26" s="13">
        <f>(G7*'Sales Quantity'!G$3)/1000</f>
        <v>3931.674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 t="str">
        <f t="shared" si="2"/>
        <v>Other Ingredients</v>
      </c>
      <c r="B27" s="13">
        <f>(B8*'Sales Quantity'!B$3)/1000</f>
        <v>3154.077</v>
      </c>
      <c r="C27" s="13">
        <f>(C8*'Sales Quantity'!C$3)/1000</f>
        <v>3545.874</v>
      </c>
      <c r="D27" s="13">
        <f>(D8*'Sales Quantity'!D$3)/1000</f>
        <v>4098.609</v>
      </c>
      <c r="E27" s="13">
        <f>(E8*'Sales Quantity'!E$3)/1000</f>
        <v>4590.333</v>
      </c>
      <c r="F27" s="13">
        <f>(F8*'Sales Quantity'!F$3)/1000</f>
        <v>5182.623</v>
      </c>
      <c r="G27" s="13">
        <f>(G8*'Sales Quantity'!G$3)/1000</f>
        <v>5897.511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45" t="s">
        <v>130</v>
      </c>
      <c r="B31" s="12" t="s">
        <v>52</v>
      </c>
      <c r="C31" s="12" t="s">
        <v>54</v>
      </c>
      <c r="D31" s="12" t="s">
        <v>56</v>
      </c>
      <c r="E31" s="12" t="s">
        <v>58</v>
      </c>
      <c r="F31" s="12" t="s">
        <v>60</v>
      </c>
      <c r="G31" s="12" t="s">
        <v>62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 t="str">
        <f>Assumptions!E7</f>
        <v>Water</v>
      </c>
      <c r="B32" s="13">
        <f>Assumptions!$B$3*Assumptions!$F7</f>
        <v>84</v>
      </c>
      <c r="C32" s="13">
        <f>Assumptions!$B$3*Assumptions!$F7</f>
        <v>84</v>
      </c>
      <c r="D32" s="13">
        <f>Assumptions!$B$3*Assumptions!$F7</f>
        <v>84</v>
      </c>
      <c r="E32" s="13">
        <f>Assumptions!$B$3*Assumptions!$F7</f>
        <v>84</v>
      </c>
      <c r="F32" s="13">
        <f>Assumptions!$B$3*Assumptions!$F7</f>
        <v>84</v>
      </c>
      <c r="G32" s="13">
        <f>Assumptions!$B$3*Assumptions!$F7</f>
        <v>84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 t="str">
        <f>Assumptions!E8</f>
        <v>Dates Extract</v>
      </c>
      <c r="B33" s="13">
        <f>Assumptions!$B$3*Assumptions!$F8</f>
        <v>12</v>
      </c>
      <c r="C33" s="13">
        <f>Assumptions!$B$3*Assumptions!$F8</f>
        <v>12</v>
      </c>
      <c r="D33" s="13">
        <f>Assumptions!$B$3*Assumptions!$F8</f>
        <v>12</v>
      </c>
      <c r="E33" s="13">
        <f>Assumptions!$B$3*Assumptions!$F8</f>
        <v>12</v>
      </c>
      <c r="F33" s="13">
        <f>Assumptions!$B$3*Assumptions!$F8</f>
        <v>12</v>
      </c>
      <c r="G33" s="13">
        <f>Assumptions!$B$3*Assumptions!$F8</f>
        <v>12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 t="str">
        <f>Assumptions!E9</f>
        <v>Other Ingredients</v>
      </c>
      <c r="B34" s="13">
        <f>Assumptions!$B$3*Assumptions!$F9</f>
        <v>6</v>
      </c>
      <c r="C34" s="13">
        <f>Assumptions!$B$3*Assumptions!$F9</f>
        <v>6</v>
      </c>
      <c r="D34" s="13">
        <f>Assumptions!$B$3*Assumptions!$F9</f>
        <v>6</v>
      </c>
      <c r="E34" s="13">
        <f>Assumptions!$B$3*Assumptions!$F9</f>
        <v>6</v>
      </c>
      <c r="F34" s="13">
        <f>Assumptions!$B$3*Assumptions!$F9</f>
        <v>6</v>
      </c>
      <c r="G34" s="13">
        <f>Assumptions!$B$3*Assumptions!$F9</f>
        <v>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 t="str">
        <f>Assumptions!E10</f>
        <v>Oats Extract</v>
      </c>
      <c r="B35" s="13">
        <f>Assumptions!$B$3*Assumptions!$F10</f>
        <v>40</v>
      </c>
      <c r="C35" s="13">
        <f>Assumptions!$B$3*Assumptions!$F10</f>
        <v>40</v>
      </c>
      <c r="D35" s="13">
        <f>Assumptions!$B$3*Assumptions!$F10</f>
        <v>40</v>
      </c>
      <c r="E35" s="13">
        <f>Assumptions!$B$3*Assumptions!$F10</f>
        <v>40</v>
      </c>
      <c r="F35" s="13">
        <f>Assumptions!$B$3*Assumptions!$F10</f>
        <v>40</v>
      </c>
      <c r="G35" s="13">
        <f>Assumptions!$B$3*Assumptions!$F10</f>
        <v>40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 t="str">
        <f>Assumptions!E11</f>
        <v>Ragi Extract</v>
      </c>
      <c r="B36" s="13">
        <f>Assumptions!$B$3*Assumptions!$F11</f>
        <v>30</v>
      </c>
      <c r="C36" s="13">
        <f>Assumptions!$B$3*Assumptions!$F11</f>
        <v>30</v>
      </c>
      <c r="D36" s="13">
        <f>Assumptions!$B$3*Assumptions!$F11</f>
        <v>30</v>
      </c>
      <c r="E36" s="13">
        <f>Assumptions!$B$3*Assumptions!$F11</f>
        <v>30</v>
      </c>
      <c r="F36" s="13">
        <f>Assumptions!$B$3*Assumptions!$F11</f>
        <v>30</v>
      </c>
      <c r="G36" s="13">
        <f>Assumptions!$B$3*Assumptions!$F11</f>
        <v>30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 t="str">
        <f>Assumptions!E12</f>
        <v>Jowar Extract</v>
      </c>
      <c r="B37" s="13">
        <f>Assumptions!$B$3*Assumptions!$F12</f>
        <v>14</v>
      </c>
      <c r="C37" s="13">
        <f>Assumptions!$B$3*Assumptions!$F12</f>
        <v>14</v>
      </c>
      <c r="D37" s="13">
        <f>Assumptions!$B$3*Assumptions!$F12</f>
        <v>14</v>
      </c>
      <c r="E37" s="13">
        <f>Assumptions!$B$3*Assumptions!$F12</f>
        <v>14</v>
      </c>
      <c r="F37" s="13">
        <f>Assumptions!$B$3*Assumptions!$F12</f>
        <v>14</v>
      </c>
      <c r="G37" s="13">
        <f>Assumptions!$B$3*Assumptions!$F12</f>
        <v>14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 t="str">
        <f>Assumptions!E13</f>
        <v>Bajra Extract</v>
      </c>
      <c r="B38" s="13">
        <f>Assumptions!$B$3*Assumptions!$F13</f>
        <v>14</v>
      </c>
      <c r="C38" s="13">
        <f>Assumptions!$B$3*Assumptions!$F13</f>
        <v>14</v>
      </c>
      <c r="D38" s="13">
        <f>Assumptions!$B$3*Assumptions!$F13</f>
        <v>14</v>
      </c>
      <c r="E38" s="13">
        <f>Assumptions!$B$3*Assumptions!$F13</f>
        <v>14</v>
      </c>
      <c r="F38" s="13">
        <f>Assumptions!$B$3*Assumptions!$F13</f>
        <v>14</v>
      </c>
      <c r="G38" s="13">
        <f>Assumptions!$B$3*Assumptions!$F13</f>
        <v>14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45" t="s">
        <v>131</v>
      </c>
      <c r="B40" s="12" t="s">
        <v>52</v>
      </c>
      <c r="C40" s="12" t="s">
        <v>54</v>
      </c>
      <c r="D40" s="12" t="s">
        <v>56</v>
      </c>
      <c r="E40" s="12" t="s">
        <v>58</v>
      </c>
      <c r="F40" s="12" t="s">
        <v>60</v>
      </c>
      <c r="G40" s="12" t="s">
        <v>62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 t="str">
        <f t="shared" ref="A41:A47" si="3">A32</f>
        <v>Water</v>
      </c>
      <c r="B41" s="13">
        <f>(B32*'Sales Quantity'!B$6)/1000</f>
        <v>22950.648</v>
      </c>
      <c r="C41" s="13">
        <f>(C32*'Sales Quantity'!C$6)/1000</f>
        <v>25861.92</v>
      </c>
      <c r="D41" s="13">
        <f>(D32*'Sales Quantity'!D$6)/1000</f>
        <v>29315.412</v>
      </c>
      <c r="E41" s="13">
        <f>(E32*'Sales Quantity'!E$6)/1000</f>
        <v>33394.452</v>
      </c>
      <c r="F41" s="13">
        <f>(F32*'Sales Quantity'!F$6)/1000</f>
        <v>38131.296</v>
      </c>
      <c r="G41" s="13">
        <f>(G32*'Sales Quantity'!G$6)/1000</f>
        <v>43540.224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 t="str">
        <f t="shared" si="3"/>
        <v>Dates Extract</v>
      </c>
      <c r="B42" s="13">
        <f>(B33*'Sales Quantity'!B$6)/1000</f>
        <v>3278.664</v>
      </c>
      <c r="C42" s="13">
        <f>(C33*'Sales Quantity'!C$6)/1000</f>
        <v>3694.56</v>
      </c>
      <c r="D42" s="13">
        <f>(D33*'Sales Quantity'!D$6)/1000</f>
        <v>4187.916</v>
      </c>
      <c r="E42" s="13">
        <f>(E33*'Sales Quantity'!E$6)/1000</f>
        <v>4770.636</v>
      </c>
      <c r="F42" s="13">
        <f>(F33*'Sales Quantity'!F$6)/1000</f>
        <v>5447.328</v>
      </c>
      <c r="G42" s="13">
        <f>(G33*'Sales Quantity'!G$6)/1000</f>
        <v>6220.032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 t="str">
        <f t="shared" si="3"/>
        <v>Other Ingredients</v>
      </c>
      <c r="B43" s="13">
        <f>(B34*'Sales Quantity'!B$6)/1000</f>
        <v>1639.332</v>
      </c>
      <c r="C43" s="13">
        <f>(C34*'Sales Quantity'!C$6)/1000</f>
        <v>1847.28</v>
      </c>
      <c r="D43" s="13">
        <f>(D34*'Sales Quantity'!D$6)/1000</f>
        <v>2093.958</v>
      </c>
      <c r="E43" s="13">
        <f>(E34*'Sales Quantity'!E$6)/1000</f>
        <v>2385.318</v>
      </c>
      <c r="F43" s="13">
        <f>(F34*'Sales Quantity'!F$6)/1000</f>
        <v>2723.664</v>
      </c>
      <c r="G43" s="13">
        <f>(G34*'Sales Quantity'!G$6)/1000</f>
        <v>3110.016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 t="str">
        <f t="shared" si="3"/>
        <v>Oats Extract</v>
      </c>
      <c r="B44" s="13">
        <f>(B35*'Sales Quantity'!B$6)/1000</f>
        <v>10928.88</v>
      </c>
      <c r="C44" s="13">
        <f>(C35*'Sales Quantity'!C$6)/1000</f>
        <v>12315.2</v>
      </c>
      <c r="D44" s="13">
        <f>(D35*'Sales Quantity'!D$6)/1000</f>
        <v>13959.72</v>
      </c>
      <c r="E44" s="13">
        <f>(E35*'Sales Quantity'!E$6)/1000</f>
        <v>15902.12</v>
      </c>
      <c r="F44" s="13">
        <f>(F35*'Sales Quantity'!F$6)/1000</f>
        <v>18157.76</v>
      </c>
      <c r="G44" s="13">
        <f>(G35*'Sales Quantity'!G$6)/1000</f>
        <v>20733.44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 t="str">
        <f t="shared" si="3"/>
        <v>Ragi Extract</v>
      </c>
      <c r="B45" s="13">
        <f>(B36*'Sales Quantity'!B$6)/1000</f>
        <v>8196.66</v>
      </c>
      <c r="C45" s="13">
        <f>(C36*'Sales Quantity'!C$6)/1000</f>
        <v>9236.4</v>
      </c>
      <c r="D45" s="13">
        <f>(D36*'Sales Quantity'!D$6)/1000</f>
        <v>10469.79</v>
      </c>
      <c r="E45" s="13">
        <f>(E36*'Sales Quantity'!E$6)/1000</f>
        <v>11926.59</v>
      </c>
      <c r="F45" s="13">
        <f>(F36*'Sales Quantity'!F$6)/1000</f>
        <v>13618.32</v>
      </c>
      <c r="G45" s="13">
        <f>(G36*'Sales Quantity'!G$6)/1000</f>
        <v>15550.08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 t="str">
        <f t="shared" si="3"/>
        <v>Jowar Extract</v>
      </c>
      <c r="B46" s="13">
        <f>(B37*'Sales Quantity'!B$6)/1000</f>
        <v>3825.108</v>
      </c>
      <c r="C46" s="13">
        <f>(C37*'Sales Quantity'!C$6)/1000</f>
        <v>4310.32</v>
      </c>
      <c r="D46" s="13">
        <f>(D37*'Sales Quantity'!D$6)/1000</f>
        <v>4885.902</v>
      </c>
      <c r="E46" s="13">
        <f>(E37*'Sales Quantity'!E$6)/1000</f>
        <v>5565.742</v>
      </c>
      <c r="F46" s="13">
        <f>(F37*'Sales Quantity'!F$6)/1000</f>
        <v>6355.216</v>
      </c>
      <c r="G46" s="13">
        <f>(G37*'Sales Quantity'!G$6)/1000</f>
        <v>7256.704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 t="str">
        <f t="shared" si="3"/>
        <v>Bajra Extract</v>
      </c>
      <c r="B47" s="13">
        <f>(B38*'Sales Quantity'!B$6)/1000</f>
        <v>3825.108</v>
      </c>
      <c r="C47" s="13">
        <f>(C38*'Sales Quantity'!C$6)/1000</f>
        <v>4310.32</v>
      </c>
      <c r="D47" s="13">
        <f>(D38*'Sales Quantity'!D$6)/1000</f>
        <v>4885.902</v>
      </c>
      <c r="E47" s="13">
        <f>(E38*'Sales Quantity'!E$6)/1000</f>
        <v>5565.742</v>
      </c>
      <c r="F47" s="13">
        <f>(F38*'Sales Quantity'!F$6)/1000</f>
        <v>6355.216</v>
      </c>
      <c r="G47" s="13">
        <f>(G38*'Sales Quantity'!G$6)/1000</f>
        <v>7256.704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45" t="s">
        <v>132</v>
      </c>
      <c r="B49" s="12" t="s">
        <v>52</v>
      </c>
      <c r="C49" s="12" t="s">
        <v>54</v>
      </c>
      <c r="D49" s="12" t="s">
        <v>56</v>
      </c>
      <c r="E49" s="12" t="s">
        <v>58</v>
      </c>
      <c r="F49" s="12" t="s">
        <v>60</v>
      </c>
      <c r="G49" s="12" t="s">
        <v>62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 t="str">
        <f t="shared" ref="A50:A56" si="4">A41</f>
        <v>Water</v>
      </c>
      <c r="B50" s="13">
        <f>(B32*'Sales Quantity'!B$7)/1000</f>
        <v>26531.82</v>
      </c>
      <c r="C50" s="13">
        <f>(C32*'Sales Quantity'!C$7)/1000</f>
        <v>29590.26</v>
      </c>
      <c r="D50" s="13">
        <f>(D32*'Sales Quantity'!D$7)/1000</f>
        <v>33703.908</v>
      </c>
      <c r="E50" s="13">
        <f>(E32*'Sales Quantity'!E$7)/1000</f>
        <v>38815.14</v>
      </c>
      <c r="F50" s="13">
        <f>(F32*'Sales Quantity'!F$7)/1000</f>
        <v>43618.932</v>
      </c>
      <c r="G50" s="13">
        <f>(G32*'Sales Quantity'!G$7)/1000</f>
        <v>50202.936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 t="str">
        <f t="shared" si="4"/>
        <v>Dates Extract</v>
      </c>
      <c r="B51" s="13">
        <f>(B33*'Sales Quantity'!B$7)/1000</f>
        <v>3790.26</v>
      </c>
      <c r="C51" s="13">
        <f>(C33*'Sales Quantity'!C$7)/1000</f>
        <v>4227.18</v>
      </c>
      <c r="D51" s="13">
        <f>(D33*'Sales Quantity'!D$7)/1000</f>
        <v>4814.844</v>
      </c>
      <c r="E51" s="13">
        <f>(E33*'Sales Quantity'!E$7)/1000</f>
        <v>5545.02</v>
      </c>
      <c r="F51" s="13">
        <f>(F33*'Sales Quantity'!F$7)/1000</f>
        <v>6231.276</v>
      </c>
      <c r="G51" s="13">
        <f>(G33*'Sales Quantity'!G$7)/1000</f>
        <v>7171.848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 t="str">
        <f t="shared" si="4"/>
        <v>Other Ingredients</v>
      </c>
      <c r="B52" s="13">
        <f>(B34*'Sales Quantity'!B$7)/1000</f>
        <v>1895.13</v>
      </c>
      <c r="C52" s="13">
        <f>(C34*'Sales Quantity'!C$7)/1000</f>
        <v>2113.59</v>
      </c>
      <c r="D52" s="13">
        <f>(D34*'Sales Quantity'!D$7)/1000</f>
        <v>2407.422</v>
      </c>
      <c r="E52" s="13">
        <f>(E34*'Sales Quantity'!E$7)/1000</f>
        <v>2772.51</v>
      </c>
      <c r="F52" s="13">
        <f>(F34*'Sales Quantity'!F$7)/1000</f>
        <v>3115.638</v>
      </c>
      <c r="G52" s="13">
        <f>(G34*'Sales Quantity'!G$7)/1000</f>
        <v>3585.924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 t="str">
        <f t="shared" si="4"/>
        <v>Oats Extract</v>
      </c>
      <c r="B53" s="13">
        <f>(B35*'Sales Quantity'!B$7)/1000</f>
        <v>12634.2</v>
      </c>
      <c r="C53" s="13">
        <f>(C35*'Sales Quantity'!C$7)/1000</f>
        <v>14090.6</v>
      </c>
      <c r="D53" s="13">
        <f>(D35*'Sales Quantity'!D$7)/1000</f>
        <v>16049.48</v>
      </c>
      <c r="E53" s="13">
        <f>(E35*'Sales Quantity'!E$7)/1000</f>
        <v>18483.4</v>
      </c>
      <c r="F53" s="13">
        <f>(F35*'Sales Quantity'!F$7)/1000</f>
        <v>20770.92</v>
      </c>
      <c r="G53" s="13">
        <f>(G35*'Sales Quantity'!G$7)/1000</f>
        <v>23906.16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 t="str">
        <f t="shared" si="4"/>
        <v>Ragi Extract</v>
      </c>
      <c r="B54" s="13">
        <f>(B36*'Sales Quantity'!B$7)/1000</f>
        <v>9475.65</v>
      </c>
      <c r="C54" s="13">
        <f>(C36*'Sales Quantity'!C$7)/1000</f>
        <v>10567.95</v>
      </c>
      <c r="D54" s="13">
        <f>(D36*'Sales Quantity'!D$7)/1000</f>
        <v>12037.11</v>
      </c>
      <c r="E54" s="13">
        <f>(E36*'Sales Quantity'!E$7)/1000</f>
        <v>13862.55</v>
      </c>
      <c r="F54" s="13">
        <f>(F36*'Sales Quantity'!F$7)/1000</f>
        <v>15578.19</v>
      </c>
      <c r="G54" s="13">
        <f>(G36*'Sales Quantity'!G$7)/1000</f>
        <v>17929.62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 t="str">
        <f t="shared" si="4"/>
        <v>Jowar Extract</v>
      </c>
      <c r="B55" s="13">
        <f>(B37*'Sales Quantity'!B$7)/1000</f>
        <v>4421.97</v>
      </c>
      <c r="C55" s="13">
        <f>(C37*'Sales Quantity'!C$7)/1000</f>
        <v>4931.71</v>
      </c>
      <c r="D55" s="13">
        <f>(D37*'Sales Quantity'!D$7)/1000</f>
        <v>5617.318</v>
      </c>
      <c r="E55" s="13">
        <f>(E37*'Sales Quantity'!E$7)/1000</f>
        <v>6469.19</v>
      </c>
      <c r="F55" s="13">
        <f>(F37*'Sales Quantity'!F$7)/1000</f>
        <v>7269.822</v>
      </c>
      <c r="G55" s="13">
        <f>(G37*'Sales Quantity'!G$7)/1000</f>
        <v>8367.156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 t="str">
        <f t="shared" si="4"/>
        <v>Bajra Extract</v>
      </c>
      <c r="B56" s="13">
        <f>(B38*'Sales Quantity'!B$7)/1000</f>
        <v>4421.97</v>
      </c>
      <c r="C56" s="13">
        <f>(C38*'Sales Quantity'!C$7)/1000</f>
        <v>4931.71</v>
      </c>
      <c r="D56" s="13">
        <f>(D38*'Sales Quantity'!D$7)/1000</f>
        <v>5617.318</v>
      </c>
      <c r="E56" s="13">
        <f>(E38*'Sales Quantity'!E$7)/1000</f>
        <v>6469.19</v>
      </c>
      <c r="F56" s="13">
        <f>(F38*'Sales Quantity'!F$7)/1000</f>
        <v>7269.822</v>
      </c>
      <c r="G56" s="13">
        <f>(G38*'Sales Quantity'!G$7)/1000</f>
        <v>8367.156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6" width="12.63"/>
  </cols>
  <sheetData>
    <row r="1" ht="15.75" customHeight="1">
      <c r="A1" s="45" t="s">
        <v>133</v>
      </c>
      <c r="B1" s="12" t="s">
        <v>52</v>
      </c>
      <c r="C1" s="12" t="s">
        <v>54</v>
      </c>
      <c r="D1" s="12" t="s">
        <v>56</v>
      </c>
      <c r="E1" s="12" t="s">
        <v>58</v>
      </c>
      <c r="F1" s="12" t="s">
        <v>60</v>
      </c>
      <c r="G1" s="12" t="s">
        <v>62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3" t="str">
        <f>'RM Consumed'!A12</f>
        <v>Water</v>
      </c>
      <c r="B2" s="13">
        <f>'RM Consumed'!B12*Assumptions!$C7</f>
        <v>259893.48</v>
      </c>
      <c r="C2" s="13">
        <f>'RM Consumed'!C12*Assumptions!$C7</f>
        <v>292931.52</v>
      </c>
      <c r="D2" s="13">
        <f>'RM Consumed'!D12*Assumptions!$C7</f>
        <v>330844.08</v>
      </c>
      <c r="E2" s="13">
        <f>'RM Consumed'!E12*Assumptions!$C7</f>
        <v>372042.72</v>
      </c>
      <c r="F2" s="13">
        <f>'RM Consumed'!F12*Assumptions!$C7</f>
        <v>420354.48</v>
      </c>
      <c r="G2" s="13">
        <f>'RM Consumed'!G12*Assumptions!$C7</f>
        <v>475127.52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3" t="str">
        <f>'RM Consumed'!A13</f>
        <v>Milk</v>
      </c>
      <c r="B3" s="13">
        <f>'RM Consumed'!B13*Assumptions!$C8</f>
        <v>1624334.25</v>
      </c>
      <c r="C3" s="13">
        <f>'RM Consumed'!C13*Assumptions!$C8</f>
        <v>1830822</v>
      </c>
      <c r="D3" s="13">
        <f>'RM Consumed'!D13*Assumptions!$C8</f>
        <v>2067775.5</v>
      </c>
      <c r="E3" s="13">
        <f>'RM Consumed'!E13*Assumptions!$C8</f>
        <v>2325267</v>
      </c>
      <c r="F3" s="13">
        <f>'RM Consumed'!F13*Assumptions!$C8</f>
        <v>2627215.5</v>
      </c>
      <c r="G3" s="13">
        <f>'RM Consumed'!G13*Assumptions!$C8</f>
        <v>2969547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 t="str">
        <f>'RM Consumed'!A14</f>
        <v>Pea Protein Extract</v>
      </c>
      <c r="B4" s="13">
        <f>'RM Consumed'!B14*Assumptions!$C9</f>
        <v>3712764</v>
      </c>
      <c r="C4" s="13">
        <f>'RM Consumed'!C14*Assumptions!$C9</f>
        <v>4184736</v>
      </c>
      <c r="D4" s="13">
        <f>'RM Consumed'!D14*Assumptions!$C9</f>
        <v>4726344</v>
      </c>
      <c r="E4" s="13">
        <f>'RM Consumed'!E14*Assumptions!$C9</f>
        <v>5314896</v>
      </c>
      <c r="F4" s="13">
        <f>'RM Consumed'!F14*Assumptions!$C9</f>
        <v>6005064</v>
      </c>
      <c r="G4" s="13">
        <f>'RM Consumed'!G14*Assumptions!$C9</f>
        <v>6787536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 t="str">
        <f>'RM Consumed'!A15</f>
        <v>Coffee Bean Extract</v>
      </c>
      <c r="B5" s="13">
        <f>'RM Consumed'!B15*Assumptions!$C10</f>
        <v>2784573</v>
      </c>
      <c r="C5" s="13">
        <f>'RM Consumed'!C15*Assumptions!$C10</f>
        <v>3138552</v>
      </c>
      <c r="D5" s="13">
        <f>'RM Consumed'!D15*Assumptions!$C10</f>
        <v>3544758</v>
      </c>
      <c r="E5" s="13">
        <f>'RM Consumed'!E15*Assumptions!$C10</f>
        <v>3986172</v>
      </c>
      <c r="F5" s="13">
        <f>'RM Consumed'!F15*Assumptions!$C10</f>
        <v>4503798</v>
      </c>
      <c r="G5" s="13">
        <f>'RM Consumed'!G15*Assumptions!$C10</f>
        <v>5090652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 t="str">
        <f>'RM Consumed'!A16</f>
        <v>Dates Extract</v>
      </c>
      <c r="B6" s="13">
        <f>'RM Consumed'!B16*Assumptions!$C11</f>
        <v>417685.95</v>
      </c>
      <c r="C6" s="13">
        <f>'RM Consumed'!C16*Assumptions!$C11</f>
        <v>470782.8</v>
      </c>
      <c r="D6" s="13">
        <f>'RM Consumed'!D16*Assumptions!$C11</f>
        <v>531713.7</v>
      </c>
      <c r="E6" s="13">
        <f>'RM Consumed'!E16*Assumptions!$C11</f>
        <v>597925.8</v>
      </c>
      <c r="F6" s="13">
        <f>'RM Consumed'!F16*Assumptions!$C11</f>
        <v>675569.7</v>
      </c>
      <c r="G6" s="13">
        <f>'RM Consumed'!G16*Assumptions!$C11</f>
        <v>763597.8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 t="str">
        <f>'RM Consumed'!A17</f>
        <v>Monk Fruit Extract</v>
      </c>
      <c r="B7" s="13">
        <f>'RM Consumed'!B17*Assumptions!$C12</f>
        <v>2042020.2</v>
      </c>
      <c r="C7" s="13">
        <f>'RM Consumed'!C17*Assumptions!$C12</f>
        <v>2301604.8</v>
      </c>
      <c r="D7" s="13">
        <f>'RM Consumed'!D17*Assumptions!$C12</f>
        <v>2599489.2</v>
      </c>
      <c r="E7" s="13">
        <f>'RM Consumed'!E17*Assumptions!$C12</f>
        <v>2923192.8</v>
      </c>
      <c r="F7" s="13">
        <f>'RM Consumed'!F17*Assumptions!$C12</f>
        <v>3302785.2</v>
      </c>
      <c r="G7" s="13">
        <f>'RM Consumed'!G17*Assumptions!$C12</f>
        <v>3733144.8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 t="str">
        <f>'RM Consumed'!A18</f>
        <v>Other Ingredients</v>
      </c>
      <c r="B8" s="13">
        <f>'RM Consumed'!B18*Assumptions!$C13</f>
        <v>3341487.6</v>
      </c>
      <c r="C8" s="13">
        <f>'RM Consumed'!C18*Assumptions!$C13</f>
        <v>3766262.4</v>
      </c>
      <c r="D8" s="13">
        <f>'RM Consumed'!D18*Assumptions!$C13</f>
        <v>4253709.6</v>
      </c>
      <c r="E8" s="13">
        <f>'RM Consumed'!E18*Assumptions!$C13</f>
        <v>4783406.4</v>
      </c>
      <c r="F8" s="13">
        <f>'RM Consumed'!F18*Assumptions!$C13</f>
        <v>5404557.6</v>
      </c>
      <c r="G8" s="13">
        <f>'RM Consumed'!G18*Assumptions!$C13</f>
        <v>6108782.4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46" t="s">
        <v>134</v>
      </c>
      <c r="B9" s="13">
        <f t="shared" ref="B9:G9" si="1">SUM(B2:B8)</f>
        <v>14182758.48</v>
      </c>
      <c r="C9" s="13">
        <f t="shared" si="1"/>
        <v>15985691.52</v>
      </c>
      <c r="D9" s="13">
        <f t="shared" si="1"/>
        <v>18054634.08</v>
      </c>
      <c r="E9" s="13">
        <f t="shared" si="1"/>
        <v>20302902.72</v>
      </c>
      <c r="F9" s="13">
        <f t="shared" si="1"/>
        <v>22939344.48</v>
      </c>
      <c r="G9" s="13">
        <f t="shared" si="1"/>
        <v>25928387.52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46" t="s">
        <v>135</v>
      </c>
      <c r="B10" s="13">
        <f>B9/'Sales Quantity'!B2</f>
        <v>45.84</v>
      </c>
      <c r="C10" s="13">
        <f>C9/'Sales Quantity'!C2</f>
        <v>45.84</v>
      </c>
      <c r="D10" s="13">
        <f>D9/'Sales Quantity'!D2</f>
        <v>45.84</v>
      </c>
      <c r="E10" s="13">
        <f>E9/'Sales Quantity'!E2</f>
        <v>45.84</v>
      </c>
      <c r="F10" s="13">
        <f>F9/'Sales Quantity'!F2</f>
        <v>45.84</v>
      </c>
      <c r="G10" s="13">
        <f>G9/'Sales Quantity'!G2</f>
        <v>45.84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45" t="s">
        <v>136</v>
      </c>
      <c r="B13" s="12" t="s">
        <v>52</v>
      </c>
      <c r="C13" s="12" t="s">
        <v>54</v>
      </c>
      <c r="D13" s="12" t="s">
        <v>56</v>
      </c>
      <c r="E13" s="12" t="s">
        <v>58</v>
      </c>
      <c r="F13" s="12" t="s">
        <v>60</v>
      </c>
      <c r="G13" s="12" t="s">
        <v>62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 t="str">
        <f t="shared" ref="A14:A20" si="2">A2</f>
        <v>Water</v>
      </c>
      <c r="B14" s="13">
        <f>'RM Consumed'!B21*Assumptions!$C7</f>
        <v>294380.52</v>
      </c>
      <c r="C14" s="13">
        <f>'RM Consumed'!C21*Assumptions!$C7</f>
        <v>330948.24</v>
      </c>
      <c r="D14" s="13">
        <f>'RM Consumed'!D21*Assumptions!$C7</f>
        <v>382536.84</v>
      </c>
      <c r="E14" s="13">
        <f>'RM Consumed'!E21*Assumptions!$C7</f>
        <v>428431.08</v>
      </c>
      <c r="F14" s="13">
        <f>'RM Consumed'!F21*Assumptions!$C7</f>
        <v>483711.48</v>
      </c>
      <c r="G14" s="13">
        <f>'RM Consumed'!G21*Assumptions!$C7</f>
        <v>550434.36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 t="str">
        <f t="shared" si="2"/>
        <v>Milk</v>
      </c>
      <c r="B15" s="13">
        <f>'RM Consumed'!B22*Assumptions!$C8</f>
        <v>1839878.25</v>
      </c>
      <c r="C15" s="13">
        <f>'RM Consumed'!C22*Assumptions!$C8</f>
        <v>2068426.5</v>
      </c>
      <c r="D15" s="13">
        <f>'RM Consumed'!D22*Assumptions!$C8</f>
        <v>2390855.25</v>
      </c>
      <c r="E15" s="13">
        <f>'RM Consumed'!E22*Assumptions!$C8</f>
        <v>2677694.25</v>
      </c>
      <c r="F15" s="13">
        <f>'RM Consumed'!F22*Assumptions!$C8</f>
        <v>3023196.75</v>
      </c>
      <c r="G15" s="13">
        <f>'RM Consumed'!G22*Assumptions!$C8</f>
        <v>3440214.75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 t="str">
        <f t="shared" si="2"/>
        <v>Pea Protein Extract</v>
      </c>
      <c r="B16" s="13">
        <f>'RM Consumed'!B23*Assumptions!$C9</f>
        <v>4205436</v>
      </c>
      <c r="C16" s="13">
        <f>'RM Consumed'!C23*Assumptions!$C9</f>
        <v>4727832</v>
      </c>
      <c r="D16" s="13">
        <f>'RM Consumed'!D23*Assumptions!$C9</f>
        <v>5464812</v>
      </c>
      <c r="E16" s="13">
        <f>'RM Consumed'!E23*Assumptions!$C9</f>
        <v>6120444</v>
      </c>
      <c r="F16" s="13">
        <f>'RM Consumed'!F23*Assumptions!$C9</f>
        <v>6910164</v>
      </c>
      <c r="G16" s="13">
        <f>'RM Consumed'!G23*Assumptions!$C9</f>
        <v>7863348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 t="str">
        <f t="shared" si="2"/>
        <v>Coffee Bean Extract</v>
      </c>
      <c r="B17" s="13">
        <f>'RM Consumed'!B24*Assumptions!$C10</f>
        <v>3154077</v>
      </c>
      <c r="C17" s="13">
        <f>'RM Consumed'!C24*Assumptions!$C10</f>
        <v>3545874</v>
      </c>
      <c r="D17" s="13">
        <f>'RM Consumed'!D24*Assumptions!$C10</f>
        <v>4098609</v>
      </c>
      <c r="E17" s="13">
        <f>'RM Consumed'!E24*Assumptions!$C10</f>
        <v>4590333</v>
      </c>
      <c r="F17" s="13">
        <f>'RM Consumed'!F24*Assumptions!$C10</f>
        <v>5182623</v>
      </c>
      <c r="G17" s="13">
        <f>'RM Consumed'!G24*Assumptions!$C10</f>
        <v>5897511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 t="str">
        <f t="shared" si="2"/>
        <v>Dates Extract</v>
      </c>
      <c r="B18" s="13">
        <f>'RM Consumed'!B25*Assumptions!$C11</f>
        <v>473111.55</v>
      </c>
      <c r="C18" s="13">
        <f>'RM Consumed'!C25*Assumptions!$C11</f>
        <v>531881.1</v>
      </c>
      <c r="D18" s="13">
        <f>'RM Consumed'!D25*Assumptions!$C11</f>
        <v>614791.35</v>
      </c>
      <c r="E18" s="13">
        <f>'RM Consumed'!E25*Assumptions!$C11</f>
        <v>688549.95</v>
      </c>
      <c r="F18" s="13">
        <f>'RM Consumed'!F25*Assumptions!$C11</f>
        <v>777393.45</v>
      </c>
      <c r="G18" s="13">
        <f>'RM Consumed'!G25*Assumptions!$C11</f>
        <v>884626.65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 t="str">
        <f t="shared" si="2"/>
        <v>Monk Fruit Extract</v>
      </c>
      <c r="B19" s="13">
        <f>'RM Consumed'!B26*Assumptions!$C12</f>
        <v>2312989.8</v>
      </c>
      <c r="C19" s="13">
        <f>'RM Consumed'!C26*Assumptions!$C12</f>
        <v>2600307.6</v>
      </c>
      <c r="D19" s="13">
        <f>'RM Consumed'!D26*Assumptions!$C12</f>
        <v>3005646.6</v>
      </c>
      <c r="E19" s="13">
        <f>'RM Consumed'!E26*Assumptions!$C12</f>
        <v>3366244.2</v>
      </c>
      <c r="F19" s="13">
        <f>'RM Consumed'!F26*Assumptions!$C12</f>
        <v>3800590.2</v>
      </c>
      <c r="G19" s="13">
        <f>'RM Consumed'!G26*Assumptions!$C12</f>
        <v>4324841.4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 t="str">
        <f t="shared" si="2"/>
        <v>Other Ingredients</v>
      </c>
      <c r="B20" s="13">
        <f>'RM Consumed'!B27*Assumptions!$C13</f>
        <v>3784892.4</v>
      </c>
      <c r="C20" s="13">
        <f>'RM Consumed'!C27*Assumptions!$C13</f>
        <v>4255048.8</v>
      </c>
      <c r="D20" s="13">
        <f>'RM Consumed'!D27*Assumptions!$C13</f>
        <v>4918330.8</v>
      </c>
      <c r="E20" s="13">
        <f>'RM Consumed'!E27*Assumptions!$C13</f>
        <v>5508399.6</v>
      </c>
      <c r="F20" s="13">
        <f>'RM Consumed'!F27*Assumptions!$C13</f>
        <v>6219147.6</v>
      </c>
      <c r="G20" s="13">
        <f>'RM Consumed'!G27*Assumptions!$C13</f>
        <v>7077013.2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46" t="s">
        <v>134</v>
      </c>
      <c r="B21" s="13">
        <f t="shared" ref="B21:G21" si="3">SUM(B14:B20)</f>
        <v>16064765.52</v>
      </c>
      <c r="C21" s="13">
        <f t="shared" si="3"/>
        <v>18060318.24</v>
      </c>
      <c r="D21" s="13">
        <f t="shared" si="3"/>
        <v>20875581.84</v>
      </c>
      <c r="E21" s="13">
        <f t="shared" si="3"/>
        <v>23380096.08</v>
      </c>
      <c r="F21" s="13">
        <f t="shared" si="3"/>
        <v>26396826.48</v>
      </c>
      <c r="G21" s="13">
        <f t="shared" si="3"/>
        <v>30037989.36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46" t="s">
        <v>135</v>
      </c>
      <c r="B22" s="13">
        <f>B21/'Sales Quantity'!B3</f>
        <v>45.84</v>
      </c>
      <c r="C22" s="13">
        <f>C21/'Sales Quantity'!C3</f>
        <v>45.84</v>
      </c>
      <c r="D22" s="13">
        <f>D21/'Sales Quantity'!D3</f>
        <v>45.84</v>
      </c>
      <c r="E22" s="13">
        <f>E21/'Sales Quantity'!E3</f>
        <v>45.84</v>
      </c>
      <c r="F22" s="13">
        <f>F21/'Sales Quantity'!F3</f>
        <v>45.84</v>
      </c>
      <c r="G22" s="13">
        <f>G21/'Sales Quantity'!G3</f>
        <v>45.84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45" t="s">
        <v>137</v>
      </c>
      <c r="B25" s="12" t="s">
        <v>52</v>
      </c>
      <c r="C25" s="12" t="s">
        <v>54</v>
      </c>
      <c r="D25" s="12" t="s">
        <v>56</v>
      </c>
      <c r="E25" s="12" t="s">
        <v>58</v>
      </c>
      <c r="F25" s="12" t="s">
        <v>60</v>
      </c>
      <c r="G25" s="12" t="s">
        <v>62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 t="str">
        <f>'RM Consumed'!A41</f>
        <v>Water</v>
      </c>
      <c r="B26" s="13">
        <f>'RM Consumed'!B41*Assumptions!$G7</f>
        <v>183605.184</v>
      </c>
      <c r="C26" s="13">
        <f>'RM Consumed'!C41*Assumptions!$G7</f>
        <v>206895.36</v>
      </c>
      <c r="D26" s="13">
        <f>'RM Consumed'!D41*Assumptions!$G7</f>
        <v>234523.296</v>
      </c>
      <c r="E26" s="13">
        <f>'RM Consumed'!E41*Assumptions!$G7</f>
        <v>267155.616</v>
      </c>
      <c r="F26" s="13">
        <f>'RM Consumed'!F41*Assumptions!$G7</f>
        <v>305050.368</v>
      </c>
      <c r="G26" s="13">
        <f>'RM Consumed'!G41*Assumptions!$G7</f>
        <v>348321.792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 t="str">
        <f>'RM Consumed'!A42</f>
        <v>Dates Extract</v>
      </c>
      <c r="B27" s="13">
        <f>'RM Consumed'!B42*Assumptions!$G8</f>
        <v>295079.76</v>
      </c>
      <c r="C27" s="13">
        <f>'RM Consumed'!C42*Assumptions!$G8</f>
        <v>332510.4</v>
      </c>
      <c r="D27" s="13">
        <f>'RM Consumed'!D42*Assumptions!$G8</f>
        <v>376912.44</v>
      </c>
      <c r="E27" s="13">
        <f>'RM Consumed'!E42*Assumptions!$G8</f>
        <v>429357.24</v>
      </c>
      <c r="F27" s="13">
        <f>'RM Consumed'!F42*Assumptions!$G8</f>
        <v>490259.52</v>
      </c>
      <c r="G27" s="13">
        <f>'RM Consumed'!G42*Assumptions!$G8</f>
        <v>559802.88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 t="str">
        <f>'RM Consumed'!A43</f>
        <v>Other Ingredients</v>
      </c>
      <c r="B28" s="13">
        <f>'RM Consumed'!B43*Assumptions!$G9</f>
        <v>1967198.4</v>
      </c>
      <c r="C28" s="13">
        <f>'RM Consumed'!C43*Assumptions!$G9</f>
        <v>2216736</v>
      </c>
      <c r="D28" s="13">
        <f>'RM Consumed'!D43*Assumptions!$G9</f>
        <v>2512749.6</v>
      </c>
      <c r="E28" s="13">
        <f>'RM Consumed'!E43*Assumptions!$G9</f>
        <v>2862381.6</v>
      </c>
      <c r="F28" s="13">
        <f>'RM Consumed'!F43*Assumptions!$G9</f>
        <v>3268396.8</v>
      </c>
      <c r="G28" s="13">
        <f>'RM Consumed'!G43*Assumptions!$G9</f>
        <v>3732019.2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 t="str">
        <f>'RM Consumed'!A44</f>
        <v>Oats Extract</v>
      </c>
      <c r="B29" s="13">
        <f>'RM Consumed'!B44*Assumptions!$G10</f>
        <v>874310.4</v>
      </c>
      <c r="C29" s="13">
        <f>'RM Consumed'!C44*Assumptions!$G10</f>
        <v>985216</v>
      </c>
      <c r="D29" s="13">
        <f>'RM Consumed'!D44*Assumptions!$G10</f>
        <v>1116777.6</v>
      </c>
      <c r="E29" s="13">
        <f>'RM Consumed'!E44*Assumptions!$G10</f>
        <v>1272169.6</v>
      </c>
      <c r="F29" s="13">
        <f>'RM Consumed'!F44*Assumptions!$G10</f>
        <v>1452620.8</v>
      </c>
      <c r="G29" s="13">
        <f>'RM Consumed'!G44*Assumptions!$G10</f>
        <v>1658675.2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 t="str">
        <f>'RM Consumed'!A45</f>
        <v>Ragi Extract</v>
      </c>
      <c r="B30" s="13">
        <f>'RM Consumed'!B45*Assumptions!$G11</f>
        <v>327866.4</v>
      </c>
      <c r="C30" s="13">
        <f>'RM Consumed'!C45*Assumptions!$G11</f>
        <v>369456</v>
      </c>
      <c r="D30" s="13">
        <f>'RM Consumed'!D45*Assumptions!$G11</f>
        <v>418791.6</v>
      </c>
      <c r="E30" s="13">
        <f>'RM Consumed'!E45*Assumptions!$G11</f>
        <v>477063.6</v>
      </c>
      <c r="F30" s="13">
        <f>'RM Consumed'!F45*Assumptions!$G11</f>
        <v>544732.8</v>
      </c>
      <c r="G30" s="13">
        <f>'RM Consumed'!G45*Assumptions!$G11</f>
        <v>622003.2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 t="str">
        <f>'RM Consumed'!A46</f>
        <v>Jowar Extract</v>
      </c>
      <c r="B31" s="13">
        <f>'RM Consumed'!B46*Assumptions!$G12</f>
        <v>110928.132</v>
      </c>
      <c r="C31" s="13">
        <f>'RM Consumed'!C46*Assumptions!$G12</f>
        <v>124999.28</v>
      </c>
      <c r="D31" s="13">
        <f>'RM Consumed'!D46*Assumptions!$G12</f>
        <v>141691.158</v>
      </c>
      <c r="E31" s="13">
        <f>'RM Consumed'!E46*Assumptions!$G12</f>
        <v>161406.518</v>
      </c>
      <c r="F31" s="13">
        <f>'RM Consumed'!F46*Assumptions!$G12</f>
        <v>184301.264</v>
      </c>
      <c r="G31" s="13">
        <f>'RM Consumed'!G46*Assumptions!$G12</f>
        <v>210444.416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 t="str">
        <f>'RM Consumed'!A47</f>
        <v>Bajra Extract</v>
      </c>
      <c r="B32" s="13">
        <f>'RM Consumed'!B47*Assumptions!$G13</f>
        <v>95627.7</v>
      </c>
      <c r="C32" s="13">
        <f>'RM Consumed'!C47*Assumptions!$G13</f>
        <v>107758</v>
      </c>
      <c r="D32" s="13">
        <f>'RM Consumed'!D47*Assumptions!$G13</f>
        <v>122147.55</v>
      </c>
      <c r="E32" s="13">
        <f>'RM Consumed'!E47*Assumptions!$G13</f>
        <v>139143.55</v>
      </c>
      <c r="F32" s="13">
        <f>'RM Consumed'!F47*Assumptions!$G13</f>
        <v>158880.4</v>
      </c>
      <c r="G32" s="13">
        <f>'RM Consumed'!G47*Assumptions!$G13</f>
        <v>181417.6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46" t="s">
        <v>134</v>
      </c>
      <c r="B33" s="13">
        <f t="shared" ref="B33:G33" si="4">SUM(B26:B32)</f>
        <v>3854615.976</v>
      </c>
      <c r="C33" s="13">
        <f t="shared" si="4"/>
        <v>4343571.04</v>
      </c>
      <c r="D33" s="13">
        <f t="shared" si="4"/>
        <v>4923593.244</v>
      </c>
      <c r="E33" s="13">
        <f t="shared" si="4"/>
        <v>5608677.724</v>
      </c>
      <c r="F33" s="13">
        <f t="shared" si="4"/>
        <v>6404241.952</v>
      </c>
      <c r="G33" s="13">
        <f t="shared" si="4"/>
        <v>7312684.288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46" t="s">
        <v>135</v>
      </c>
      <c r="B34" s="13">
        <f>B33/'Sales Quantity'!B6</f>
        <v>14.108</v>
      </c>
      <c r="C34" s="13">
        <f>C33/'Sales Quantity'!C6</f>
        <v>14.108</v>
      </c>
      <c r="D34" s="13">
        <f>D33/'Sales Quantity'!D6</f>
        <v>14.108</v>
      </c>
      <c r="E34" s="13">
        <f>E33/'Sales Quantity'!E6</f>
        <v>14.108</v>
      </c>
      <c r="F34" s="13">
        <f>F33/'Sales Quantity'!F6</f>
        <v>14.108</v>
      </c>
      <c r="G34" s="13">
        <f>G33/'Sales Quantity'!G6</f>
        <v>14.108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45" t="s">
        <v>138</v>
      </c>
      <c r="B37" s="12" t="s">
        <v>52</v>
      </c>
      <c r="C37" s="12" t="s">
        <v>54</v>
      </c>
      <c r="D37" s="12" t="s">
        <v>56</v>
      </c>
      <c r="E37" s="12" t="s">
        <v>58</v>
      </c>
      <c r="F37" s="12" t="s">
        <v>60</v>
      </c>
      <c r="G37" s="12" t="s">
        <v>62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 t="str">
        <f t="shared" ref="A38:A44" si="5">A26</f>
        <v>Water</v>
      </c>
      <c r="B38" s="13">
        <f>'RM Consumed'!B50*Assumptions!$G7</f>
        <v>212254.56</v>
      </c>
      <c r="C38" s="13">
        <f>'RM Consumed'!C50*Assumptions!$G7</f>
        <v>236722.08</v>
      </c>
      <c r="D38" s="13">
        <f>'RM Consumed'!D50*Assumptions!$G7</f>
        <v>269631.264</v>
      </c>
      <c r="E38" s="13">
        <f>'RM Consumed'!E50*Assumptions!$G7</f>
        <v>310521.12</v>
      </c>
      <c r="F38" s="13">
        <f>'RM Consumed'!F50*Assumptions!$G7</f>
        <v>348951.456</v>
      </c>
      <c r="G38" s="13">
        <f>'RM Consumed'!G50*Assumptions!$G7</f>
        <v>401623.488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 t="str">
        <f t="shared" si="5"/>
        <v>Dates Extract</v>
      </c>
      <c r="B39" s="13">
        <f>'RM Consumed'!B51*Assumptions!$G8</f>
        <v>341123.4</v>
      </c>
      <c r="C39" s="13">
        <f>'RM Consumed'!C51*Assumptions!$G8</f>
        <v>380446.2</v>
      </c>
      <c r="D39" s="13">
        <f>'RM Consumed'!D51*Assumptions!$G8</f>
        <v>433335.96</v>
      </c>
      <c r="E39" s="13">
        <f>'RM Consumed'!E51*Assumptions!$G8</f>
        <v>499051.8</v>
      </c>
      <c r="F39" s="13">
        <f>'RM Consumed'!F51*Assumptions!$G8</f>
        <v>560814.84</v>
      </c>
      <c r="G39" s="13">
        <f>'RM Consumed'!G51*Assumptions!$G8</f>
        <v>645466.32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 t="str">
        <f t="shared" si="5"/>
        <v>Other Ingredients</v>
      </c>
      <c r="B40" s="13">
        <f>'RM Consumed'!B52*Assumptions!$G9</f>
        <v>2274156</v>
      </c>
      <c r="C40" s="13">
        <f>'RM Consumed'!C52*Assumptions!$G9</f>
        <v>2536308</v>
      </c>
      <c r="D40" s="13">
        <f>'RM Consumed'!D52*Assumptions!$G9</f>
        <v>2888906.4</v>
      </c>
      <c r="E40" s="13">
        <f>'RM Consumed'!E52*Assumptions!$G9</f>
        <v>3327012</v>
      </c>
      <c r="F40" s="13">
        <f>'RM Consumed'!F52*Assumptions!$G9</f>
        <v>3738765.6</v>
      </c>
      <c r="G40" s="13">
        <f>'RM Consumed'!G52*Assumptions!$G9</f>
        <v>4303108.8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 t="str">
        <f t="shared" si="5"/>
        <v>Oats Extract</v>
      </c>
      <c r="B41" s="13">
        <f>'RM Consumed'!B53*Assumptions!$G10</f>
        <v>1010736</v>
      </c>
      <c r="C41" s="13">
        <f>'RM Consumed'!C53*Assumptions!$G10</f>
        <v>1127248</v>
      </c>
      <c r="D41" s="13">
        <f>'RM Consumed'!D53*Assumptions!$G10</f>
        <v>1283958.4</v>
      </c>
      <c r="E41" s="13">
        <f>'RM Consumed'!E53*Assumptions!$G10</f>
        <v>1478672</v>
      </c>
      <c r="F41" s="13">
        <f>'RM Consumed'!F53*Assumptions!$G10</f>
        <v>1661673.6</v>
      </c>
      <c r="G41" s="13">
        <f>'RM Consumed'!G53*Assumptions!$G10</f>
        <v>1912492.8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 t="str">
        <f t="shared" si="5"/>
        <v>Ragi Extract</v>
      </c>
      <c r="B42" s="13">
        <f>'RM Consumed'!B54*Assumptions!$G11</f>
        <v>379026</v>
      </c>
      <c r="C42" s="13">
        <f>'RM Consumed'!C54*Assumptions!$G11</f>
        <v>422718</v>
      </c>
      <c r="D42" s="13">
        <f>'RM Consumed'!D54*Assumptions!$G11</f>
        <v>481484.4</v>
      </c>
      <c r="E42" s="13">
        <f>'RM Consumed'!E54*Assumptions!$G11</f>
        <v>554502</v>
      </c>
      <c r="F42" s="13">
        <f>'RM Consumed'!F54*Assumptions!$G11</f>
        <v>623127.6</v>
      </c>
      <c r="G42" s="13">
        <f>'RM Consumed'!G54*Assumptions!$G11</f>
        <v>717184.8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 t="str">
        <f t="shared" si="5"/>
        <v>Jowar Extract</v>
      </c>
      <c r="B43" s="13">
        <f>'RM Consumed'!B55*Assumptions!$G12</f>
        <v>128237.13</v>
      </c>
      <c r="C43" s="13">
        <f>'RM Consumed'!C55*Assumptions!$G12</f>
        <v>143019.59</v>
      </c>
      <c r="D43" s="13">
        <f>'RM Consumed'!D55*Assumptions!$G12</f>
        <v>162902.222</v>
      </c>
      <c r="E43" s="13">
        <f>'RM Consumed'!E55*Assumptions!$G12</f>
        <v>187606.51</v>
      </c>
      <c r="F43" s="13">
        <f>'RM Consumed'!F55*Assumptions!$G12</f>
        <v>210824.838</v>
      </c>
      <c r="G43" s="13">
        <f>'RM Consumed'!G55*Assumptions!$G12</f>
        <v>242647.524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 t="str">
        <f t="shared" si="5"/>
        <v>Bajra Extract</v>
      </c>
      <c r="B44" s="13">
        <f>'RM Consumed'!B56*Assumptions!$G13</f>
        <v>110549.25</v>
      </c>
      <c r="C44" s="13">
        <f>'RM Consumed'!C56*Assumptions!$G13</f>
        <v>123292.75</v>
      </c>
      <c r="D44" s="13">
        <f>'RM Consumed'!D56*Assumptions!$G13</f>
        <v>140432.95</v>
      </c>
      <c r="E44" s="13">
        <f>'RM Consumed'!E56*Assumptions!$G13</f>
        <v>161729.75</v>
      </c>
      <c r="F44" s="13">
        <f>'RM Consumed'!F56*Assumptions!$G13</f>
        <v>181745.55</v>
      </c>
      <c r="G44" s="13">
        <f>'RM Consumed'!G56*Assumptions!$G13</f>
        <v>209178.9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46" t="s">
        <v>134</v>
      </c>
      <c r="B45" s="13">
        <f t="shared" ref="B45:G45" si="6">SUM(B38:B44)</f>
        <v>4456082.34</v>
      </c>
      <c r="C45" s="13">
        <f t="shared" si="6"/>
        <v>4969754.62</v>
      </c>
      <c r="D45" s="13">
        <f t="shared" si="6"/>
        <v>5660651.596</v>
      </c>
      <c r="E45" s="13">
        <f t="shared" si="6"/>
        <v>6519095.18</v>
      </c>
      <c r="F45" s="13">
        <f t="shared" si="6"/>
        <v>7325903.484</v>
      </c>
      <c r="G45" s="13">
        <f t="shared" si="6"/>
        <v>8431702.632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46" t="s">
        <v>135</v>
      </c>
      <c r="B46" s="13">
        <f>B45/'Sales Quantity'!B7</f>
        <v>14.108</v>
      </c>
      <c r="C46" s="13">
        <f>C45/'Sales Quantity'!C7</f>
        <v>14.108</v>
      </c>
      <c r="D46" s="13">
        <f>D45/'Sales Quantity'!D7</f>
        <v>14.108</v>
      </c>
      <c r="E46" s="13">
        <f>E45/'Sales Quantity'!E7</f>
        <v>14.108</v>
      </c>
      <c r="F46" s="13">
        <f>F45/'Sales Quantity'!F7</f>
        <v>14.108</v>
      </c>
      <c r="G46" s="13">
        <f>G45/'Sales Quantity'!G7</f>
        <v>14.108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5"/>
    <col customWidth="1" min="2" max="6" width="12.63"/>
  </cols>
  <sheetData>
    <row r="1" ht="27.0" customHeight="1">
      <c r="A1" s="45" t="s">
        <v>139</v>
      </c>
      <c r="B1" s="12" t="s">
        <v>52</v>
      </c>
      <c r="C1" s="12" t="s">
        <v>54</v>
      </c>
      <c r="D1" s="12" t="s">
        <v>56</v>
      </c>
      <c r="E1" s="12" t="s">
        <v>58</v>
      </c>
      <c r="F1" s="12" t="s">
        <v>60</v>
      </c>
      <c r="G1" s="12" t="s">
        <v>62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3" t="s">
        <v>31</v>
      </c>
      <c r="B2" s="13">
        <f>'Sales Quantity'!B11</f>
        <v>40181190.75</v>
      </c>
      <c r="C2" s="13">
        <f>'Sales Quantity'!C11</f>
        <v>45379409.63</v>
      </c>
      <c r="D2" s="13">
        <f>'Sales Quantity'!D11</f>
        <v>51371499.38</v>
      </c>
      <c r="E2" s="13">
        <f>'Sales Quantity'!E11</f>
        <v>57889883.25</v>
      </c>
      <c r="F2" s="13">
        <f>'Sales Quantity'!F11</f>
        <v>65534599.13</v>
      </c>
      <c r="G2" s="13">
        <f>'Sales Quantity'!G11</f>
        <v>74219965.88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3" t="s">
        <v>29</v>
      </c>
      <c r="B3" s="13">
        <f>'Sales Quantity'!B15</f>
        <v>15807775.5</v>
      </c>
      <c r="C3" s="13">
        <f>'Sales Quantity'!C15</f>
        <v>17849055</v>
      </c>
      <c r="D3" s="13">
        <f>'Sales Quantity'!D15</f>
        <v>20264796</v>
      </c>
      <c r="E3" s="13">
        <f>'Sales Quantity'!E15</f>
        <v>23127658.5</v>
      </c>
      <c r="F3" s="13">
        <f>'Sales Quantity'!F15</f>
        <v>26449116</v>
      </c>
      <c r="G3" s="13">
        <f>'Sales Quantity'!G15</f>
        <v>30246066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46" t="s">
        <v>140</v>
      </c>
      <c r="B4" s="13">
        <f t="shared" ref="B4:G4" si="1">SUM(B2:B3)</f>
        <v>55988966.25</v>
      </c>
      <c r="C4" s="13">
        <f t="shared" si="1"/>
        <v>63228464.63</v>
      </c>
      <c r="D4" s="13">
        <f t="shared" si="1"/>
        <v>71636295.38</v>
      </c>
      <c r="E4" s="13">
        <f t="shared" si="1"/>
        <v>81017541.75</v>
      </c>
      <c r="F4" s="13">
        <f t="shared" si="1"/>
        <v>91983715.13</v>
      </c>
      <c r="G4" s="13">
        <f t="shared" si="1"/>
        <v>104466031.9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45" t="s">
        <v>141</v>
      </c>
      <c r="B7" s="12" t="s">
        <v>52</v>
      </c>
      <c r="C7" s="12" t="s">
        <v>54</v>
      </c>
      <c r="D7" s="12" t="s">
        <v>56</v>
      </c>
      <c r="E7" s="12" t="s">
        <v>58</v>
      </c>
      <c r="F7" s="12" t="s">
        <v>60</v>
      </c>
      <c r="G7" s="12" t="s">
        <v>62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 t="s">
        <v>142</v>
      </c>
      <c r="B8" s="13">
        <f>'Cost RM'!B9</f>
        <v>14182758.48</v>
      </c>
      <c r="C8" s="13">
        <f>'Cost RM'!C9</f>
        <v>15985691.52</v>
      </c>
      <c r="D8" s="13">
        <f>'Cost RM'!D9</f>
        <v>18054634.08</v>
      </c>
      <c r="E8" s="13">
        <f>'Cost RM'!E9</f>
        <v>20302902.72</v>
      </c>
      <c r="F8" s="13">
        <f>'Cost RM'!F9</f>
        <v>22939344.48</v>
      </c>
      <c r="G8" s="13">
        <f>'Cost RM'!G9</f>
        <v>25928387.52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 t="s">
        <v>143</v>
      </c>
      <c r="B9" s="13">
        <f>'Sales Quantity'!B2*Assumptions!$B$17</f>
        <v>618794</v>
      </c>
      <c r="C9" s="13">
        <f>'Sales Quantity'!C2*Assumptions!$B$17</f>
        <v>697456</v>
      </c>
      <c r="D9" s="13">
        <f>'Sales Quantity'!D2*Assumptions!$B$17</f>
        <v>787724</v>
      </c>
      <c r="E9" s="13">
        <f>'Sales Quantity'!E2*Assumptions!$B$17</f>
        <v>885816</v>
      </c>
      <c r="F9" s="13">
        <f>'Sales Quantity'!F2*Assumptions!$B$17</f>
        <v>1000844</v>
      </c>
      <c r="G9" s="13">
        <f>'Sales Quantity'!G2*Assumptions!$B$17</f>
        <v>1131256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 t="s">
        <v>144</v>
      </c>
      <c r="B10" s="13">
        <f>'Sales Quantity'!B2*Assumptions!$B$18</f>
        <v>2475176</v>
      </c>
      <c r="C10" s="13">
        <f>'Sales Quantity'!C2*Assumptions!$B$18</f>
        <v>2789824</v>
      </c>
      <c r="D10" s="13">
        <f>'Sales Quantity'!D2*Assumptions!$B$18</f>
        <v>3150896</v>
      </c>
      <c r="E10" s="13">
        <f>'Sales Quantity'!E2*Assumptions!$B$18</f>
        <v>3543264</v>
      </c>
      <c r="F10" s="13">
        <f>'Sales Quantity'!F2*Assumptions!$B$18</f>
        <v>4003376</v>
      </c>
      <c r="G10" s="13">
        <f>'Sales Quantity'!G2*Assumptions!$B$18</f>
        <v>4525024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46" t="s">
        <v>145</v>
      </c>
      <c r="B11" s="13">
        <f t="shared" ref="B11:G11" si="2">SUM(B8:B10)</f>
        <v>17276728.48</v>
      </c>
      <c r="C11" s="13">
        <f t="shared" si="2"/>
        <v>19472971.52</v>
      </c>
      <c r="D11" s="13">
        <f t="shared" si="2"/>
        <v>21993254.08</v>
      </c>
      <c r="E11" s="13">
        <f t="shared" si="2"/>
        <v>24731982.72</v>
      </c>
      <c r="F11" s="13">
        <f t="shared" si="2"/>
        <v>27943564.48</v>
      </c>
      <c r="G11" s="13">
        <f t="shared" si="2"/>
        <v>31584667.52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2" t="s">
        <v>146</v>
      </c>
      <c r="B13" s="13">
        <f t="shared" ref="B13:G13" si="3">B2-B11</f>
        <v>22904462.27</v>
      </c>
      <c r="C13" s="13">
        <f t="shared" si="3"/>
        <v>25906438.11</v>
      </c>
      <c r="D13" s="13">
        <f t="shared" si="3"/>
        <v>29378245.3</v>
      </c>
      <c r="E13" s="13">
        <f t="shared" si="3"/>
        <v>33157900.53</v>
      </c>
      <c r="F13" s="13">
        <f t="shared" si="3"/>
        <v>37591034.65</v>
      </c>
      <c r="G13" s="13">
        <f t="shared" si="3"/>
        <v>42635298.36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2" t="s">
        <v>147</v>
      </c>
      <c r="B14" s="15">
        <f>B13/'Sales Quantity'!B2</f>
        <v>74.02936121</v>
      </c>
      <c r="C14" s="15">
        <f>C13/'Sales Quantity'!C2</f>
        <v>74.28837978</v>
      </c>
      <c r="D14" s="15">
        <f>D13/'Sales Quantity'!D2</f>
        <v>74.59019985</v>
      </c>
      <c r="E14" s="15">
        <f>E13/'Sales Quantity'!E2</f>
        <v>74.86408132</v>
      </c>
      <c r="F14" s="15">
        <f>F13/'Sales Quantity'!F2</f>
        <v>75.11866913</v>
      </c>
      <c r="G14" s="15">
        <f>G13/'Sales Quantity'!G2</f>
        <v>75.37692327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45" t="s">
        <v>148</v>
      </c>
      <c r="B18" s="12" t="s">
        <v>52</v>
      </c>
      <c r="C18" s="12" t="s">
        <v>54</v>
      </c>
      <c r="D18" s="12" t="s">
        <v>56</v>
      </c>
      <c r="E18" s="12" t="s">
        <v>58</v>
      </c>
      <c r="F18" s="12" t="s">
        <v>60</v>
      </c>
      <c r="G18" s="12" t="s">
        <v>62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 t="str">
        <f t="shared" ref="A19:A21" si="4">A8</f>
        <v>Material Cost</v>
      </c>
      <c r="B19" s="13">
        <f>'Cost RM'!B33</f>
        <v>3854615.976</v>
      </c>
      <c r="C19" s="13">
        <f>'Cost RM'!C33</f>
        <v>4343571.04</v>
      </c>
      <c r="D19" s="13">
        <f>'Cost RM'!D33</f>
        <v>4923593.244</v>
      </c>
      <c r="E19" s="13">
        <f>'Cost RM'!E33</f>
        <v>5608677.724</v>
      </c>
      <c r="F19" s="13">
        <f>'Cost RM'!F33</f>
        <v>6404241.952</v>
      </c>
      <c r="G19" s="13">
        <f>'Cost RM'!G33</f>
        <v>7312684.288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 t="str">
        <f t="shared" si="4"/>
        <v>Packaging Cost</v>
      </c>
      <c r="B20" s="13">
        <f>'Sales Quantity'!B6*Assumptions!$B$17</f>
        <v>546444</v>
      </c>
      <c r="C20" s="13">
        <f>'Sales Quantity'!C6*Assumptions!$B$17</f>
        <v>615760</v>
      </c>
      <c r="D20" s="13">
        <f>'Sales Quantity'!D6*Assumptions!$B$17</f>
        <v>697986</v>
      </c>
      <c r="E20" s="13">
        <f>'Sales Quantity'!E6*Assumptions!$B$17</f>
        <v>795106</v>
      </c>
      <c r="F20" s="13">
        <f>'Sales Quantity'!F6*Assumptions!$B$17</f>
        <v>907888</v>
      </c>
      <c r="G20" s="13">
        <f>'Sales Quantity'!G6*Assumptions!$B$17</f>
        <v>1036672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 t="str">
        <f t="shared" si="4"/>
        <v>Processing Cost</v>
      </c>
      <c r="B21" s="13">
        <f>'Sales Quantity'!B6*Assumptions!$B$18</f>
        <v>2185776</v>
      </c>
      <c r="C21" s="13">
        <f>'Sales Quantity'!C6*Assumptions!$B$18</f>
        <v>2463040</v>
      </c>
      <c r="D21" s="13">
        <f>'Sales Quantity'!D6*Assumptions!$B$18</f>
        <v>2791944</v>
      </c>
      <c r="E21" s="13">
        <f>'Sales Quantity'!E6*Assumptions!$B$18</f>
        <v>3180424</v>
      </c>
      <c r="F21" s="13">
        <f>'Sales Quantity'!F6*Assumptions!$B$18</f>
        <v>3631552</v>
      </c>
      <c r="G21" s="13">
        <f>'Sales Quantity'!G6*Assumptions!$B$18</f>
        <v>4146688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46" t="s">
        <v>145</v>
      </c>
      <c r="B22" s="13">
        <f t="shared" ref="B22:G22" si="5">SUM(B19:B21)</f>
        <v>6586835.976</v>
      </c>
      <c r="C22" s="13">
        <f t="shared" si="5"/>
        <v>7422371.04</v>
      </c>
      <c r="D22" s="13">
        <f t="shared" si="5"/>
        <v>8413523.244</v>
      </c>
      <c r="E22" s="13">
        <f t="shared" si="5"/>
        <v>9584207.724</v>
      </c>
      <c r="F22" s="13">
        <f t="shared" si="5"/>
        <v>10943681.95</v>
      </c>
      <c r="G22" s="13">
        <f t="shared" si="5"/>
        <v>12496044.29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2" t="s">
        <v>149</v>
      </c>
      <c r="B24" s="13">
        <f t="shared" ref="B24:G24" si="6">B3-B22</f>
        <v>9220939.524</v>
      </c>
      <c r="C24" s="13">
        <f t="shared" si="6"/>
        <v>10426683.96</v>
      </c>
      <c r="D24" s="13">
        <f t="shared" si="6"/>
        <v>11851272.76</v>
      </c>
      <c r="E24" s="13">
        <f t="shared" si="6"/>
        <v>13543450.78</v>
      </c>
      <c r="F24" s="13">
        <f t="shared" si="6"/>
        <v>15505434.05</v>
      </c>
      <c r="G24" s="13">
        <f t="shared" si="6"/>
        <v>17750021.71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2" t="s">
        <v>150</v>
      </c>
      <c r="B25" s="15">
        <f>B24/'Sales Quantity'!B6</f>
        <v>33.7488911</v>
      </c>
      <c r="C25" s="15">
        <f>C24/'Sales Quantity'!C6</f>
        <v>33.86606457</v>
      </c>
      <c r="D25" s="15">
        <f>D24/'Sales Quantity'!D6</f>
        <v>33.95848271</v>
      </c>
      <c r="E25" s="15">
        <f>E24/'Sales Quantity'!E6</f>
        <v>34.06703201</v>
      </c>
      <c r="F25" s="15">
        <f>F24/'Sales Quantity'!F6</f>
        <v>34.15715165</v>
      </c>
      <c r="G25" s="15">
        <f>G24/'Sales Quantity'!G6</f>
        <v>34.2442387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 t="s">
        <v>151</v>
      </c>
      <c r="B28" s="13">
        <f t="shared" ref="B28:G28" si="7">B24+B13</f>
        <v>32125401.79</v>
      </c>
      <c r="C28" s="13">
        <f t="shared" si="7"/>
        <v>36333122.07</v>
      </c>
      <c r="D28" s="13">
        <f t="shared" si="7"/>
        <v>41229518.05</v>
      </c>
      <c r="E28" s="13">
        <f t="shared" si="7"/>
        <v>46701351.31</v>
      </c>
      <c r="F28" s="13">
        <f t="shared" si="7"/>
        <v>53096468.69</v>
      </c>
      <c r="G28" s="13">
        <f t="shared" si="7"/>
        <v>60385320.07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  <col customWidth="1" min="2" max="6" width="12.63"/>
  </cols>
  <sheetData>
    <row r="1" ht="15.75" customHeight="1">
      <c r="A1" s="45" t="s">
        <v>152</v>
      </c>
      <c r="B1" s="12" t="s">
        <v>52</v>
      </c>
      <c r="C1" s="12" t="s">
        <v>54</v>
      </c>
      <c r="D1" s="12" t="s">
        <v>56</v>
      </c>
      <c r="E1" s="12" t="s">
        <v>58</v>
      </c>
      <c r="F1" s="12" t="s">
        <v>60</v>
      </c>
      <c r="G1" s="12" t="s">
        <v>62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3" t="s">
        <v>31</v>
      </c>
      <c r="B2" s="13">
        <f>'Sales Quantity'!B12</f>
        <v>47311155</v>
      </c>
      <c r="C2" s="13">
        <f>'Sales Quantity'!C12</f>
        <v>53188110</v>
      </c>
      <c r="D2" s="13">
        <f>'Sales Quantity'!D12</f>
        <v>61479135</v>
      </c>
      <c r="E2" s="13">
        <f>'Sales Quantity'!E12</f>
        <v>68854995</v>
      </c>
      <c r="F2" s="13">
        <f>'Sales Quantity'!F12</f>
        <v>77739345</v>
      </c>
      <c r="G2" s="13">
        <f>'Sales Quantity'!G12</f>
        <v>88462665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3" t="s">
        <v>29</v>
      </c>
      <c r="B3" s="13">
        <f>'Sales Quantity'!B16</f>
        <v>18951300</v>
      </c>
      <c r="C3" s="13">
        <f>'Sales Quantity'!C16</f>
        <v>21135900</v>
      </c>
      <c r="D3" s="13">
        <f>'Sales Quantity'!D16</f>
        <v>24074220</v>
      </c>
      <c r="E3" s="13">
        <f>'Sales Quantity'!E16</f>
        <v>27725100</v>
      </c>
      <c r="F3" s="13">
        <f>'Sales Quantity'!F16</f>
        <v>31156380</v>
      </c>
      <c r="G3" s="13">
        <f>'Sales Quantity'!G16</f>
        <v>35859240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46" t="s">
        <v>140</v>
      </c>
      <c r="B4" s="13">
        <f t="shared" ref="B4:G4" si="1">SUM(B2:B3)</f>
        <v>66262455</v>
      </c>
      <c r="C4" s="13">
        <f t="shared" si="1"/>
        <v>74324010</v>
      </c>
      <c r="D4" s="13">
        <f t="shared" si="1"/>
        <v>85553355</v>
      </c>
      <c r="E4" s="13">
        <f t="shared" si="1"/>
        <v>96580095</v>
      </c>
      <c r="F4" s="13">
        <f t="shared" si="1"/>
        <v>108895725</v>
      </c>
      <c r="G4" s="13">
        <f t="shared" si="1"/>
        <v>124321905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45" t="s">
        <v>141</v>
      </c>
      <c r="B6" s="12" t="s">
        <v>52</v>
      </c>
      <c r="C6" s="12" t="s">
        <v>54</v>
      </c>
      <c r="D6" s="12" t="s">
        <v>56</v>
      </c>
      <c r="E6" s="12" t="s">
        <v>58</v>
      </c>
      <c r="F6" s="12" t="s">
        <v>60</v>
      </c>
      <c r="G6" s="12" t="s">
        <v>62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 t="s">
        <v>142</v>
      </c>
      <c r="B7" s="13">
        <f>'Cost RM'!B21</f>
        <v>16064765.52</v>
      </c>
      <c r="C7" s="13">
        <f>'Cost RM'!C21</f>
        <v>18060318.24</v>
      </c>
      <c r="D7" s="13">
        <f>'Cost RM'!D21</f>
        <v>20875581.84</v>
      </c>
      <c r="E7" s="13">
        <f>'Cost RM'!E21</f>
        <v>23380096.08</v>
      </c>
      <c r="F7" s="13">
        <f>'Cost RM'!F21</f>
        <v>26396826.48</v>
      </c>
      <c r="G7" s="13">
        <f>'Cost RM'!G21</f>
        <v>30037989.36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 t="s">
        <v>143</v>
      </c>
      <c r="B8" s="13">
        <f>'Sales Quantity'!B3*Assumptions!$C$17</f>
        <v>1752265</v>
      </c>
      <c r="C8" s="13">
        <f>'Sales Quantity'!C3*Assumptions!$C$17</f>
        <v>1969930</v>
      </c>
      <c r="D8" s="13">
        <f>'Sales Quantity'!D3*Assumptions!$C$17</f>
        <v>2277005</v>
      </c>
      <c r="E8" s="13">
        <f>'Sales Quantity'!E3*Assumptions!$C$17</f>
        <v>2550185</v>
      </c>
      <c r="F8" s="13">
        <f>'Sales Quantity'!F3*Assumptions!$C$17</f>
        <v>2879235</v>
      </c>
      <c r="G8" s="13">
        <f>'Sales Quantity'!G3*Assumptions!$C$17</f>
        <v>3276395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 t="s">
        <v>144</v>
      </c>
      <c r="B9" s="13">
        <f>'Sales Quantity'!B3*Assumptions!$C$18</f>
        <v>3854983</v>
      </c>
      <c r="C9" s="13">
        <f>'Sales Quantity'!C3*Assumptions!$C$18</f>
        <v>4333846</v>
      </c>
      <c r="D9" s="13">
        <f>'Sales Quantity'!D3*Assumptions!$C$18</f>
        <v>5009411</v>
      </c>
      <c r="E9" s="13">
        <f>'Sales Quantity'!E3*Assumptions!$C$18</f>
        <v>5610407</v>
      </c>
      <c r="F9" s="13">
        <f>'Sales Quantity'!F3*Assumptions!$C$18</f>
        <v>6334317</v>
      </c>
      <c r="G9" s="13">
        <f>'Sales Quantity'!G3*Assumptions!$C$18</f>
        <v>7208069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46" t="s">
        <v>145</v>
      </c>
      <c r="B10" s="13">
        <f t="shared" ref="B10:G10" si="2">SUM(B7:B9)</f>
        <v>21672013.52</v>
      </c>
      <c r="C10" s="13">
        <f t="shared" si="2"/>
        <v>24364094.24</v>
      </c>
      <c r="D10" s="13">
        <f t="shared" si="2"/>
        <v>28161997.84</v>
      </c>
      <c r="E10" s="13">
        <f t="shared" si="2"/>
        <v>31540688.08</v>
      </c>
      <c r="F10" s="13">
        <f t="shared" si="2"/>
        <v>35610378.48</v>
      </c>
      <c r="G10" s="13">
        <f t="shared" si="2"/>
        <v>40522453.36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2" t="s">
        <v>146</v>
      </c>
      <c r="B12" s="13">
        <f t="shared" ref="B12:G12" si="3">B2-B10</f>
        <v>25639141.48</v>
      </c>
      <c r="C12" s="13">
        <f t="shared" si="3"/>
        <v>28824015.76</v>
      </c>
      <c r="D12" s="13">
        <f t="shared" si="3"/>
        <v>33317137.16</v>
      </c>
      <c r="E12" s="13">
        <f t="shared" si="3"/>
        <v>37314306.92</v>
      </c>
      <c r="F12" s="13">
        <f t="shared" si="3"/>
        <v>42128966.52</v>
      </c>
      <c r="G12" s="13">
        <f t="shared" si="3"/>
        <v>47940211.64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2" t="s">
        <v>147</v>
      </c>
      <c r="B13" s="13">
        <f>B12/'Sales Quantity'!B3</f>
        <v>73.16</v>
      </c>
      <c r="C13" s="13">
        <f>C12/'Sales Quantity'!C3</f>
        <v>73.16</v>
      </c>
      <c r="D13" s="13">
        <f>D12/'Sales Quantity'!D3</f>
        <v>73.16</v>
      </c>
      <c r="E13" s="13">
        <f>E12/'Sales Quantity'!E3</f>
        <v>73.16</v>
      </c>
      <c r="F13" s="13">
        <f>F12/'Sales Quantity'!F3</f>
        <v>73.16</v>
      </c>
      <c r="G13" s="13">
        <f>G12/'Sales Quantity'!G3</f>
        <v>73.16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45" t="s">
        <v>148</v>
      </c>
      <c r="B17" s="12" t="s">
        <v>52</v>
      </c>
      <c r="C17" s="12" t="s">
        <v>54</v>
      </c>
      <c r="D17" s="12" t="s">
        <v>56</v>
      </c>
      <c r="E17" s="12" t="s">
        <v>58</v>
      </c>
      <c r="F17" s="12" t="s">
        <v>60</v>
      </c>
      <c r="G17" s="12" t="s">
        <v>62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 t="str">
        <f t="shared" ref="A18:A20" si="4">A7</f>
        <v>Material Cost</v>
      </c>
      <c r="B18" s="13">
        <f>'Cost RM'!B45</f>
        <v>4456082.34</v>
      </c>
      <c r="C18" s="13">
        <f>'Cost RM'!C45</f>
        <v>4969754.62</v>
      </c>
      <c r="D18" s="13">
        <f>'Cost RM'!D45</f>
        <v>5660651.596</v>
      </c>
      <c r="E18" s="13">
        <f>'Cost RM'!E45</f>
        <v>6519095.18</v>
      </c>
      <c r="F18" s="13">
        <f>'Cost RM'!F45</f>
        <v>7325903.484</v>
      </c>
      <c r="G18" s="13">
        <f>'Cost RM'!G45</f>
        <v>8431702.632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 t="str">
        <f t="shared" si="4"/>
        <v>Packaging Cost</v>
      </c>
      <c r="B19" s="13">
        <f>'Sales Quantity'!B7*Assumptions!$C$17</f>
        <v>1579275</v>
      </c>
      <c r="C19" s="13">
        <f>'Sales Quantity'!C7*Assumptions!$C$17</f>
        <v>1761325</v>
      </c>
      <c r="D19" s="13">
        <f>'Sales Quantity'!D7*Assumptions!$C$17</f>
        <v>2006185</v>
      </c>
      <c r="E19" s="13">
        <f>'Sales Quantity'!E7*Assumptions!$C$17</f>
        <v>2310425</v>
      </c>
      <c r="F19" s="13">
        <f>'Sales Quantity'!F7*Assumptions!$C$17</f>
        <v>2596365</v>
      </c>
      <c r="G19" s="13">
        <f>'Sales Quantity'!G7*Assumptions!$C$17</f>
        <v>2988270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 t="str">
        <f t="shared" si="4"/>
        <v>Processing Cost</v>
      </c>
      <c r="B20" s="13">
        <f>'Sales Quantity'!B7*Assumptions!$C$18</f>
        <v>3474405</v>
      </c>
      <c r="C20" s="13">
        <f>'Sales Quantity'!C7*Assumptions!$C$18</f>
        <v>3874915</v>
      </c>
      <c r="D20" s="13">
        <f>'Sales Quantity'!D7*Assumptions!$C$18</f>
        <v>4413607</v>
      </c>
      <c r="E20" s="13">
        <f>'Sales Quantity'!E7*Assumptions!$C$18</f>
        <v>5082935</v>
      </c>
      <c r="F20" s="13">
        <f>'Sales Quantity'!F7*Assumptions!$C$18</f>
        <v>5712003</v>
      </c>
      <c r="G20" s="13">
        <f>'Sales Quantity'!G7*Assumptions!$C$18</f>
        <v>6574194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46" t="s">
        <v>145</v>
      </c>
      <c r="B21" s="13">
        <f t="shared" ref="B21:G21" si="5">SUM(B18:B20)</f>
        <v>9509762.34</v>
      </c>
      <c r="C21" s="13">
        <f t="shared" si="5"/>
        <v>10605994.62</v>
      </c>
      <c r="D21" s="13">
        <f t="shared" si="5"/>
        <v>12080443.6</v>
      </c>
      <c r="E21" s="13">
        <f t="shared" si="5"/>
        <v>13912455.18</v>
      </c>
      <c r="F21" s="13">
        <f t="shared" si="5"/>
        <v>15634271.48</v>
      </c>
      <c r="G21" s="13">
        <f t="shared" si="5"/>
        <v>17994166.63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2" t="s">
        <v>149</v>
      </c>
      <c r="B23" s="13">
        <f t="shared" ref="B23:G23" si="6">B3-B21</f>
        <v>9441537.66</v>
      </c>
      <c r="C23" s="13">
        <f t="shared" si="6"/>
        <v>10529905.38</v>
      </c>
      <c r="D23" s="13">
        <f t="shared" si="6"/>
        <v>11993776.4</v>
      </c>
      <c r="E23" s="13">
        <f t="shared" si="6"/>
        <v>13812644.82</v>
      </c>
      <c r="F23" s="13">
        <f t="shared" si="6"/>
        <v>15522108.52</v>
      </c>
      <c r="G23" s="13">
        <f t="shared" si="6"/>
        <v>17865073.37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2" t="s">
        <v>150</v>
      </c>
      <c r="B24" s="15">
        <f>B23/'Sales Quantity'!B7</f>
        <v>29.892</v>
      </c>
      <c r="C24" s="15">
        <f>C23/'Sales Quantity'!C7</f>
        <v>29.892</v>
      </c>
      <c r="D24" s="15">
        <f>D23/'Sales Quantity'!D7</f>
        <v>29.892</v>
      </c>
      <c r="E24" s="15">
        <f>E23/'Sales Quantity'!E7</f>
        <v>29.892</v>
      </c>
      <c r="F24" s="15">
        <f>F23/'Sales Quantity'!F7</f>
        <v>29.892</v>
      </c>
      <c r="G24" s="15">
        <f>G23/'Sales Quantity'!G7</f>
        <v>29.892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 t="s">
        <v>153</v>
      </c>
      <c r="B28" s="13">
        <f t="shared" ref="B28:G28" si="7">B23+B12</f>
        <v>35080679.14</v>
      </c>
      <c r="C28" s="13">
        <f t="shared" si="7"/>
        <v>39353921.14</v>
      </c>
      <c r="D28" s="13">
        <f t="shared" si="7"/>
        <v>45310913.56</v>
      </c>
      <c r="E28" s="13">
        <f t="shared" si="7"/>
        <v>51126951.74</v>
      </c>
      <c r="F28" s="13">
        <f t="shared" si="7"/>
        <v>57651075.04</v>
      </c>
      <c r="G28" s="13">
        <f t="shared" si="7"/>
        <v>65805285.01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5"/>
    <col customWidth="1" min="2" max="6" width="12.63"/>
  </cols>
  <sheetData>
    <row r="1" ht="15.75" customHeight="1">
      <c r="A1" s="12" t="s">
        <v>154</v>
      </c>
      <c r="B1" s="12" t="s">
        <v>52</v>
      </c>
      <c r="C1" s="12" t="s">
        <v>54</v>
      </c>
      <c r="D1" s="12" t="s">
        <v>56</v>
      </c>
      <c r="E1" s="12" t="s">
        <v>58</v>
      </c>
      <c r="F1" s="12" t="s">
        <v>60</v>
      </c>
      <c r="G1" s="12" t="s">
        <v>62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3" t="s">
        <v>151</v>
      </c>
      <c r="B2" s="13">
        <v>3.2125401794000003E7</v>
      </c>
      <c r="C2" s="13">
        <v>3.6333122065E7</v>
      </c>
      <c r="D2" s="13">
        <v>4.1229518051E7</v>
      </c>
      <c r="E2" s="13">
        <v>4.6701351306E7</v>
      </c>
      <c r="F2" s="13">
        <v>5.3096468693E7</v>
      </c>
      <c r="G2" s="13">
        <v>6.0385320066999994E7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3" t="s">
        <v>155</v>
      </c>
      <c r="B3" s="13">
        <v>85725.0</v>
      </c>
      <c r="C3" s="13">
        <v>94297.50000000001</v>
      </c>
      <c r="D3" s="13">
        <v>103727.25000000003</v>
      </c>
      <c r="E3" s="13">
        <v>114099.97500000003</v>
      </c>
      <c r="F3" s="13">
        <v>125509.97250000005</v>
      </c>
      <c r="G3" s="13">
        <v>138060.96975000008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46" t="s">
        <v>156</v>
      </c>
      <c r="B4" s="15">
        <v>3.2039676794000003E7</v>
      </c>
      <c r="C4" s="15">
        <v>3.6238824565E7</v>
      </c>
      <c r="D4" s="15">
        <v>4.1125790801E7</v>
      </c>
      <c r="E4" s="15">
        <v>4.6587251331E7</v>
      </c>
      <c r="F4" s="15">
        <v>5.297095872050001E7</v>
      </c>
      <c r="G4" s="15">
        <v>6.024725909724999E7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 t="s">
        <v>153</v>
      </c>
      <c r="B6" s="13">
        <v>3.508067914E7</v>
      </c>
      <c r="C6" s="13">
        <v>3.935392114E7</v>
      </c>
      <c r="D6" s="13">
        <v>4.5310913563999996E7</v>
      </c>
      <c r="E6" s="13">
        <v>5.112695174E7</v>
      </c>
      <c r="F6" s="13">
        <v>5.7651075036000006E7</v>
      </c>
      <c r="G6" s="13">
        <v>6.5805285008E7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 t="s">
        <v>155</v>
      </c>
      <c r="B7" s="47">
        <v>1.13E7</v>
      </c>
      <c r="C7" s="13">
        <v>1344000.0000000002</v>
      </c>
      <c r="D7" s="13">
        <v>1505280.0000000005</v>
      </c>
      <c r="E7" s="13">
        <v>1685913.6000000008</v>
      </c>
      <c r="F7" s="13">
        <v>1888223.232000001</v>
      </c>
      <c r="G7" s="13">
        <v>2114810.019840001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46" t="s">
        <v>156</v>
      </c>
      <c r="B8" s="47">
        <v>2.378067914E7</v>
      </c>
      <c r="C8" s="13">
        <v>3.800992114E7</v>
      </c>
      <c r="D8" s="13">
        <v>4.3805633563999996E7</v>
      </c>
      <c r="E8" s="13">
        <v>4.944103814E7</v>
      </c>
      <c r="F8" s="13">
        <v>5.5762851804000005E7</v>
      </c>
      <c r="G8" s="13">
        <v>6.369047498816E7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46" t="s">
        <v>157</v>
      </c>
      <c r="B10" s="47">
        <v>-8258997.654000003</v>
      </c>
      <c r="C10" s="13">
        <v>1771096.575000003</v>
      </c>
      <c r="D10" s="13">
        <v>2679842.7629999965</v>
      </c>
      <c r="E10" s="13">
        <v>2853786.8090000004</v>
      </c>
      <c r="F10" s="13">
        <v>2791893.083499998</v>
      </c>
      <c r="G10" s="13">
        <v>3443215.890910007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48"/>
      <c r="B15" s="48"/>
      <c r="C15" s="48"/>
      <c r="D15" s="48"/>
      <c r="E15" s="48"/>
      <c r="F15" s="48"/>
      <c r="G15" s="48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46"/>
      <c r="B18" s="15"/>
      <c r="C18" s="15"/>
      <c r="D18" s="15"/>
      <c r="E18" s="15"/>
      <c r="F18" s="15"/>
      <c r="G18" s="15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47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49"/>
      <c r="B46" s="49"/>
      <c r="C46" s="49"/>
      <c r="D46" s="49"/>
      <c r="E46" s="49"/>
      <c r="F46" s="49"/>
      <c r="G46" s="49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49"/>
      <c r="B47" s="49"/>
      <c r="C47" s="49"/>
      <c r="D47" s="49"/>
      <c r="E47" s="49"/>
      <c r="F47" s="49"/>
      <c r="G47" s="49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49"/>
      <c r="B48" s="49"/>
      <c r="C48" s="49"/>
      <c r="D48" s="49"/>
      <c r="E48" s="49"/>
      <c r="F48" s="49"/>
      <c r="G48" s="49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49"/>
      <c r="B49" s="49"/>
      <c r="C49" s="49"/>
      <c r="D49" s="49"/>
      <c r="E49" s="49"/>
      <c r="F49" s="49"/>
      <c r="G49" s="49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49"/>
      <c r="B50" s="49"/>
      <c r="C50" s="49"/>
      <c r="D50" s="49"/>
      <c r="E50" s="49"/>
      <c r="F50" s="49"/>
      <c r="G50" s="49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49"/>
      <c r="B51" s="49"/>
      <c r="C51" s="49"/>
      <c r="D51" s="49"/>
      <c r="E51" s="49"/>
      <c r="F51" s="49"/>
      <c r="G51" s="49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49"/>
      <c r="B52" s="49"/>
      <c r="C52" s="49"/>
      <c r="D52" s="49"/>
      <c r="E52" s="49"/>
      <c r="F52" s="49"/>
      <c r="G52" s="49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49"/>
      <c r="B53" s="49"/>
      <c r="C53" s="49"/>
      <c r="D53" s="49"/>
      <c r="E53" s="49"/>
      <c r="F53" s="49"/>
      <c r="G53" s="49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49"/>
      <c r="B54" s="49"/>
      <c r="C54" s="49"/>
      <c r="D54" s="49"/>
      <c r="E54" s="49"/>
      <c r="F54" s="49"/>
      <c r="G54" s="49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>
      <c r="A1" s="50" t="s">
        <v>158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ht="15.75" customHeight="1">
      <c r="A2" s="51" t="str">
        <f t="array" ref="A2">XLOOKUP(F2,$M$4:$M$24,$N$4:$N$24)</f>
        <v>Consolidated:</v>
      </c>
      <c r="F2" s="52" t="s">
        <v>32</v>
      </c>
      <c r="K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ht="15.75" customHeight="1">
      <c r="A3" s="51" t="s">
        <v>159</v>
      </c>
      <c r="F3" s="52" t="s">
        <v>160</v>
      </c>
      <c r="K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M4" s="3" t="s">
        <v>1</v>
      </c>
      <c r="N4" s="3" t="s">
        <v>161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ht="15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3" t="s">
        <v>2</v>
      </c>
      <c r="N5" s="3" t="s">
        <v>161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ht="15.7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M6" s="3" t="s">
        <v>3</v>
      </c>
      <c r="N6" s="3" t="s">
        <v>161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ht="15.7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M7" s="3" t="s">
        <v>4</v>
      </c>
      <c r="N7" s="3" t="s">
        <v>161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ht="15.7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M8" s="3" t="s">
        <v>12</v>
      </c>
      <c r="N8" s="3" t="s">
        <v>162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M9" s="3" t="s">
        <v>13</v>
      </c>
      <c r="N9" s="3" t="s">
        <v>162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ht="15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M10" s="3" t="s">
        <v>14</v>
      </c>
      <c r="N10" s="3" t="s">
        <v>162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ht="15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M11" s="3" t="s">
        <v>15</v>
      </c>
      <c r="N11" s="3" t="s">
        <v>162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ht="15.7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M12" s="3" t="s">
        <v>16</v>
      </c>
      <c r="N12" s="3" t="s">
        <v>162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M13" s="3" t="s">
        <v>17</v>
      </c>
      <c r="N13" s="3" t="s">
        <v>162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ht="15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M14" s="3" t="s">
        <v>18</v>
      </c>
      <c r="N14" s="3" t="s">
        <v>162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ht="15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M15" s="3" t="s">
        <v>19</v>
      </c>
      <c r="N15" s="3" t="s">
        <v>162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M16" s="3" t="s">
        <v>20</v>
      </c>
      <c r="N16" s="3" t="s">
        <v>162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M17" s="3" t="s">
        <v>21</v>
      </c>
      <c r="N17" s="3" t="s">
        <v>162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M18" s="3" t="s">
        <v>22</v>
      </c>
      <c r="N18" s="3" t="s">
        <v>162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M19" s="3" t="s">
        <v>23</v>
      </c>
      <c r="N19" s="3" t="s">
        <v>162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M20" s="3" t="s">
        <v>24</v>
      </c>
      <c r="N20" s="3" t="s">
        <v>162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M21" s="3" t="s">
        <v>27</v>
      </c>
      <c r="N21" s="3" t="s">
        <v>162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M22" s="3" t="s">
        <v>26</v>
      </c>
      <c r="N22" s="3" t="s">
        <v>162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M23" s="3" t="s">
        <v>25</v>
      </c>
      <c r="N23" s="3" t="s">
        <v>162</v>
      </c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M24" s="3" t="s">
        <v>32</v>
      </c>
      <c r="N24" s="3" t="s">
        <v>163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ht="15.75" customHeight="1">
      <c r="A35" s="50" t="s">
        <v>158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ht="15.75" customHeight="1">
      <c r="A36" s="51" t="s">
        <v>164</v>
      </c>
      <c r="F36" s="53" t="s">
        <v>15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ht="15.75" customHeight="1">
      <c r="A37" s="51" t="s">
        <v>159</v>
      </c>
      <c r="F37" s="54" t="s">
        <v>29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ht="15.75" customHeight="1">
      <c r="A69" s="50" t="s">
        <v>158</v>
      </c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ht="15.75" customHeight="1">
      <c r="A70" s="51" t="s">
        <v>165</v>
      </c>
      <c r="F70" s="54" t="s">
        <v>3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ht="15.75" customHeight="1">
      <c r="A71" s="51" t="s">
        <v>159</v>
      </c>
      <c r="F71" s="54" t="s">
        <v>29</v>
      </c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ht="15.75" customHeight="1">
      <c r="A112" s="28" t="s">
        <v>166</v>
      </c>
      <c r="B112" s="18"/>
      <c r="C112" s="18"/>
      <c r="D112" s="20"/>
      <c r="E112" s="28" t="s">
        <v>167</v>
      </c>
      <c r="F112" s="18"/>
      <c r="G112" s="1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ht="15.75" customHeight="1">
      <c r="A113" s="21" t="s">
        <v>0</v>
      </c>
      <c r="D113" s="20"/>
      <c r="E113" s="21" t="s">
        <v>10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ht="15.75" customHeight="1">
      <c r="A114" s="21" t="s">
        <v>47</v>
      </c>
      <c r="D114" s="20"/>
      <c r="E114" s="21" t="s">
        <v>47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ht="15.75" customHeight="1">
      <c r="A115" s="55"/>
      <c r="B115" s="26" t="s">
        <v>79</v>
      </c>
      <c r="C115" s="26" t="s">
        <v>80</v>
      </c>
      <c r="D115" s="20"/>
      <c r="E115" s="55"/>
      <c r="F115" s="26" t="s">
        <v>80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ht="15.75" customHeight="1">
      <c r="A116" s="26" t="s">
        <v>77</v>
      </c>
      <c r="B116" s="26">
        <f>if($F$71="Both",SUMIFS('Sales Data'!$F:$F,'Sales Data'!$C:$C,$F$70),SUMIFS('Sales Data'!$F:$F,'Sales Data'!$C:$C,$F$70,'Sales Data'!$E:$E,$F$71))</f>
        <v>518580</v>
      </c>
      <c r="C116" s="26">
        <f>if($F$71="Both",SUMIFS('Sales Data'!$K:$K,'Sales Data'!$C:$C,$F$70),SUMIFS('Sales Data'!$K:$K,'Sales Data'!$C:$C,$F$70,'Sales Data'!$E:$E,$F$71))</f>
        <v>30727206</v>
      </c>
      <c r="D116" s="20"/>
      <c r="E116" s="26" t="s">
        <v>77</v>
      </c>
      <c r="F116" s="26">
        <f>if($F$37="Both",SUMIFS(Sheet17!$G:$G,Sheet17!$C:$C,$F$36), SUMIFS(Sheet17!$G:$G,Sheet17!$C:$C,$F$36,Sheet17!$D:$D,$F$37))</f>
        <v>7439940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ht="15.75" customHeight="1">
      <c r="A117" s="26" t="s">
        <v>78</v>
      </c>
      <c r="B117" s="26">
        <f>if($F$71="Both",SUMIFS('Sales Data'!$G:$G,'Sales Data'!$C:$C,$F$70),SUMIFS('Sales Data'!$G:$G,'Sales Data'!$C:$C,$F$70,'Sales Data'!$E:$E,$F$71))</f>
        <v>597034</v>
      </c>
      <c r="C117" s="26">
        <f>if($F$71="Both",SUMIFS('Sales Data'!$L:$L,'Sales Data'!$C:$C,$F$70),SUMIFS('Sales Data'!$L:$L,'Sales Data'!$C:$C,$F$70,'Sales Data'!$E:$E,$F$71))</f>
        <v>35822040</v>
      </c>
      <c r="D117" s="20"/>
      <c r="E117" s="26" t="s">
        <v>78</v>
      </c>
      <c r="F117" s="26">
        <f>if($F$37="Both",SUMIFS(Sheet17!$H:$H,Sheet17!$C:$C,$F$36), SUMIFS(Sheet17!$H:$H,Sheet17!$C:$C,$F$36,Sheet17!$D:$D,$F$37))</f>
        <v>8792220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ht="15.75" customHeight="1"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ht="15.75" customHeight="1"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ht="15.75" customHeight="1">
      <c r="A120" s="56" t="s">
        <v>38</v>
      </c>
      <c r="B120" s="56" t="s">
        <v>77</v>
      </c>
      <c r="C120" s="56" t="s">
        <v>78</v>
      </c>
      <c r="D120" s="20"/>
      <c r="E120" s="56" t="s">
        <v>38</v>
      </c>
      <c r="F120" s="56" t="s">
        <v>77</v>
      </c>
      <c r="G120" s="56" t="s">
        <v>78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ht="15.75" customHeight="1">
      <c r="A121" s="6" t="str">
        <f t="array" ref="A121:A126">UNIQUE(Sheet17!A2:A193)</f>
        <v>January</v>
      </c>
      <c r="B121" s="6">
        <f>if($F$71="Both",SUMIFS(Sheet17!$E:$E,Sheet17!$A:$A,$A121,Sheet17!$B:$B,$F$70), SUMIFS(Sheet17!$E:$E,Sheet17!$A:$A,$A121,Sheet17!$B:$B,$F$70,Sheet17!$D:$D,$F$71))</f>
        <v>56499</v>
      </c>
      <c r="C121" s="6">
        <f>if($F$71="Both",SUMIFS(Sheet17!$F:$F,Sheet17!$A:$A,$A121,Sheet17!$B:$B,$F$70), SUMIFS(Sheet17!$F:$F,Sheet17!$A:$A,$A121,Sheet17!$B:$B,$F$70,Sheet17!$D:$D,$F$71))</f>
        <v>65992</v>
      </c>
      <c r="D121" s="20"/>
      <c r="E121" s="6" t="s">
        <v>52</v>
      </c>
      <c r="F121" s="6">
        <f>if($F$37="Both",SUMIFS(Sheet17!$E:$E,Sheet17!$A:$A,$E121,Sheet17!$C:$C,$F$36), SUMIFS(Sheet17!$E:$E,Sheet17!$A:$A,$E121,Sheet17!$C:$C,$F$36,Sheet17!$D:$D,$F$37))</f>
        <v>13468</v>
      </c>
      <c r="G121" s="6">
        <f>if($F$37="Both",SUMIFS(Sheet17!$F:$F,Sheet17!$A:$A,$E121,Sheet17!$C:$C,$F$36), SUMIFS(Sheet17!$F:$F,Sheet17!$A:$A,$E121,Sheet17!$C:$C,$F$36,Sheet17!$D:$D,$F$37))</f>
        <v>14949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ht="15.75" customHeight="1">
      <c r="A122" s="6" t="s">
        <v>54</v>
      </c>
      <c r="B122" s="6">
        <f>if($F$71="Both",SUMIFS(Sheet17!$E:$E,Sheet17!$A:$A,$A122,Sheet17!$B:$B,$F$70), SUMIFS(Sheet17!$E:$E,Sheet17!$A:$A,$A122,Sheet17!$B:$B,$F$70,Sheet17!$D:$D,$F$71))</f>
        <v>65882</v>
      </c>
      <c r="C122" s="6">
        <f>if($F$71="Both",SUMIFS(Sheet17!$F:$F,Sheet17!$A:$A,$A122,Sheet17!$B:$B,$F$70), SUMIFS(Sheet17!$F:$F,Sheet17!$A:$A,$A122,Sheet17!$B:$B,$F$70,Sheet17!$D:$D,$F$71))</f>
        <v>76516</v>
      </c>
      <c r="D122" s="20"/>
      <c r="E122" s="6" t="s">
        <v>54</v>
      </c>
      <c r="F122" s="6">
        <f>if($F$37="Both",SUMIFS(Sheet17!$E:$E,Sheet17!$A:$A,$E122,Sheet17!$C:$C,$F$36), SUMIFS(Sheet17!$E:$E,Sheet17!$A:$A,$E122,Sheet17!$C:$C,$F$36,Sheet17!$D:$D,$F$37))</f>
        <v>15623</v>
      </c>
      <c r="G122" s="6">
        <f>if($F$37="Both",SUMIFS(Sheet17!$F:$F,Sheet17!$A:$A,$E122,Sheet17!$C:$C,$F$36), SUMIFS(Sheet17!$F:$F,Sheet17!$A:$A,$E122,Sheet17!$C:$C,$F$36,Sheet17!$D:$D,$F$37))</f>
        <v>18748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ht="15.75" customHeight="1">
      <c r="A123" s="6" t="s">
        <v>56</v>
      </c>
      <c r="B123" s="6">
        <f>if($F$71="Both",SUMIFS(Sheet17!$E:$E,Sheet17!$A:$A,$A123,Sheet17!$B:$B,$F$70), SUMIFS(Sheet17!$E:$E,Sheet17!$A:$A,$A123,Sheet17!$B:$B,$F$70,Sheet17!$D:$D,$F$71))</f>
        <v>76973</v>
      </c>
      <c r="C123" s="6">
        <f>if($F$71="Both",SUMIFS(Sheet17!$F:$F,Sheet17!$A:$A,$A123,Sheet17!$B:$B,$F$70), SUMIFS(Sheet17!$F:$F,Sheet17!$A:$A,$A123,Sheet17!$B:$B,$F$70,Sheet17!$D:$D,$F$71))</f>
        <v>86799</v>
      </c>
      <c r="D123" s="20"/>
      <c r="E123" s="6" t="s">
        <v>56</v>
      </c>
      <c r="F123" s="6">
        <f>if($F$37="Both",SUMIFS(Sheet17!$E:$E,Sheet17!$A:$A,$E123,Sheet17!$C:$C,$F$36), SUMIFS(Sheet17!$E:$E,Sheet17!$A:$A,$E123,Sheet17!$C:$C,$F$36,Sheet17!$D:$D,$F$37))</f>
        <v>18435</v>
      </c>
      <c r="G123" s="6">
        <f>if($F$37="Both",SUMIFS(Sheet17!$F:$F,Sheet17!$A:$A,$E123,Sheet17!$C:$C,$F$36), SUMIFS(Sheet17!$F:$F,Sheet17!$A:$A,$E123,Sheet17!$C:$C,$F$36,Sheet17!$D:$D,$F$37))</f>
        <v>22306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ht="15.75" customHeight="1">
      <c r="A124" s="6" t="s">
        <v>58</v>
      </c>
      <c r="B124" s="6">
        <f>if($F$71="Both",SUMIFS(Sheet17!$E:$E,Sheet17!$A:$A,$A124,Sheet17!$B:$B,$F$70), SUMIFS(Sheet17!$E:$E,Sheet17!$A:$A,$A124,Sheet17!$B:$B,$F$70,Sheet17!$D:$D,$F$71))</f>
        <v>90265</v>
      </c>
      <c r="C124" s="6">
        <f>if($F$71="Both",SUMIFS(Sheet17!$F:$F,Sheet17!$A:$A,$A124,Sheet17!$B:$B,$F$70), SUMIFS(Sheet17!$F:$F,Sheet17!$A:$A,$A124,Sheet17!$B:$B,$F$70,Sheet17!$D:$D,$F$71))</f>
        <v>101420</v>
      </c>
      <c r="D124" s="20"/>
      <c r="E124" s="6" t="s">
        <v>58</v>
      </c>
      <c r="F124" s="6">
        <f>if($F$37="Both",SUMIFS(Sheet17!$E:$E,Sheet17!$A:$A,$E124,Sheet17!$C:$C,$F$36), SUMIFS(Sheet17!$E:$E,Sheet17!$A:$A,$E124,Sheet17!$C:$C,$F$36,Sheet17!$D:$D,$F$37))</f>
        <v>21753</v>
      </c>
      <c r="G124" s="6">
        <f>if($F$37="Both",SUMIFS(Sheet17!$F:$F,Sheet17!$A:$A,$E124,Sheet17!$C:$C,$F$36), SUMIFS(Sheet17!$F:$F,Sheet17!$A:$A,$E124,Sheet17!$C:$C,$F$36,Sheet17!$D:$D,$F$37))</f>
        <v>26321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ht="15.75" customHeight="1">
      <c r="A125" s="6" t="s">
        <v>60</v>
      </c>
      <c r="B125" s="6">
        <f>if($F$71="Both",SUMIFS(Sheet17!$E:$E,Sheet17!$A:$A,$A125,Sheet17!$B:$B,$F$70), SUMIFS(Sheet17!$E:$E,Sheet17!$A:$A,$A125,Sheet17!$B:$B,$F$70,Sheet17!$D:$D,$F$71))</f>
        <v>105529</v>
      </c>
      <c r="C125" s="6">
        <f>if($F$71="Both",SUMIFS(Sheet17!$F:$F,Sheet17!$A:$A,$A125,Sheet17!$B:$B,$F$70), SUMIFS(Sheet17!$F:$F,Sheet17!$A:$A,$A125,Sheet17!$B:$B,$F$70,Sheet17!$D:$D,$F$71))</f>
        <v>121412</v>
      </c>
      <c r="D125" s="20"/>
      <c r="E125" s="6" t="s">
        <v>60</v>
      </c>
      <c r="F125" s="6">
        <f>if($F$37="Both",SUMIFS(Sheet17!$E:$E,Sheet17!$A:$A,$E125,Sheet17!$C:$C,$F$36), SUMIFS(Sheet17!$E:$E,Sheet17!$A:$A,$E125,Sheet17!$C:$C,$F$36,Sheet17!$D:$D,$F$37))</f>
        <v>25451</v>
      </c>
      <c r="G125" s="6">
        <f>if($F$37="Both",SUMIFS(Sheet17!$F:$F,Sheet17!$A:$A,$E125,Sheet17!$C:$C,$F$36), SUMIFS(Sheet17!$F:$F,Sheet17!$A:$A,$E125,Sheet17!$C:$C,$F$36,Sheet17!$D:$D,$F$37))</f>
        <v>28505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ht="15.75" customHeight="1">
      <c r="A126" s="6" t="s">
        <v>62</v>
      </c>
      <c r="B126" s="6">
        <f>if($F$71="Both",SUMIFS(Sheet17!$E:$E,Sheet17!$A:$A,$A126,Sheet17!$B:$B,$F$70), SUMIFS(Sheet17!$E:$E,Sheet17!$A:$A,$A126,Sheet17!$B:$B,$F$70,Sheet17!$D:$D,$F$71))</f>
        <v>123432</v>
      </c>
      <c r="C126" s="6">
        <f>if($F$71="Both",SUMIFS(Sheet17!$F:$F,Sheet17!$A:$A,$A126,Sheet17!$B:$B,$F$70), SUMIFS(Sheet17!$F:$F,Sheet17!$A:$A,$A126,Sheet17!$B:$B,$F$70,Sheet17!$D:$D,$F$71))</f>
        <v>144895</v>
      </c>
      <c r="D126" s="20"/>
      <c r="E126" s="6" t="s">
        <v>62</v>
      </c>
      <c r="F126" s="6">
        <f>if($F$37="Both",SUMIFS(Sheet17!$E:$E,Sheet17!$A:$A,$E126,Sheet17!$C:$C,$F$36), SUMIFS(Sheet17!$E:$E,Sheet17!$A:$A,$E126,Sheet17!$C:$C,$F$36,Sheet17!$D:$D,$F$37))</f>
        <v>29269</v>
      </c>
      <c r="G126" s="6">
        <f>if($F$37="Both",SUMIFS(Sheet17!$F:$F,Sheet17!$A:$A,$E126,Sheet17!$C:$C,$F$36), SUMIFS(Sheet17!$F:$F,Sheet17!$A:$A,$E126,Sheet17!$C:$C,$F$36,Sheet17!$D:$D,$F$37))</f>
        <v>35708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ht="15.75" customHeight="1">
      <c r="A129" s="57" t="s">
        <v>168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ht="15.75" customHeight="1">
      <c r="A130" s="20" t="s">
        <v>77</v>
      </c>
      <c r="B130" s="58">
        <f>IFERROR(__xludf.DUMMYFUNCTION("SUM(FILTER(FilteredData!$K$2:$K1051, ($F$2=""Overall"") + (FilteredData!$C$2:$C1051=$F$2) + (FilteredData!$D$2:$D1051=$F$2), ($F$3=""Both"") + (FilteredData!$E$2:$E1051=$F$3)))"),4.68321015E8)</f>
        <v>468321015</v>
      </c>
      <c r="C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ht="15.75" customHeight="1">
      <c r="A131" s="20" t="s">
        <v>78</v>
      </c>
      <c r="B131" s="20">
        <f>IFERROR(__xludf.DUMMYFUNCTION("SUM(FILTER(FilteredData!$L$2:$L1051, ($F$2=""Overall"") + (FilteredData!$C$2:$C1051=$F$2) + (FilteredData!$D$2:$D1051=$F$2), ($F$3=""Both"") + (FilteredData!$E$2:$E1051=$F$3)))"),5.55937545E8)</f>
        <v>555937545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ht="15.75" customHeight="1">
      <c r="A133" s="54" t="s">
        <v>154</v>
      </c>
      <c r="B133" s="54" t="s">
        <v>52</v>
      </c>
      <c r="C133" s="54" t="s">
        <v>54</v>
      </c>
      <c r="D133" s="54" t="s">
        <v>56</v>
      </c>
      <c r="E133" s="54" t="s">
        <v>58</v>
      </c>
      <c r="F133" s="54" t="s">
        <v>60</v>
      </c>
      <c r="G133" s="54" t="s">
        <v>62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ht="15.75" customHeight="1">
      <c r="A134" s="20" t="s">
        <v>77</v>
      </c>
      <c r="B134" s="20">
        <f>IFERROR(__xludf.DUMMYFUNCTION("SUM(filter(FilteredData!$O:$O,($L$6=""Overall"")+(FilteredData!$B:$B=B$133)+(FilteredData!$C:$C=$L$6)+(FilteredData!$D:$D=$L$6)+($N$4=""Both"") +(FilteredData!$E:$E=$N$4)))"),3.212590241E7)</f>
        <v>32125902.41</v>
      </c>
      <c r="C134" s="20">
        <f>IFERROR(__xludf.DUMMYFUNCTION("SUM(filter(FilteredData!$O:$O,($L$6=""Overall"")+(FilteredData!$B:$B=C$133)+(FilteredData!$C:$C=$L$6)+(FilteredData!$D:$D=$L$6)+($N$4=""Both"") +(FilteredData!$E:$E=$N$4)))"),3.6207283839999996E7)</f>
        <v>36207283.84</v>
      </c>
      <c r="D134" s="20">
        <f>IFERROR(__xludf.DUMMYFUNCTION("SUM(filter(FilteredData!$O:$O,($L$6=""Overall"")+(FilteredData!$B:$B=D$133)+(FilteredData!$C:$C=$L$6)+(FilteredData!$D:$D=$L$6)+($N$4=""Both"") +(FilteredData!$E:$E=$N$4)))"),4.093611761E7)</f>
        <v>40936117.61</v>
      </c>
      <c r="E134" s="20">
        <f>IFERROR(__xludf.DUMMYFUNCTION("SUM(filter(FilteredData!$O:$O,($L$6=""Overall"")+(FilteredData!$B:$B=E$133)+(FilteredData!$C:$C=$L$6)+(FilteredData!$D:$D=$L$6)+($N$4=""Both"") +(FilteredData!$E:$E=$N$4)))"),4.620589299E7)</f>
        <v>46205892.99</v>
      </c>
      <c r="F134" s="20">
        <f>IFERROR(__xludf.DUMMYFUNCTION("SUM(filter(FilteredData!$O:$O,($L$6=""Overall"")+(FilteredData!$B:$B=F$133)+(FilteredData!$C:$C=$L$6)+(FilteredData!$D:$D=$L$6)+($N$4=""Both"") +(FilteredData!$E:$E=$N$4)))"),5.236685066E7)</f>
        <v>52366850.66</v>
      </c>
      <c r="G134" s="20">
        <f>IFERROR(__xludf.DUMMYFUNCTION("SUM(filter(FilteredData!$O:$O,($L$6=""Overall"")+(FilteredData!$B:$B=G$133)+(FilteredData!$C:$C=$L$6)+(FilteredData!$D:$D=$L$6)+($N$4=""Both"") +(FilteredData!$E:$E=$N$4)))"),5.936728084E7)</f>
        <v>59367280.84</v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ht="15.75" customHeight="1">
      <c r="A135" s="20" t="s">
        <v>78</v>
      </c>
      <c r="B135" s="20">
        <f>IFERROR(__xludf.DUMMYFUNCTION("SUM(filter(FilteredData!$P:$P,($L$6=""Overall"")+(FilteredData!$B:$B=B$133)+(FilteredData!$C:$C=$L$6)+(FilteredData!$D:$D=$L$6)+($N$4=""Both"") +(FilteredData!$E:$E=$N$4)))"),3.508004743E7)</f>
        <v>35080047.43</v>
      </c>
      <c r="C135" s="20">
        <f>IFERROR(__xludf.DUMMYFUNCTION("SUM(filter(FilteredData!$P:$P,($L$6=""Overall"")+(FilteredData!$B:$B=C$133)+(FilteredData!$C:$C=$L$6)+(FilteredData!$D:$D=$L$6)+($N$4=""Both"") +(FilteredData!$E:$E=$N$4)))"),3.9353216609999985E7)</f>
        <v>39353216.61</v>
      </c>
      <c r="D135" s="20">
        <f>IFERROR(__xludf.DUMMYFUNCTION("SUM(filter(FilteredData!$P:$P,($L$6=""Overall"")+(FilteredData!$B:$B=D$133)+(FilteredData!$C:$C=$L$6)+(FilteredData!$D:$D=$L$6)+($N$4=""Both"") +(FilteredData!$E:$E=$N$4)))"),4.5310111089999996E7)</f>
        <v>45310111.09</v>
      </c>
      <c r="E135" s="20">
        <f>IFERROR(__xludf.DUMMYFUNCTION("SUM(filter(FilteredData!$P:$P,($L$6=""Overall"")+(FilteredData!$B:$B=E$133)+(FilteredData!$C:$C=$L$6)+(FilteredData!$D:$D=$L$6)+($N$4=""Both"") +(FilteredData!$E:$E=$N$4)))"),5.112602757E7)</f>
        <v>51126027.57</v>
      </c>
      <c r="F135" s="20">
        <f>IFERROR(__xludf.DUMMYFUNCTION("SUM(filter(FilteredData!$P:$P,($L$6=""Overall"")+(FilteredData!$B:$B=F$133)+(FilteredData!$C:$C=$L$6)+(FilteredData!$D:$D=$L$6)+($N$4=""Both"") +(FilteredData!$E:$E=$N$4)))"),5.765003648999998E7)</f>
        <v>57650036.49</v>
      </c>
      <c r="G135" s="20">
        <f>IFERROR(__xludf.DUMMYFUNCTION("SUM(filter(FilteredData!$P:$P,($L$6=""Overall"")+(FilteredData!$B:$B=G$133)+(FilteredData!$C:$C=$L$6)+(FilteredData!$D:$D=$L$6)+($N$4=""Both"") +(FilteredData!$E:$E=$N$4)))"),6.580408969999999E7)</f>
        <v>65804089.7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ht="15.75" customHeight="1">
      <c r="A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ht="15.75" customHeight="1">
      <c r="A137" s="20" t="s">
        <v>154</v>
      </c>
      <c r="B137" s="20" t="str">
        <f t="shared" ref="B137:B138" si="1">F36</f>
        <v>Bengaluru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ht="15.75" customHeight="1">
      <c r="A138" s="20"/>
      <c r="B138" s="20" t="str">
        <f t="shared" si="1"/>
        <v>NutriKid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ht="15.75" customHeight="1">
      <c r="A139" s="20"/>
      <c r="B139" s="20" t="s">
        <v>52</v>
      </c>
      <c r="C139" s="20" t="s">
        <v>54</v>
      </c>
      <c r="D139" s="20" t="s">
        <v>56</v>
      </c>
      <c r="E139" s="20" t="s">
        <v>58</v>
      </c>
      <c r="F139" s="20" t="s">
        <v>60</v>
      </c>
      <c r="G139" s="20" t="s">
        <v>62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ht="15.75" customHeight="1">
      <c r="A140" s="20" t="s">
        <v>169</v>
      </c>
      <c r="B140" s="20">
        <f>if($F$37="Both",SUMIFS('Sales Data'!$O:$O,'Sales Data'!$B:$B,B$139,'Sales Data'!$D:$D,$B$137), SUMIFS('Sales Data'!$O:$O,'Sales Data'!$B:$B,B$139,'Sales Data'!$D:$D,$B$137,'Sales Data'!$E:$E,$B$138))</f>
        <v>454545</v>
      </c>
      <c r="C140" s="20">
        <f>if($F$37="Both",SUMIFS('Sales Data'!$O:$O,'Sales Data'!$B:$B,C$139,'Sales Data'!$D:$D,$B$137), SUMIFS('Sales Data'!$O:$O,'Sales Data'!$B:$B,C$139,'Sales Data'!$D:$D,$B$137,'Sales Data'!$E:$E,$B$138))</f>
        <v>527276.25</v>
      </c>
      <c r="D140" s="20">
        <f>if($F$37="Both",SUMIFS('Sales Data'!$O:$O,'Sales Data'!$B:$B,D$139,'Sales Data'!$D:$D,$B$137), SUMIFS('Sales Data'!$O:$O,'Sales Data'!$B:$B,D$139,'Sales Data'!$D:$D,$B$137,'Sales Data'!$E:$E,$B$138))</f>
        <v>622181.25</v>
      </c>
      <c r="E140" s="20">
        <f>if($F$37="Both",SUMIFS('Sales Data'!$O:$O,'Sales Data'!$B:$B,E$139,'Sales Data'!$D:$D,$B$137), SUMIFS('Sales Data'!$O:$O,'Sales Data'!$B:$B,E$139,'Sales Data'!$D:$D,$B$137,'Sales Data'!$E:$E,$B$138))</f>
        <v>734163.75</v>
      </c>
      <c r="F140" s="20">
        <f>if($F$37="Both",SUMIFS('Sales Data'!$O:$O,'Sales Data'!$B:$B,F$139,'Sales Data'!$D:$D,$B$137), SUMIFS('Sales Data'!$O:$O,'Sales Data'!$B:$B,F$139,'Sales Data'!$D:$D,$B$137,'Sales Data'!$E:$E,$B$138))</f>
        <v>858971.25</v>
      </c>
      <c r="G140" s="20">
        <f>if($F$37="Both",SUMIFS('Sales Data'!$O:$O,'Sales Data'!$B:$B,G$139,'Sales Data'!$D:$D,$B$137), SUMIFS('Sales Data'!$O:$O,'Sales Data'!$B:$B,G$139,'Sales Data'!$D:$D,$B$137,'Sales Data'!$E:$E,$B$138))</f>
        <v>987828.75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ht="15.75" customHeight="1">
      <c r="A141" s="20" t="s">
        <v>78</v>
      </c>
      <c r="B141" s="20">
        <f>if($F$37="Both", SUMIFS('Sales Data'!$P:$P,'Sales Data'!$B:$B,B$139,'Sales Data'!$D:$D,$B$137),SUMIFS('Sales Data'!$P:$P,'Sales Data'!$B:$B,B$139,'Sales Data'!$D:$D,$B$137,'Sales Data'!$E:$E,$B$138))</f>
        <v>446825.61</v>
      </c>
      <c r="C141" s="20">
        <f>if($F$37="Both", SUMIFS('Sales Data'!$P:$P,'Sales Data'!$B:$B,C$139,'Sales Data'!$D:$D,$B$137),SUMIFS('Sales Data'!$P:$P,'Sales Data'!$B:$B,C$139,'Sales Data'!$D:$D,$B$137,'Sales Data'!$E:$E,$B$138))</f>
        <v>560377.72</v>
      </c>
      <c r="D141" s="20">
        <f>if($F$37="Both", SUMIFS('Sales Data'!$P:$P,'Sales Data'!$B:$B,D$139,'Sales Data'!$D:$D,$B$137),SUMIFS('Sales Data'!$P:$P,'Sales Data'!$B:$B,D$139,'Sales Data'!$D:$D,$B$137,'Sales Data'!$E:$E,$B$138))</f>
        <v>666726.34</v>
      </c>
      <c r="E141" s="20">
        <f>if($F$37="Both", SUMIFS('Sales Data'!$P:$P,'Sales Data'!$B:$B,E$139,'Sales Data'!$D:$D,$B$137),SUMIFS('Sales Data'!$P:$P,'Sales Data'!$B:$B,E$139,'Sales Data'!$D:$D,$B$137,'Sales Data'!$E:$E,$B$138))</f>
        <v>786734.69</v>
      </c>
      <c r="F141" s="20">
        <f>if($F$37="Both", SUMIFS('Sales Data'!$P:$P,'Sales Data'!$B:$B,F$139,'Sales Data'!$D:$D,$B$137),SUMIFS('Sales Data'!$P:$P,'Sales Data'!$B:$B,F$139,'Sales Data'!$D:$D,$B$137,'Sales Data'!$E:$E,$B$138))</f>
        <v>852014.45</v>
      </c>
      <c r="G141" s="20">
        <f>if($F$37="Both", SUMIFS('Sales Data'!$P:$P,'Sales Data'!$B:$B,G$139,'Sales Data'!$D:$D,$B$137),SUMIFS('Sales Data'!$P:$P,'Sales Data'!$B:$B,G$139,'Sales Data'!$D:$D,$B$137,'Sales Data'!$E:$E,$B$138))</f>
        <v>1067312.12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ht="15.75" customHeight="1">
      <c r="A143" s="20" t="s">
        <v>154</v>
      </c>
      <c r="B143" s="20" t="str">
        <f t="shared" ref="B143:B144" si="2">F70</f>
        <v>West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ht="15.75" customHeight="1">
      <c r="A144" s="20"/>
      <c r="B144" s="20" t="str">
        <f t="shared" si="2"/>
        <v>NutriKid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ht="15.75" customHeight="1">
      <c r="A145" s="20"/>
      <c r="B145" s="20" t="s">
        <v>52</v>
      </c>
      <c r="C145" s="20" t="s">
        <v>54</v>
      </c>
      <c r="D145" s="20" t="s">
        <v>56</v>
      </c>
      <c r="E145" s="20" t="s">
        <v>58</v>
      </c>
      <c r="F145" s="20" t="s">
        <v>60</v>
      </c>
      <c r="G145" s="20" t="s">
        <v>62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ht="15.75" customHeight="1">
      <c r="A146" s="20" t="s">
        <v>77</v>
      </c>
      <c r="B146" s="20">
        <f>if($F$71="Both", SUMIFS('Sales Data'!$O:$O,'Sales Data'!$C:$C,$B$143,'Sales Data'!$B:$B,B$145),SUMIFS('Sales Data'!$O:$O,'Sales Data'!$C:$C,$B$143,'Sales Data'!$B:$B,B$145,'Sales Data'!$E:$E,$B$144))</f>
        <v>1906841.25</v>
      </c>
      <c r="C146" s="20">
        <f>if($F$71="Both", SUMIFS('Sales Data'!$O:$O,'Sales Data'!$C:$C,$B$143,'Sales Data'!$B:$B,C$145),SUMIFS('Sales Data'!$O:$O,'Sales Data'!$C:$C,$B$143,'Sales Data'!$B:$B,C$145,'Sales Data'!$E:$E,$B$144))</f>
        <v>2223517.5</v>
      </c>
      <c r="D146" s="20">
        <f>if($F$71="Both", SUMIFS('Sales Data'!$O:$O,'Sales Data'!$C:$C,$B$143,'Sales Data'!$B:$B,D$145),SUMIFS('Sales Data'!$O:$O,'Sales Data'!$C:$C,$B$143,'Sales Data'!$B:$B,D$145,'Sales Data'!$E:$E,$B$144))</f>
        <v>2597838.75</v>
      </c>
      <c r="E146" s="20">
        <f>if($F$71="Both", SUMIFS('Sales Data'!$O:$O,'Sales Data'!$C:$C,$B$143,'Sales Data'!$B:$B,E$145),SUMIFS('Sales Data'!$O:$O,'Sales Data'!$C:$C,$B$143,'Sales Data'!$B:$B,E$145,'Sales Data'!$E:$E,$B$144))</f>
        <v>3046443.75</v>
      </c>
      <c r="F146" s="20">
        <f>if($F$71="Both", SUMIFS('Sales Data'!$O:$O,'Sales Data'!$C:$C,$B$143,'Sales Data'!$B:$B,F$145),SUMIFS('Sales Data'!$O:$O,'Sales Data'!$C:$C,$B$143,'Sales Data'!$B:$B,F$145,'Sales Data'!$E:$E,$B$144))</f>
        <v>3561603.75</v>
      </c>
      <c r="G146" s="20">
        <f>if($F$71="Both", SUMIFS('Sales Data'!$O:$O,'Sales Data'!$C:$C,$B$143,'Sales Data'!$B:$B,G$145),SUMIFS('Sales Data'!$O:$O,'Sales Data'!$C:$C,$B$143,'Sales Data'!$B:$B,G$145,'Sales Data'!$E:$E,$B$144))</f>
        <v>4165830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ht="15.75" customHeight="1">
      <c r="A147" s="20" t="s">
        <v>78</v>
      </c>
      <c r="B147" s="20">
        <f>if($F$71="Both",SUMIFS('Sales Data'!$P:$P,'Sales Data'!$C:$C,$B$143,'Sales Data'!$B:$B,B$145),SUMIFS('Sales Data'!$P:$P,'Sales Data'!$C:$C,$B$143,'Sales Data'!$B:$B,B$145,'Sales Data'!$E:$E,$B$144))</f>
        <v>1972500.88</v>
      </c>
      <c r="C147" s="20">
        <f>if($F$71="Both",SUMIFS('Sales Data'!$P:$P,'Sales Data'!$C:$C,$B$143,'Sales Data'!$B:$B,C$145),SUMIFS('Sales Data'!$P:$P,'Sales Data'!$C:$C,$B$143,'Sales Data'!$B:$B,C$145,'Sales Data'!$E:$E,$B$144))</f>
        <v>2287063.24</v>
      </c>
      <c r="D147" s="20">
        <f>if($F$71="Both",SUMIFS('Sales Data'!$P:$P,'Sales Data'!$C:$C,$B$143,'Sales Data'!$B:$B,D$145),SUMIFS('Sales Data'!$P:$P,'Sales Data'!$C:$C,$B$143,'Sales Data'!$B:$B,D$145,'Sales Data'!$E:$E,$B$144))</f>
        <v>2594422.11</v>
      </c>
      <c r="E147" s="20">
        <f>if($F$71="Both",SUMIFS('Sales Data'!$P:$P,'Sales Data'!$C:$C,$B$143,'Sales Data'!$B:$B,E$145),SUMIFS('Sales Data'!$P:$P,'Sales Data'!$C:$C,$B$143,'Sales Data'!$B:$B,E$145,'Sales Data'!$E:$E,$B$144))</f>
        <v>3031443.8</v>
      </c>
      <c r="F147" s="20">
        <f>if($F$71="Both",SUMIFS('Sales Data'!$P:$P,'Sales Data'!$C:$C,$B$143,'Sales Data'!$B:$B,F$145),SUMIFS('Sales Data'!$P:$P,'Sales Data'!$C:$C,$B$143,'Sales Data'!$B:$B,F$145,'Sales Data'!$E:$E,$B$144))</f>
        <v>3629004.68</v>
      </c>
      <c r="G147" s="20">
        <f>if($F$71="Both",SUMIFS('Sales Data'!$P:$P,'Sales Data'!$C:$C,$B$143,'Sales Data'!$B:$B,G$145),SUMIFS('Sales Data'!$P:$P,'Sales Data'!$C:$C,$B$143,'Sales Data'!$B:$B,G$145,'Sales Data'!$E:$E,$B$144))</f>
        <v>4330911.55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ht="15.75" customHeight="1">
      <c r="A150" s="20" t="s">
        <v>170</v>
      </c>
      <c r="B150" s="20" t="s">
        <v>52</v>
      </c>
      <c r="C150" s="20" t="s">
        <v>54</v>
      </c>
      <c r="D150" s="20" t="s">
        <v>56</v>
      </c>
      <c r="E150" s="20" t="s">
        <v>58</v>
      </c>
      <c r="F150" s="20" t="s">
        <v>60</v>
      </c>
      <c r="G150" s="20" t="s">
        <v>62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ht="15.75" customHeight="1">
      <c r="A151" s="20" t="s">
        <v>77</v>
      </c>
      <c r="B151" s="20">
        <f>IFERROR(__xludf.DUMMYFUNCTION("SUM(filter(FilteredData!$F:$F,($L$6=""Overall"")+(FilteredData!$B:$B=B$150)+(FilteredData!$C:$C=$L$6)+(FilteredData!$D:$D=$L$6)+($N$4=""Both"") +(FilteredData!$E:$E=$N$4)))"),582619.0)</f>
        <v>582619</v>
      </c>
      <c r="C151" s="20">
        <f>IFERROR(__xludf.DUMMYFUNCTION("SUM(filter(FilteredData!$F:$F,($L$6=""Overall"")+(FilteredData!$B:$B=C$150)+(FilteredData!$C:$C=$L$6)+(FilteredData!$D:$D=$L$6)+($N$4=""Both"") +(FilteredData!$E:$E=$N$4)))"),656608.0)</f>
        <v>656608</v>
      </c>
      <c r="D151" s="20">
        <f>IFERROR(__xludf.DUMMYFUNCTION("SUM(filter(FilteredData!$F:$F,($L$6=""Overall"")+(FilteredData!$B:$B=D$150)+(FilteredData!$C:$C=$L$6)+(FilteredData!$D:$D=$L$6)+($N$4=""Both"") +(FilteredData!$E:$E=$N$4)))"),742855.0)</f>
        <v>742855</v>
      </c>
      <c r="E151" s="20">
        <f>IFERROR(__xludf.DUMMYFUNCTION("SUM(filter(FilteredData!$F:$F,($L$6=""Overall"")+(FilteredData!$B:$B=E$150)+(FilteredData!$C:$C=$L$6)+(FilteredData!$D:$D=$L$6)+($N$4=""Both"") +(FilteredData!$E:$E=$N$4)))"),840461.0)</f>
        <v>840461</v>
      </c>
      <c r="F151" s="20">
        <f>IFERROR(__xludf.DUMMYFUNCTION("SUM(filter(FilteredData!$F:$F,($L$6=""Overall"")+(FilteredData!$B:$B=F$150)+(FilteredData!$C:$C=$L$6)+(FilteredData!$D:$D=$L$6)+($N$4=""Both"") +(FilteredData!$E:$E=$N$4)))"),954366.0)</f>
        <v>954366</v>
      </c>
      <c r="G151" s="20">
        <f>IFERROR(__xludf.DUMMYFUNCTION("SUM(filter(FilteredData!$F:$F,($L$6=""Overall"")+(FilteredData!$B:$B=G$150)+(FilteredData!$C:$C=$L$6)+(FilteredData!$D:$D=$L$6)+($N$4=""Both"") +(FilteredData!$E:$E=$N$4)))"),1083964.0)</f>
        <v>1083964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ht="15.75" customHeight="1">
      <c r="A152" s="20" t="s">
        <v>78</v>
      </c>
      <c r="B152" s="20">
        <f>IFERROR(__xludf.DUMMYFUNCTION("SUM(filter(FilteredData!$G:$G,($L$6=""Overall"")+(FilteredData!$B:$B=B$150)+(FilteredData!$C:$C=$L$6)+(FilteredData!$D:$D=$L$6)+($N$4=""Both"") +(FilteredData!$E:$E=$N$4)))"),666308.0)</f>
        <v>666308</v>
      </c>
      <c r="C152" s="20">
        <f>IFERROR(__xludf.DUMMYFUNCTION("SUM(filter(FilteredData!$G:$G,($L$6=""Overall"")+(FilteredData!$B:$B=C$150)+(FilteredData!$C:$C=$L$6)+(FilteredData!$D:$D=$L$6)+($N$4=""Both"") +(FilteredData!$E:$E=$N$4)))"),746251.0)</f>
        <v>746251</v>
      </c>
      <c r="D152" s="20">
        <f>IFERROR(__xludf.DUMMYFUNCTION("SUM(filter(FilteredData!$G:$G,($L$6=""Overall"")+(FilteredData!$B:$B=D$150)+(FilteredData!$C:$C=$L$6)+(FilteredData!$D:$D=$L$6)+($N$4=""Both"") +(FilteredData!$E:$E=$N$4)))"),856638.0)</f>
        <v>856638</v>
      </c>
      <c r="E152" s="20">
        <f>IFERROR(__xludf.DUMMYFUNCTION("SUM(filter(FilteredData!$G:$G,($L$6=""Overall"")+(FilteredData!$B:$B=E$150)+(FilteredData!$C:$C=$L$6)+(FilteredData!$D:$D=$L$6)+($N$4=""Both"") +(FilteredData!$E:$E=$N$4)))"),972122.0)</f>
        <v>972122</v>
      </c>
      <c r="F152" s="20">
        <f>IFERROR(__xludf.DUMMYFUNCTION("SUM(filter(FilteredData!$G:$G,($L$6=""Overall"")+(FilteredData!$B:$B=F$150)+(FilteredData!$C:$C=$L$6)+(FilteredData!$D:$D=$L$6)+($N$4=""Both"") +(FilteredData!$E:$E=$N$4)))"),1095120.0)</f>
        <v>1095120</v>
      </c>
      <c r="G152" s="20">
        <f>IFERROR(__xludf.DUMMYFUNCTION("SUM(filter(FilteredData!$G:$G,($L$6=""Overall"")+(FilteredData!$B:$B=G$150)+(FilteredData!$C:$C=$L$6)+(FilteredData!$D:$D=$L$6)+($N$4=""Both"") +(FilteredData!$E:$E=$N$4)))"),1252933.0)</f>
        <v>1252933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ht="15.75" customHeight="1">
      <c r="A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ht="15.75" customHeight="1">
      <c r="A155" s="20" t="s">
        <v>32</v>
      </c>
      <c r="B155" s="20"/>
      <c r="C155" s="20"/>
      <c r="D155" s="20" t="str">
        <f>IFERROR(__xludf.DUMMYFUNCTION("SORT(UNIQUE(FILTER('Sales Data'!E2:E1000, 'Sales Data'!E2:E1000&lt;&gt;"""")))"),"NutriKid")</f>
        <v>NutriKid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ht="15.75" customHeight="1">
      <c r="A156" s="20" t="str">
        <f>IFERROR(__xludf.DUMMYFUNCTION("SORT(UNIQUE(FILTER(FLATTEN({INDIRECT(""'Sales Data'!C2:C1000""); INDIRECT(""'Sales Data'!D2:D1000"")}), FLATTEN({INDIRECT(""'Sales Data'!C2:C1000""); INDIRECT(""'Sales Data'!D2:D1000"")})&lt;&gt;"""")))"),"Ahmedabad")</f>
        <v>Ahmedabad</v>
      </c>
      <c r="B156" s="20"/>
      <c r="C156" s="20"/>
      <c r="D156" s="20" t="str">
        <f>IFERROR(__xludf.DUMMYFUNCTION("""COMPUTED_VALUE"""),"ZestVita")</f>
        <v>ZestVita</v>
      </c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ht="15.75" customHeight="1">
      <c r="A157" s="20" t="str">
        <f>IFERROR(__xludf.DUMMYFUNCTION("""COMPUTED_VALUE"""),"Bengaluru")</f>
        <v>Bengaluru</v>
      </c>
      <c r="B157" s="20"/>
      <c r="C157" s="20"/>
      <c r="D157" s="20" t="s">
        <v>160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ht="15.75" customHeight="1">
      <c r="A158" s="20" t="str">
        <f>IFERROR(__xludf.DUMMYFUNCTION("""COMPUTED_VALUE"""),"Bhubaneswar")</f>
        <v>Bhubaneswar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ht="15.75" customHeight="1">
      <c r="A159" s="20" t="str">
        <f>IFERROR(__xludf.DUMMYFUNCTION("""COMPUTED_VALUE"""),"Chandigarh")</f>
        <v>Chandigarh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ht="15.75" customHeight="1">
      <c r="A160" s="20" t="str">
        <f>IFERROR(__xludf.DUMMYFUNCTION("""COMPUTED_VALUE"""),"Chennai")</f>
        <v>Chennai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ht="15.75" customHeight="1">
      <c r="A161" s="20" t="str">
        <f>IFERROR(__xludf.DUMMYFUNCTION("""COMPUTED_VALUE"""),"Dehradun")</f>
        <v>Dehradun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ht="15.75" customHeight="1">
      <c r="A162" s="20" t="str">
        <f>IFERROR(__xludf.DUMMYFUNCTION("""COMPUTED_VALUE"""),"Delhi")</f>
        <v>Delhi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ht="15.75" customHeight="1">
      <c r="A163" s="20" t="str">
        <f>IFERROR(__xludf.DUMMYFUNCTION("""COMPUTED_VALUE"""),"East")</f>
        <v>East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ht="15.75" customHeight="1">
      <c r="A164" s="20" t="str">
        <f>IFERROR(__xludf.DUMMYFUNCTION("""COMPUTED_VALUE"""),"Hyderabad")</f>
        <v>Hyderabad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ht="15.75" customHeight="1">
      <c r="A165" s="20" t="str">
        <f>IFERROR(__xludf.DUMMYFUNCTION("""COMPUTED_VALUE"""),"Jaipur")</f>
        <v>Jaipur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ht="15.75" customHeight="1">
      <c r="A166" s="20" t="str">
        <f>IFERROR(__xludf.DUMMYFUNCTION("""COMPUTED_VALUE"""),"Kochi")</f>
        <v>Kochi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ht="15.75" customHeight="1">
      <c r="A167" s="20" t="str">
        <f>IFERROR(__xludf.DUMMYFUNCTION("""COMPUTED_VALUE"""),"Kolkata")</f>
        <v>Kolkata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ht="15.75" customHeight="1">
      <c r="A168" s="20" t="str">
        <f>IFERROR(__xludf.DUMMYFUNCTION("""COMPUTED_VALUE"""),"Lucknow")</f>
        <v>Lucknow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ht="15.75" customHeight="1">
      <c r="A169" s="20" t="str">
        <f>IFERROR(__xludf.DUMMYFUNCTION("""COMPUTED_VALUE"""),"North")</f>
        <v>North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ht="15.75" customHeight="1">
      <c r="A170" s="20" t="str">
        <f>IFERROR(__xludf.DUMMYFUNCTION("""COMPUTED_VALUE"""),"Overall")</f>
        <v>Overall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ht="15.75" customHeight="1">
      <c r="A171" s="20" t="str">
        <f>IFERROR(__xludf.DUMMYFUNCTION("""COMPUTED_VALUE"""),"Patna")</f>
        <v>Patna</v>
      </c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ht="15.75" customHeight="1">
      <c r="A172" s="20" t="str">
        <f>IFERROR(__xludf.DUMMYFUNCTION("""COMPUTED_VALUE"""),"Pune")</f>
        <v>Pune</v>
      </c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ht="15.75" customHeight="1">
      <c r="A173" s="20" t="str">
        <f>IFERROR(__xludf.DUMMYFUNCTION("""COMPUTED_VALUE"""),"Ranchi")</f>
        <v>Ranchi</v>
      </c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ht="15.75" customHeight="1">
      <c r="A174" s="20" t="str">
        <f>IFERROR(__xludf.DUMMYFUNCTION("""COMPUTED_VALUE"""),"South")</f>
        <v>South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ht="15.75" customHeight="1">
      <c r="A175" s="20" t="str">
        <f>IFERROR(__xludf.DUMMYFUNCTION("""COMPUTED_VALUE"""),"Surat")</f>
        <v>Surat</v>
      </c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ht="15.75" customHeight="1">
      <c r="A176" s="20" t="str">
        <f>IFERROR(__xludf.DUMMYFUNCTION("""COMPUTED_VALUE"""),"West")</f>
        <v>West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ht="15.75" customHeight="1"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ht="15.75" customHeight="1"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ht="15.75" customHeight="1"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ht="15.75" customHeight="1"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ht="15.75" customHeight="1"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ht="15.75" customHeight="1"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ht="15.75" customHeight="1"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36:E36"/>
    <mergeCell ref="A37:E37"/>
    <mergeCell ref="A112:C112"/>
    <mergeCell ref="E112:G112"/>
    <mergeCell ref="A129:B129"/>
    <mergeCell ref="F37:J37"/>
    <mergeCell ref="A69:J69"/>
    <mergeCell ref="A70:E70"/>
    <mergeCell ref="F70:J70"/>
    <mergeCell ref="A71:E71"/>
    <mergeCell ref="F71:J71"/>
    <mergeCell ref="A1:J1"/>
    <mergeCell ref="A2:E2"/>
    <mergeCell ref="F2:J2"/>
    <mergeCell ref="A3:E3"/>
    <mergeCell ref="F3:J3"/>
    <mergeCell ref="A35:J35"/>
    <mergeCell ref="F36:J36"/>
  </mergeCells>
  <dataValidations>
    <dataValidation type="list" allowBlank="1" showErrorMessage="1" sqref="F3">
      <formula1>Dashboard!$D$155:$D$157</formula1>
    </dataValidation>
    <dataValidation type="list" allowBlank="1" showErrorMessage="1" sqref="F70">
      <formula1>'Sales Data'!$C$2:$C$193</formula1>
    </dataValidation>
    <dataValidation type="list" allowBlank="1" showErrorMessage="1" sqref="F37 F71">
      <formula1>"ZestVita,NutriKid,Both"</formula1>
    </dataValidation>
    <dataValidation type="list" allowBlank="1" showErrorMessage="1" sqref="F2">
      <formula1>Dashboard!$A$155:$A$176</formula1>
    </dataValidation>
    <dataValidation type="list" allowBlank="1" showErrorMessage="1" sqref="F36">
      <formula1>'Regional Details'!$B$14:$B$34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6" max="16" width="15.5"/>
  </cols>
  <sheetData>
    <row r="1" ht="15.75" customHeight="1">
      <c r="A1" s="12" t="s">
        <v>63</v>
      </c>
      <c r="B1" s="12" t="s">
        <v>64</v>
      </c>
      <c r="C1" s="12" t="s">
        <v>0</v>
      </c>
      <c r="D1" s="12" t="s">
        <v>10</v>
      </c>
      <c r="E1" s="12" t="s">
        <v>47</v>
      </c>
      <c r="F1" s="12" t="s">
        <v>65</v>
      </c>
      <c r="G1" s="12" t="s">
        <v>66</v>
      </c>
      <c r="H1" s="12" t="s">
        <v>67</v>
      </c>
      <c r="I1" s="12" t="s">
        <v>68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</row>
    <row r="2" ht="15.75" customHeight="1">
      <c r="A2" s="6" t="str">
        <f>IFERROR(__xludf.DUMMYFUNCTION("QUERY('Sales Data'!A2:P1000,""SELECT * WHERE ('""&amp;Dashboard!F2&amp;""'='Overall' OR C='""&amp;Dashboard!F2&amp;""' OR D='""&amp;Dashboard!F2&amp;""') AND ('""&amp;Dashboard!F3&amp;""'='Both' OR E='""&amp;Dashboard!F3&amp;""')"",0)"),"Month1")</f>
        <v>Month1</v>
      </c>
      <c r="B2" s="6" t="str">
        <f>IFERROR(__xludf.DUMMYFUNCTION("""COMPUTED_VALUE"""),"January")</f>
        <v>January</v>
      </c>
      <c r="C2" s="6" t="str">
        <f>IFERROR(__xludf.DUMMYFUNCTION("""COMPUTED_VALUE"""),"North")</f>
        <v>North</v>
      </c>
      <c r="D2" s="6" t="str">
        <f>IFERROR(__xludf.DUMMYFUNCTION("""COMPUTED_VALUE"""),"Delhi")</f>
        <v>Delhi</v>
      </c>
      <c r="E2" s="6" t="str">
        <f>IFERROR(__xludf.DUMMYFUNCTION("""COMPUTED_VALUE"""),"ZestVita")</f>
        <v>ZestVita</v>
      </c>
      <c r="F2" s="6">
        <f>IFERROR(__xludf.DUMMYFUNCTION("""COMPUTED_VALUE"""),21497.0)</f>
        <v>21497</v>
      </c>
      <c r="G2" s="6">
        <f>IFERROR(__xludf.DUMMYFUNCTION("""COMPUTED_VALUE"""),26871.0)</f>
        <v>26871</v>
      </c>
      <c r="H2" s="39">
        <f>IFERROR(__xludf.DUMMYFUNCTION("""COMPUTED_VALUE"""),0.0)</f>
        <v>0</v>
      </c>
      <c r="I2" s="6">
        <f>IFERROR(__xludf.DUMMYFUNCTION("""COMPUTED_VALUE"""),135.0)</f>
        <v>135</v>
      </c>
      <c r="J2" s="6">
        <f>IFERROR(__xludf.DUMMYFUNCTION("""COMPUTED_VALUE"""),135.0)</f>
        <v>135</v>
      </c>
      <c r="K2" s="59">
        <f>IFERROR(__xludf.DUMMYFUNCTION("""COMPUTED_VALUE"""),2902095.0)</f>
        <v>2902095</v>
      </c>
      <c r="L2" s="6">
        <f>IFERROR(__xludf.DUMMYFUNCTION("""COMPUTED_VALUE"""),3627585.0)</f>
        <v>3627585</v>
      </c>
      <c r="M2" s="6">
        <f>IFERROR(__xludf.DUMMYFUNCTION("""COMPUTED_VALUE"""),74.03)</f>
        <v>74.03</v>
      </c>
      <c r="N2" s="6">
        <f>IFERROR(__xludf.DUMMYFUNCTION("""COMPUTED_VALUE"""),73.16)</f>
        <v>73.16</v>
      </c>
      <c r="O2" s="6">
        <f>IFERROR(__xludf.DUMMYFUNCTION("""COMPUTED_VALUE"""),1591422.91)</f>
        <v>1591422.91</v>
      </c>
      <c r="P2" s="6">
        <f>IFERROR(__xludf.DUMMYFUNCTION("""COMPUTED_VALUE"""),1965882.3599999999)</f>
        <v>1965882.36</v>
      </c>
    </row>
    <row r="3" ht="15.75" customHeight="1">
      <c r="A3" s="6" t="str">
        <f>IFERROR(__xludf.DUMMYFUNCTION("""COMPUTED_VALUE"""),"Month1")</f>
        <v>Month1</v>
      </c>
      <c r="B3" s="6" t="str">
        <f>IFERROR(__xludf.DUMMYFUNCTION("""COMPUTED_VALUE"""),"January")</f>
        <v>January</v>
      </c>
      <c r="C3" s="6" t="str">
        <f>IFERROR(__xludf.DUMMYFUNCTION("""COMPUTED_VALUE"""),"North")</f>
        <v>North</v>
      </c>
      <c r="D3" s="6" t="str">
        <f>IFERROR(__xludf.DUMMYFUNCTION("""COMPUTED_VALUE"""),"Delhi")</f>
        <v>Delhi</v>
      </c>
      <c r="E3" s="6" t="str">
        <f>IFERROR(__xludf.DUMMYFUNCTION("""COMPUTED_VALUE"""),"NutriKid")</f>
        <v>NutriKid</v>
      </c>
      <c r="F3" s="6">
        <f>IFERROR(__xludf.DUMMYFUNCTION("""COMPUTED_VALUE"""),16650.0)</f>
        <v>16650</v>
      </c>
      <c r="G3" s="6">
        <f>IFERROR(__xludf.DUMMYFUNCTION("""COMPUTED_VALUE"""),20147.0)</f>
        <v>20147</v>
      </c>
      <c r="H3" s="39">
        <f>IFERROR(__xludf.DUMMYFUNCTION("""COMPUTED_VALUE"""),0.0)</f>
        <v>0</v>
      </c>
      <c r="I3" s="6">
        <f>IFERROR(__xludf.DUMMYFUNCTION("""COMPUTED_VALUE"""),60.0)</f>
        <v>60</v>
      </c>
      <c r="J3" s="6">
        <f>IFERROR(__xludf.DUMMYFUNCTION("""COMPUTED_VALUE"""),60.0)</f>
        <v>60</v>
      </c>
      <c r="K3" s="59">
        <f>IFERROR(__xludf.DUMMYFUNCTION("""COMPUTED_VALUE"""),999000.0)</f>
        <v>999000</v>
      </c>
      <c r="L3" s="6">
        <f>IFERROR(__xludf.DUMMYFUNCTION("""COMPUTED_VALUE"""),1208820.0)</f>
        <v>1208820</v>
      </c>
      <c r="M3" s="6">
        <f>IFERROR(__xludf.DUMMYFUNCTION("""COMPUTED_VALUE"""),33.75)</f>
        <v>33.75</v>
      </c>
      <c r="N3" s="6">
        <f>IFERROR(__xludf.DUMMYFUNCTION("""COMPUTED_VALUE"""),29.89)</f>
        <v>29.89</v>
      </c>
      <c r="O3" s="6">
        <f>IFERROR(__xludf.DUMMYFUNCTION("""COMPUTED_VALUE"""),561937.5)</f>
        <v>561937.5</v>
      </c>
      <c r="P3" s="6">
        <f>IFERROR(__xludf.DUMMYFUNCTION("""COMPUTED_VALUE"""),602193.83)</f>
        <v>602193.83</v>
      </c>
    </row>
    <row r="4" ht="15.75" customHeight="1">
      <c r="A4" s="6" t="str">
        <f>IFERROR(__xludf.DUMMYFUNCTION("""COMPUTED_VALUE"""),"Month1")</f>
        <v>Month1</v>
      </c>
      <c r="B4" s="6" t="str">
        <f>IFERROR(__xludf.DUMMYFUNCTION("""COMPUTED_VALUE"""),"January")</f>
        <v>January</v>
      </c>
      <c r="C4" s="6" t="str">
        <f>IFERROR(__xludf.DUMMYFUNCTION("""COMPUTED_VALUE"""),"East")</f>
        <v>East</v>
      </c>
      <c r="D4" s="6" t="str">
        <f>IFERROR(__xludf.DUMMYFUNCTION("""COMPUTED_VALUE"""),"Kolkata")</f>
        <v>Kolkata</v>
      </c>
      <c r="E4" s="6" t="str">
        <f>IFERROR(__xludf.DUMMYFUNCTION("""COMPUTED_VALUE"""),"ZestVita")</f>
        <v>ZestVita</v>
      </c>
      <c r="F4" s="6">
        <f>IFERROR(__xludf.DUMMYFUNCTION("""COMPUTED_VALUE"""),11470.0)</f>
        <v>11470</v>
      </c>
      <c r="G4" s="6">
        <f>IFERROR(__xludf.DUMMYFUNCTION("""COMPUTED_VALUE"""),12617.0)</f>
        <v>12617</v>
      </c>
      <c r="H4" s="39">
        <f>IFERROR(__xludf.DUMMYFUNCTION("""COMPUTED_VALUE"""),0.0)</f>
        <v>0</v>
      </c>
      <c r="I4" s="6">
        <f>IFERROR(__xludf.DUMMYFUNCTION("""COMPUTED_VALUE"""),135.0)</f>
        <v>135</v>
      </c>
      <c r="J4" s="6">
        <f>IFERROR(__xludf.DUMMYFUNCTION("""COMPUTED_VALUE"""),135.0)</f>
        <v>135</v>
      </c>
      <c r="K4" s="59">
        <f>IFERROR(__xludf.DUMMYFUNCTION("""COMPUTED_VALUE"""),1548450.0)</f>
        <v>1548450</v>
      </c>
      <c r="L4" s="6">
        <f>IFERROR(__xludf.DUMMYFUNCTION("""COMPUTED_VALUE"""),1703295.0)</f>
        <v>1703295</v>
      </c>
      <c r="M4" s="6">
        <f>IFERROR(__xludf.DUMMYFUNCTION("""COMPUTED_VALUE"""),74.03)</f>
        <v>74.03</v>
      </c>
      <c r="N4" s="6">
        <f>IFERROR(__xludf.DUMMYFUNCTION("""COMPUTED_VALUE"""),73.16)</f>
        <v>73.16</v>
      </c>
      <c r="O4" s="6">
        <f>IFERROR(__xludf.DUMMYFUNCTION("""COMPUTED_VALUE"""),849124.1)</f>
        <v>849124.1</v>
      </c>
      <c r="P4" s="6">
        <f>IFERROR(__xludf.DUMMYFUNCTION("""COMPUTED_VALUE"""),923059.72)</f>
        <v>923059.72</v>
      </c>
    </row>
    <row r="5" ht="15.75" customHeight="1">
      <c r="A5" s="6" t="str">
        <f>IFERROR(__xludf.DUMMYFUNCTION("""COMPUTED_VALUE"""),"Month1")</f>
        <v>Month1</v>
      </c>
      <c r="B5" s="6" t="str">
        <f>IFERROR(__xludf.DUMMYFUNCTION("""COMPUTED_VALUE"""),"January")</f>
        <v>January</v>
      </c>
      <c r="C5" s="6" t="str">
        <f>IFERROR(__xludf.DUMMYFUNCTION("""COMPUTED_VALUE"""),"East")</f>
        <v>East</v>
      </c>
      <c r="D5" s="6" t="str">
        <f>IFERROR(__xludf.DUMMYFUNCTION("""COMPUTED_VALUE"""),"Kolkata")</f>
        <v>Kolkata</v>
      </c>
      <c r="E5" s="6" t="str">
        <f>IFERROR(__xludf.DUMMYFUNCTION("""COMPUTED_VALUE"""),"NutriKid")</f>
        <v>NutriKid</v>
      </c>
      <c r="F5" s="6">
        <f>IFERROR(__xludf.DUMMYFUNCTION("""COMPUTED_VALUE"""),22348.0)</f>
        <v>22348</v>
      </c>
      <c r="G5" s="6">
        <f>IFERROR(__xludf.DUMMYFUNCTION("""COMPUTED_VALUE"""),27488.0)</f>
        <v>27488</v>
      </c>
      <c r="H5" s="39">
        <f>IFERROR(__xludf.DUMMYFUNCTION("""COMPUTED_VALUE"""),0.0)</f>
        <v>0</v>
      </c>
      <c r="I5" s="6">
        <f>IFERROR(__xludf.DUMMYFUNCTION("""COMPUTED_VALUE"""),60.0)</f>
        <v>60</v>
      </c>
      <c r="J5" s="6">
        <f>IFERROR(__xludf.DUMMYFUNCTION("""COMPUTED_VALUE"""),60.0)</f>
        <v>60</v>
      </c>
      <c r="K5" s="59">
        <f>IFERROR(__xludf.DUMMYFUNCTION("""COMPUTED_VALUE"""),1340880.0)</f>
        <v>1340880</v>
      </c>
      <c r="L5" s="6">
        <f>IFERROR(__xludf.DUMMYFUNCTION("""COMPUTED_VALUE"""),1649280.0)</f>
        <v>1649280</v>
      </c>
      <c r="M5" s="6">
        <f>IFERROR(__xludf.DUMMYFUNCTION("""COMPUTED_VALUE"""),33.75)</f>
        <v>33.75</v>
      </c>
      <c r="N5" s="6">
        <f>IFERROR(__xludf.DUMMYFUNCTION("""COMPUTED_VALUE"""),29.89)</f>
        <v>29.89</v>
      </c>
      <c r="O5" s="6">
        <f>IFERROR(__xludf.DUMMYFUNCTION("""COMPUTED_VALUE"""),754245.0)</f>
        <v>754245</v>
      </c>
      <c r="P5" s="6">
        <f>IFERROR(__xludf.DUMMYFUNCTION("""COMPUTED_VALUE"""),821616.3200000001)</f>
        <v>821616.32</v>
      </c>
    </row>
    <row r="6" ht="15.75" customHeight="1">
      <c r="A6" s="6" t="str">
        <f>IFERROR(__xludf.DUMMYFUNCTION("""COMPUTED_VALUE"""),"Month1")</f>
        <v>Month1</v>
      </c>
      <c r="B6" s="6" t="str">
        <f>IFERROR(__xludf.DUMMYFUNCTION("""COMPUTED_VALUE"""),"January")</f>
        <v>January</v>
      </c>
      <c r="C6" s="6" t="str">
        <f>IFERROR(__xludf.DUMMYFUNCTION("""COMPUTED_VALUE"""),"West")</f>
        <v>West</v>
      </c>
      <c r="D6" s="6" t="str">
        <f>IFERROR(__xludf.DUMMYFUNCTION("""COMPUTED_VALUE"""),"Pune")</f>
        <v>Pune</v>
      </c>
      <c r="E6" s="6" t="str">
        <f>IFERROR(__xludf.DUMMYFUNCTION("""COMPUTED_VALUE"""),"ZestVita")</f>
        <v>ZestVita</v>
      </c>
      <c r="F6" s="6">
        <f>IFERROR(__xludf.DUMMYFUNCTION("""COMPUTED_VALUE"""),13727.0)</f>
        <v>13727</v>
      </c>
      <c r="G6" s="6">
        <f>IFERROR(__xludf.DUMMYFUNCTION("""COMPUTED_VALUE"""),15649.0)</f>
        <v>15649</v>
      </c>
      <c r="H6" s="39">
        <f>IFERROR(__xludf.DUMMYFUNCTION("""COMPUTED_VALUE"""),0.0)</f>
        <v>0</v>
      </c>
      <c r="I6" s="6">
        <f>IFERROR(__xludf.DUMMYFUNCTION("""COMPUTED_VALUE"""),135.0)</f>
        <v>135</v>
      </c>
      <c r="J6" s="6">
        <f>IFERROR(__xludf.DUMMYFUNCTION("""COMPUTED_VALUE"""),135.0)</f>
        <v>135</v>
      </c>
      <c r="K6" s="59">
        <f>IFERROR(__xludf.DUMMYFUNCTION("""COMPUTED_VALUE"""),1853145.0)</f>
        <v>1853145</v>
      </c>
      <c r="L6" s="6">
        <f>IFERROR(__xludf.DUMMYFUNCTION("""COMPUTED_VALUE"""),2112615.0)</f>
        <v>2112615</v>
      </c>
      <c r="M6" s="6">
        <f>IFERROR(__xludf.DUMMYFUNCTION("""COMPUTED_VALUE"""),74.03)</f>
        <v>74.03</v>
      </c>
      <c r="N6" s="6">
        <f>IFERROR(__xludf.DUMMYFUNCTION("""COMPUTED_VALUE"""),73.16)</f>
        <v>73.16</v>
      </c>
      <c r="O6" s="6">
        <f>IFERROR(__xludf.DUMMYFUNCTION("""COMPUTED_VALUE"""),1016209.81)</f>
        <v>1016209.81</v>
      </c>
      <c r="P6" s="6">
        <f>IFERROR(__xludf.DUMMYFUNCTION("""COMPUTED_VALUE"""),1144880.8399999999)</f>
        <v>1144880.84</v>
      </c>
    </row>
    <row r="7" ht="15.75" customHeight="1">
      <c r="A7" s="6" t="str">
        <f>IFERROR(__xludf.DUMMYFUNCTION("""COMPUTED_VALUE"""),"Month1")</f>
        <v>Month1</v>
      </c>
      <c r="B7" s="6" t="str">
        <f>IFERROR(__xludf.DUMMYFUNCTION("""COMPUTED_VALUE"""),"January")</f>
        <v>January</v>
      </c>
      <c r="C7" s="6" t="str">
        <f>IFERROR(__xludf.DUMMYFUNCTION("""COMPUTED_VALUE"""),"West")</f>
        <v>West</v>
      </c>
      <c r="D7" s="6" t="str">
        <f>IFERROR(__xludf.DUMMYFUNCTION("""COMPUTED_VALUE"""),"Pune")</f>
        <v>Pune</v>
      </c>
      <c r="E7" s="6" t="str">
        <f>IFERROR(__xludf.DUMMYFUNCTION("""COMPUTED_VALUE"""),"NutriKid")</f>
        <v>NutriKid</v>
      </c>
      <c r="F7" s="6">
        <f>IFERROR(__xludf.DUMMYFUNCTION("""COMPUTED_VALUE"""),15799.0)</f>
        <v>15799</v>
      </c>
      <c r="G7" s="6">
        <f>IFERROR(__xludf.DUMMYFUNCTION("""COMPUTED_VALUE"""),19275.0)</f>
        <v>19275</v>
      </c>
      <c r="H7" s="39">
        <f>IFERROR(__xludf.DUMMYFUNCTION("""COMPUTED_VALUE"""),0.0)</f>
        <v>0</v>
      </c>
      <c r="I7" s="6">
        <f>IFERROR(__xludf.DUMMYFUNCTION("""COMPUTED_VALUE"""),60.0)</f>
        <v>60</v>
      </c>
      <c r="J7" s="6">
        <f>IFERROR(__xludf.DUMMYFUNCTION("""COMPUTED_VALUE"""),60.0)</f>
        <v>60</v>
      </c>
      <c r="K7" s="59">
        <f>IFERROR(__xludf.DUMMYFUNCTION("""COMPUTED_VALUE"""),947940.0)</f>
        <v>947940</v>
      </c>
      <c r="L7" s="6">
        <f>IFERROR(__xludf.DUMMYFUNCTION("""COMPUTED_VALUE"""),1156500.0)</f>
        <v>1156500</v>
      </c>
      <c r="M7" s="6">
        <f>IFERROR(__xludf.DUMMYFUNCTION("""COMPUTED_VALUE"""),33.75)</f>
        <v>33.75</v>
      </c>
      <c r="N7" s="6">
        <f>IFERROR(__xludf.DUMMYFUNCTION("""COMPUTED_VALUE"""),29.89)</f>
        <v>29.89</v>
      </c>
      <c r="O7" s="6">
        <f>IFERROR(__xludf.DUMMYFUNCTION("""COMPUTED_VALUE"""),533216.25)</f>
        <v>533216.25</v>
      </c>
      <c r="P7" s="6">
        <f>IFERROR(__xludf.DUMMYFUNCTION("""COMPUTED_VALUE"""),576129.75)</f>
        <v>576129.75</v>
      </c>
    </row>
    <row r="8" ht="15.75" customHeight="1">
      <c r="A8" s="6" t="str">
        <f>IFERROR(__xludf.DUMMYFUNCTION("""COMPUTED_VALUE"""),"Month1")</f>
        <v>Month1</v>
      </c>
      <c r="B8" s="6" t="str">
        <f>IFERROR(__xludf.DUMMYFUNCTION("""COMPUTED_VALUE"""),"January")</f>
        <v>January</v>
      </c>
      <c r="C8" s="6" t="str">
        <f>IFERROR(__xludf.DUMMYFUNCTION("""COMPUTED_VALUE"""),"South")</f>
        <v>South</v>
      </c>
      <c r="D8" s="6" t="str">
        <f>IFERROR(__xludf.DUMMYFUNCTION("""COMPUTED_VALUE"""),"Bengaluru")</f>
        <v>Bengaluru</v>
      </c>
      <c r="E8" s="6" t="str">
        <f>IFERROR(__xludf.DUMMYFUNCTION("""COMPUTED_VALUE"""),"ZestVita")</f>
        <v>ZestVita</v>
      </c>
      <c r="F8" s="6">
        <f>IFERROR(__xludf.DUMMYFUNCTION("""COMPUTED_VALUE"""),24827.0)</f>
        <v>24827</v>
      </c>
      <c r="G8" s="6">
        <f>IFERROR(__xludf.DUMMYFUNCTION("""COMPUTED_VALUE"""),30537.0)</f>
        <v>30537</v>
      </c>
      <c r="H8" s="39">
        <f>IFERROR(__xludf.DUMMYFUNCTION("""COMPUTED_VALUE"""),0.0)</f>
        <v>0</v>
      </c>
      <c r="I8" s="6">
        <f>IFERROR(__xludf.DUMMYFUNCTION("""COMPUTED_VALUE"""),135.0)</f>
        <v>135</v>
      </c>
      <c r="J8" s="6">
        <f>IFERROR(__xludf.DUMMYFUNCTION("""COMPUTED_VALUE"""),135.0)</f>
        <v>135</v>
      </c>
      <c r="K8" s="59">
        <f>IFERROR(__xludf.DUMMYFUNCTION("""COMPUTED_VALUE"""),3351645.0)</f>
        <v>3351645</v>
      </c>
      <c r="L8" s="6">
        <f>IFERROR(__xludf.DUMMYFUNCTION("""COMPUTED_VALUE"""),4122495.0)</f>
        <v>4122495</v>
      </c>
      <c r="M8" s="6">
        <f>IFERROR(__xludf.DUMMYFUNCTION("""COMPUTED_VALUE"""),74.03)</f>
        <v>74.03</v>
      </c>
      <c r="N8" s="6">
        <f>IFERROR(__xludf.DUMMYFUNCTION("""COMPUTED_VALUE"""),73.16)</f>
        <v>73.16</v>
      </c>
      <c r="O8" s="6">
        <f>IFERROR(__xludf.DUMMYFUNCTION("""COMPUTED_VALUE"""),1837942.81)</f>
        <v>1837942.81</v>
      </c>
      <c r="P8" s="6">
        <f>IFERROR(__xludf.DUMMYFUNCTION("""COMPUTED_VALUE"""),2234086.92)</f>
        <v>2234086.92</v>
      </c>
    </row>
    <row r="9" ht="15.75" customHeight="1">
      <c r="A9" s="6" t="str">
        <f>IFERROR(__xludf.DUMMYFUNCTION("""COMPUTED_VALUE"""),"Month1")</f>
        <v>Month1</v>
      </c>
      <c r="B9" s="6" t="str">
        <f>IFERROR(__xludf.DUMMYFUNCTION("""COMPUTED_VALUE"""),"January")</f>
        <v>January</v>
      </c>
      <c r="C9" s="6" t="str">
        <f>IFERROR(__xludf.DUMMYFUNCTION("""COMPUTED_VALUE"""),"South")</f>
        <v>South</v>
      </c>
      <c r="D9" s="6" t="str">
        <f>IFERROR(__xludf.DUMMYFUNCTION("""COMPUTED_VALUE"""),"Bengaluru")</f>
        <v>Bengaluru</v>
      </c>
      <c r="E9" s="6" t="str">
        <f>IFERROR(__xludf.DUMMYFUNCTION("""COMPUTED_VALUE"""),"NutriKid")</f>
        <v>NutriKid</v>
      </c>
      <c r="F9" s="6">
        <f>IFERROR(__xludf.DUMMYFUNCTION("""COMPUTED_VALUE"""),13468.0)</f>
        <v>13468</v>
      </c>
      <c r="G9" s="6">
        <f>IFERROR(__xludf.DUMMYFUNCTION("""COMPUTED_VALUE"""),14949.0)</f>
        <v>14949</v>
      </c>
      <c r="H9" s="39">
        <f>IFERROR(__xludf.DUMMYFUNCTION("""COMPUTED_VALUE"""),0.0)</f>
        <v>0</v>
      </c>
      <c r="I9" s="6">
        <f>IFERROR(__xludf.DUMMYFUNCTION("""COMPUTED_VALUE"""),60.0)</f>
        <v>60</v>
      </c>
      <c r="J9" s="6">
        <f>IFERROR(__xludf.DUMMYFUNCTION("""COMPUTED_VALUE"""),60.0)</f>
        <v>60</v>
      </c>
      <c r="K9" s="59">
        <f>IFERROR(__xludf.DUMMYFUNCTION("""COMPUTED_VALUE"""),808080.0)</f>
        <v>808080</v>
      </c>
      <c r="L9" s="6">
        <f>IFERROR(__xludf.DUMMYFUNCTION("""COMPUTED_VALUE"""),896940.0)</f>
        <v>896940</v>
      </c>
      <c r="M9" s="6">
        <f>IFERROR(__xludf.DUMMYFUNCTION("""COMPUTED_VALUE"""),33.75)</f>
        <v>33.75</v>
      </c>
      <c r="N9" s="6">
        <f>IFERROR(__xludf.DUMMYFUNCTION("""COMPUTED_VALUE"""),29.89)</f>
        <v>29.89</v>
      </c>
      <c r="O9" s="6">
        <f>IFERROR(__xludf.DUMMYFUNCTION("""COMPUTED_VALUE"""),454545.0)</f>
        <v>454545</v>
      </c>
      <c r="P9" s="6">
        <f>IFERROR(__xludf.DUMMYFUNCTION("""COMPUTED_VALUE"""),446825.61)</f>
        <v>446825.61</v>
      </c>
    </row>
    <row r="10" ht="15.75" customHeight="1">
      <c r="A10" s="6" t="str">
        <f>IFERROR(__xludf.DUMMYFUNCTION("""COMPUTED_VALUE"""),"Month1")</f>
        <v>Month1</v>
      </c>
      <c r="B10" s="6" t="str">
        <f>IFERROR(__xludf.DUMMYFUNCTION("""COMPUTED_VALUE"""),"January")</f>
        <v>January</v>
      </c>
      <c r="C10" s="6" t="str">
        <f>IFERROR(__xludf.DUMMYFUNCTION("""COMPUTED_VALUE"""),"North")</f>
        <v>North</v>
      </c>
      <c r="D10" s="6" t="str">
        <f>IFERROR(__xludf.DUMMYFUNCTION("""COMPUTED_VALUE"""),"Chandigarh")</f>
        <v>Chandigarh</v>
      </c>
      <c r="E10" s="6" t="str">
        <f>IFERROR(__xludf.DUMMYFUNCTION("""COMPUTED_VALUE"""),"ZestVita")</f>
        <v>ZestVita</v>
      </c>
      <c r="F10" s="6">
        <f>IFERROR(__xludf.DUMMYFUNCTION("""COMPUTED_VALUE"""),22237.0)</f>
        <v>22237</v>
      </c>
      <c r="G10" s="6">
        <f>IFERROR(__xludf.DUMMYFUNCTION("""COMPUTED_VALUE"""),24683.0)</f>
        <v>24683</v>
      </c>
      <c r="H10" s="39">
        <f>IFERROR(__xludf.DUMMYFUNCTION("""COMPUTED_VALUE"""),0.0)</f>
        <v>0</v>
      </c>
      <c r="I10" s="6">
        <f>IFERROR(__xludf.DUMMYFUNCTION("""COMPUTED_VALUE"""),135.0)</f>
        <v>135</v>
      </c>
      <c r="J10" s="6">
        <f>IFERROR(__xludf.DUMMYFUNCTION("""COMPUTED_VALUE"""),135.0)</f>
        <v>135</v>
      </c>
      <c r="K10" s="59">
        <f>IFERROR(__xludf.DUMMYFUNCTION("""COMPUTED_VALUE"""),3001995.0)</f>
        <v>3001995</v>
      </c>
      <c r="L10" s="6">
        <f>IFERROR(__xludf.DUMMYFUNCTION("""COMPUTED_VALUE"""),3332205.0)</f>
        <v>3332205</v>
      </c>
      <c r="M10" s="6">
        <f>IFERROR(__xludf.DUMMYFUNCTION("""COMPUTED_VALUE"""),74.03)</f>
        <v>74.03</v>
      </c>
      <c r="N10" s="6">
        <f>IFERROR(__xludf.DUMMYFUNCTION("""COMPUTED_VALUE"""),73.16)</f>
        <v>73.16</v>
      </c>
      <c r="O10" s="6">
        <f>IFERROR(__xludf.DUMMYFUNCTION("""COMPUTED_VALUE"""),1646205.11)</f>
        <v>1646205.11</v>
      </c>
      <c r="P10" s="6">
        <f>IFERROR(__xludf.DUMMYFUNCTION("""COMPUTED_VALUE"""),1805808.28)</f>
        <v>1805808.28</v>
      </c>
    </row>
    <row r="11" ht="15.75" customHeight="1">
      <c r="A11" s="6" t="str">
        <f>IFERROR(__xludf.DUMMYFUNCTION("""COMPUTED_VALUE"""),"Month1")</f>
        <v>Month1</v>
      </c>
      <c r="B11" s="6" t="str">
        <f>IFERROR(__xludf.DUMMYFUNCTION("""COMPUTED_VALUE"""),"January")</f>
        <v>January</v>
      </c>
      <c r="C11" s="6" t="str">
        <f>IFERROR(__xludf.DUMMYFUNCTION("""COMPUTED_VALUE"""),"North")</f>
        <v>North</v>
      </c>
      <c r="D11" s="6" t="str">
        <f>IFERROR(__xludf.DUMMYFUNCTION("""COMPUTED_VALUE"""),"Chandigarh")</f>
        <v>Chandigarh</v>
      </c>
      <c r="E11" s="6" t="str">
        <f>IFERROR(__xludf.DUMMYFUNCTION("""COMPUTED_VALUE"""),"NutriKid")</f>
        <v>NutriKid</v>
      </c>
      <c r="F11" s="6">
        <f>IFERROR(__xludf.DUMMYFUNCTION("""COMPUTED_VALUE"""),23421.0)</f>
        <v>23421</v>
      </c>
      <c r="G11" s="6">
        <f>IFERROR(__xludf.DUMMYFUNCTION("""COMPUTED_VALUE"""),29042.0)</f>
        <v>29042</v>
      </c>
      <c r="H11" s="39">
        <f>IFERROR(__xludf.DUMMYFUNCTION("""COMPUTED_VALUE"""),0.0)</f>
        <v>0</v>
      </c>
      <c r="I11" s="6">
        <f>IFERROR(__xludf.DUMMYFUNCTION("""COMPUTED_VALUE"""),60.0)</f>
        <v>60</v>
      </c>
      <c r="J11" s="6">
        <f>IFERROR(__xludf.DUMMYFUNCTION("""COMPUTED_VALUE"""),60.0)</f>
        <v>60</v>
      </c>
      <c r="K11" s="59">
        <f>IFERROR(__xludf.DUMMYFUNCTION("""COMPUTED_VALUE"""),1405260.0)</f>
        <v>1405260</v>
      </c>
      <c r="L11" s="6">
        <f>IFERROR(__xludf.DUMMYFUNCTION("""COMPUTED_VALUE"""),1742520.0)</f>
        <v>1742520</v>
      </c>
      <c r="M11" s="6">
        <f>IFERROR(__xludf.DUMMYFUNCTION("""COMPUTED_VALUE"""),33.75)</f>
        <v>33.75</v>
      </c>
      <c r="N11" s="6">
        <f>IFERROR(__xludf.DUMMYFUNCTION("""COMPUTED_VALUE"""),29.89)</f>
        <v>29.89</v>
      </c>
      <c r="O11" s="6">
        <f>IFERROR(__xludf.DUMMYFUNCTION("""COMPUTED_VALUE"""),790458.75)</f>
        <v>790458.75</v>
      </c>
      <c r="P11" s="6">
        <f>IFERROR(__xludf.DUMMYFUNCTION("""COMPUTED_VALUE"""),868065.38)</f>
        <v>868065.38</v>
      </c>
    </row>
    <row r="12" ht="15.75" customHeight="1">
      <c r="A12" s="6" t="str">
        <f>IFERROR(__xludf.DUMMYFUNCTION("""COMPUTED_VALUE"""),"Month1")</f>
        <v>Month1</v>
      </c>
      <c r="B12" s="6" t="str">
        <f>IFERROR(__xludf.DUMMYFUNCTION("""COMPUTED_VALUE"""),"January")</f>
        <v>January</v>
      </c>
      <c r="C12" s="6" t="str">
        <f>IFERROR(__xludf.DUMMYFUNCTION("""COMPUTED_VALUE"""),"East")</f>
        <v>East</v>
      </c>
      <c r="D12" s="6" t="str">
        <f>IFERROR(__xludf.DUMMYFUNCTION("""COMPUTED_VALUE"""),"Bhubaneswar")</f>
        <v>Bhubaneswar</v>
      </c>
      <c r="E12" s="6" t="str">
        <f>IFERROR(__xludf.DUMMYFUNCTION("""COMPUTED_VALUE"""),"ZestVita")</f>
        <v>ZestVita</v>
      </c>
      <c r="F12" s="6">
        <f>IFERROR(__xludf.DUMMYFUNCTION("""COMPUTED_VALUE"""),13092.0)</f>
        <v>13092</v>
      </c>
      <c r="G12" s="6">
        <f>IFERROR(__xludf.DUMMYFUNCTION("""COMPUTED_VALUE"""),13878.0)</f>
        <v>13878</v>
      </c>
      <c r="H12" s="39">
        <f>IFERROR(__xludf.DUMMYFUNCTION("""COMPUTED_VALUE"""),0.125)</f>
        <v>0.125</v>
      </c>
      <c r="I12" s="6">
        <f>IFERROR(__xludf.DUMMYFUNCTION("""COMPUTED_VALUE"""),135.0)</f>
        <v>135</v>
      </c>
      <c r="J12" s="6">
        <f>IFERROR(__xludf.DUMMYFUNCTION("""COMPUTED_VALUE"""),118.125)</f>
        <v>118.125</v>
      </c>
      <c r="K12" s="59">
        <f>IFERROR(__xludf.DUMMYFUNCTION("""COMPUTED_VALUE"""),1546492.5)</f>
        <v>1546492.5</v>
      </c>
      <c r="L12" s="6">
        <f>IFERROR(__xludf.DUMMYFUNCTION("""COMPUTED_VALUE"""),1873530.0)</f>
        <v>1873530</v>
      </c>
      <c r="M12" s="6">
        <f>IFERROR(__xludf.DUMMYFUNCTION("""COMPUTED_VALUE"""),74.03)</f>
        <v>74.03</v>
      </c>
      <c r="N12" s="6">
        <f>IFERROR(__xludf.DUMMYFUNCTION("""COMPUTED_VALUE"""),73.16)</f>
        <v>73.16</v>
      </c>
      <c r="O12" s="6">
        <f>IFERROR(__xludf.DUMMYFUNCTION("""COMPUTED_VALUE"""),969200.76)</f>
        <v>969200.76</v>
      </c>
      <c r="P12" s="6">
        <f>IFERROR(__xludf.DUMMYFUNCTION("""COMPUTED_VALUE"""),1015314.48)</f>
        <v>1015314.48</v>
      </c>
    </row>
    <row r="13" ht="15.75" customHeight="1">
      <c r="A13" s="6" t="str">
        <f>IFERROR(__xludf.DUMMYFUNCTION("""COMPUTED_VALUE"""),"Month1")</f>
        <v>Month1</v>
      </c>
      <c r="B13" s="6" t="str">
        <f>IFERROR(__xludf.DUMMYFUNCTION("""COMPUTED_VALUE"""),"January")</f>
        <v>January</v>
      </c>
      <c r="C13" s="6" t="str">
        <f>IFERROR(__xludf.DUMMYFUNCTION("""COMPUTED_VALUE"""),"East")</f>
        <v>East</v>
      </c>
      <c r="D13" s="6" t="str">
        <f>IFERROR(__xludf.DUMMYFUNCTION("""COMPUTED_VALUE"""),"Bhubaneswar")</f>
        <v>Bhubaneswar</v>
      </c>
      <c r="E13" s="6" t="str">
        <f>IFERROR(__xludf.DUMMYFUNCTION("""COMPUTED_VALUE"""),"NutriKid")</f>
        <v>NutriKid</v>
      </c>
      <c r="F13" s="6">
        <f>IFERROR(__xludf.DUMMYFUNCTION("""COMPUTED_VALUE"""),17172.0)</f>
        <v>17172</v>
      </c>
      <c r="G13" s="6">
        <f>IFERROR(__xludf.DUMMYFUNCTION("""COMPUTED_VALUE"""),18546.0)</f>
        <v>18546</v>
      </c>
      <c r="H13" s="39">
        <f>IFERROR(__xludf.DUMMYFUNCTION("""COMPUTED_VALUE"""),0.125)</f>
        <v>0.125</v>
      </c>
      <c r="I13" s="6">
        <f>IFERROR(__xludf.DUMMYFUNCTION("""COMPUTED_VALUE"""),60.0)</f>
        <v>60</v>
      </c>
      <c r="J13" s="6">
        <f>IFERROR(__xludf.DUMMYFUNCTION("""COMPUTED_VALUE"""),52.5)</f>
        <v>52.5</v>
      </c>
      <c r="K13" s="59">
        <f>IFERROR(__xludf.DUMMYFUNCTION("""COMPUTED_VALUE"""),901530.0)</f>
        <v>901530</v>
      </c>
      <c r="L13" s="6">
        <f>IFERROR(__xludf.DUMMYFUNCTION("""COMPUTED_VALUE"""),1112760.0)</f>
        <v>1112760</v>
      </c>
      <c r="M13" s="6">
        <f>IFERROR(__xludf.DUMMYFUNCTION("""COMPUTED_VALUE"""),33.75)</f>
        <v>33.75</v>
      </c>
      <c r="N13" s="6">
        <f>IFERROR(__xludf.DUMMYFUNCTION("""COMPUTED_VALUE"""),29.89)</f>
        <v>29.89</v>
      </c>
      <c r="O13" s="6">
        <f>IFERROR(__xludf.DUMMYFUNCTION("""COMPUTED_VALUE"""),579555.0)</f>
        <v>579555</v>
      </c>
      <c r="P13" s="6">
        <f>IFERROR(__xludf.DUMMYFUNCTION("""COMPUTED_VALUE"""),554339.9400000001)</f>
        <v>554339.94</v>
      </c>
    </row>
    <row r="14" ht="15.75" customHeight="1">
      <c r="A14" s="6" t="str">
        <f>IFERROR(__xludf.DUMMYFUNCTION("""COMPUTED_VALUE"""),"Month1")</f>
        <v>Month1</v>
      </c>
      <c r="B14" s="6" t="str">
        <f>IFERROR(__xludf.DUMMYFUNCTION("""COMPUTED_VALUE"""),"January")</f>
        <v>January</v>
      </c>
      <c r="C14" s="6" t="str">
        <f>IFERROR(__xludf.DUMMYFUNCTION("""COMPUTED_VALUE"""),"West")</f>
        <v>West</v>
      </c>
      <c r="D14" s="6" t="str">
        <f>IFERROR(__xludf.DUMMYFUNCTION("""COMPUTED_VALUE"""),"Ahmedabad")</f>
        <v>Ahmedabad</v>
      </c>
      <c r="E14" s="6" t="str">
        <f>IFERROR(__xludf.DUMMYFUNCTION("""COMPUTED_VALUE"""),"ZestVita")</f>
        <v>ZestVita</v>
      </c>
      <c r="F14" s="6">
        <f>IFERROR(__xludf.DUMMYFUNCTION("""COMPUTED_VALUE"""),19536.0)</f>
        <v>19536</v>
      </c>
      <c r="G14" s="6">
        <f>IFERROR(__xludf.DUMMYFUNCTION("""COMPUTED_VALUE"""),23248.0)</f>
        <v>23248</v>
      </c>
      <c r="H14" s="39">
        <f>IFERROR(__xludf.DUMMYFUNCTION("""COMPUTED_VALUE"""),0.0)</f>
        <v>0</v>
      </c>
      <c r="I14" s="6">
        <f>IFERROR(__xludf.DUMMYFUNCTION("""COMPUTED_VALUE"""),135.0)</f>
        <v>135</v>
      </c>
      <c r="J14" s="6">
        <f>IFERROR(__xludf.DUMMYFUNCTION("""COMPUTED_VALUE"""),135.0)</f>
        <v>135</v>
      </c>
      <c r="K14" s="59">
        <f>IFERROR(__xludf.DUMMYFUNCTION("""COMPUTED_VALUE"""),2637360.0)</f>
        <v>2637360</v>
      </c>
      <c r="L14" s="6">
        <f>IFERROR(__xludf.DUMMYFUNCTION("""COMPUTED_VALUE"""),3138480.0)</f>
        <v>3138480</v>
      </c>
      <c r="M14" s="6">
        <f>IFERROR(__xludf.DUMMYFUNCTION("""COMPUTED_VALUE"""),74.03)</f>
        <v>74.03</v>
      </c>
      <c r="N14" s="6">
        <f>IFERROR(__xludf.DUMMYFUNCTION("""COMPUTED_VALUE"""),73.16)</f>
        <v>73.16</v>
      </c>
      <c r="O14" s="6">
        <f>IFERROR(__xludf.DUMMYFUNCTION("""COMPUTED_VALUE"""),1446250.08)</f>
        <v>1446250.08</v>
      </c>
      <c r="P14" s="6">
        <f>IFERROR(__xludf.DUMMYFUNCTION("""COMPUTED_VALUE"""),1700823.68)</f>
        <v>1700823.68</v>
      </c>
    </row>
    <row r="15" ht="15.75" customHeight="1">
      <c r="A15" s="6" t="str">
        <f>IFERROR(__xludf.DUMMYFUNCTION("""COMPUTED_VALUE"""),"Month1")</f>
        <v>Month1</v>
      </c>
      <c r="B15" s="6" t="str">
        <f>IFERROR(__xludf.DUMMYFUNCTION("""COMPUTED_VALUE"""),"January")</f>
        <v>January</v>
      </c>
      <c r="C15" s="6" t="str">
        <f>IFERROR(__xludf.DUMMYFUNCTION("""COMPUTED_VALUE"""),"West")</f>
        <v>West</v>
      </c>
      <c r="D15" s="6" t="str">
        <f>IFERROR(__xludf.DUMMYFUNCTION("""COMPUTED_VALUE"""),"Ahmedabad")</f>
        <v>Ahmedabad</v>
      </c>
      <c r="E15" s="6" t="str">
        <f>IFERROR(__xludf.DUMMYFUNCTION("""COMPUTED_VALUE"""),"NutriKid")</f>
        <v>NutriKid</v>
      </c>
      <c r="F15" s="6">
        <f>IFERROR(__xludf.DUMMYFUNCTION("""COMPUTED_VALUE"""),11359.0)</f>
        <v>11359</v>
      </c>
      <c r="G15" s="6">
        <f>IFERROR(__xludf.DUMMYFUNCTION("""COMPUTED_VALUE"""),13176.0)</f>
        <v>13176</v>
      </c>
      <c r="H15" s="39">
        <f>IFERROR(__xludf.DUMMYFUNCTION("""COMPUTED_VALUE"""),0.0)</f>
        <v>0</v>
      </c>
      <c r="I15" s="6">
        <f>IFERROR(__xludf.DUMMYFUNCTION("""COMPUTED_VALUE"""),60.0)</f>
        <v>60</v>
      </c>
      <c r="J15" s="6">
        <f>IFERROR(__xludf.DUMMYFUNCTION("""COMPUTED_VALUE"""),60.0)</f>
        <v>60</v>
      </c>
      <c r="K15" s="59">
        <f>IFERROR(__xludf.DUMMYFUNCTION("""COMPUTED_VALUE"""),681540.0)</f>
        <v>681540</v>
      </c>
      <c r="L15" s="6">
        <f>IFERROR(__xludf.DUMMYFUNCTION("""COMPUTED_VALUE"""),790560.0)</f>
        <v>790560</v>
      </c>
      <c r="M15" s="6">
        <f>IFERROR(__xludf.DUMMYFUNCTION("""COMPUTED_VALUE"""),33.75)</f>
        <v>33.75</v>
      </c>
      <c r="N15" s="6">
        <f>IFERROR(__xludf.DUMMYFUNCTION("""COMPUTED_VALUE"""),29.89)</f>
        <v>29.89</v>
      </c>
      <c r="O15" s="6">
        <f>IFERROR(__xludf.DUMMYFUNCTION("""COMPUTED_VALUE"""),383366.25)</f>
        <v>383366.25</v>
      </c>
      <c r="P15" s="6">
        <f>IFERROR(__xludf.DUMMYFUNCTION("""COMPUTED_VALUE"""),393830.64)</f>
        <v>393830.64</v>
      </c>
    </row>
    <row r="16" ht="15.75" customHeight="1">
      <c r="A16" s="6" t="str">
        <f>IFERROR(__xludf.DUMMYFUNCTION("""COMPUTED_VALUE"""),"Month1")</f>
        <v>Month1</v>
      </c>
      <c r="B16" s="6" t="str">
        <f>IFERROR(__xludf.DUMMYFUNCTION("""COMPUTED_VALUE"""),"January")</f>
        <v>January</v>
      </c>
      <c r="C16" s="6" t="str">
        <f>IFERROR(__xludf.DUMMYFUNCTION("""COMPUTED_VALUE"""),"South")</f>
        <v>South</v>
      </c>
      <c r="D16" s="6" t="str">
        <f>IFERROR(__xludf.DUMMYFUNCTION("""COMPUTED_VALUE"""),"Chennai")</f>
        <v>Chennai</v>
      </c>
      <c r="E16" s="6" t="str">
        <f>IFERROR(__xludf.DUMMYFUNCTION("""COMPUTED_VALUE"""),"ZestVita")</f>
        <v>ZestVita</v>
      </c>
      <c r="F16" s="6">
        <f>IFERROR(__xludf.DUMMYFUNCTION("""COMPUTED_VALUE"""),12062.0)</f>
        <v>12062</v>
      </c>
      <c r="G16" s="6">
        <f>IFERROR(__xludf.DUMMYFUNCTION("""COMPUTED_VALUE"""),13268.0)</f>
        <v>13268</v>
      </c>
      <c r="H16" s="39">
        <f>IFERROR(__xludf.DUMMYFUNCTION("""COMPUTED_VALUE"""),0.0)</f>
        <v>0</v>
      </c>
      <c r="I16" s="6">
        <f>IFERROR(__xludf.DUMMYFUNCTION("""COMPUTED_VALUE"""),135.0)</f>
        <v>135</v>
      </c>
      <c r="J16" s="6">
        <f>IFERROR(__xludf.DUMMYFUNCTION("""COMPUTED_VALUE"""),135.0)</f>
        <v>135</v>
      </c>
      <c r="K16" s="59">
        <f>IFERROR(__xludf.DUMMYFUNCTION("""COMPUTED_VALUE"""),1628370.0)</f>
        <v>1628370</v>
      </c>
      <c r="L16" s="6">
        <f>IFERROR(__xludf.DUMMYFUNCTION("""COMPUTED_VALUE"""),1791180.0)</f>
        <v>1791180</v>
      </c>
      <c r="M16" s="6">
        <f>IFERROR(__xludf.DUMMYFUNCTION("""COMPUTED_VALUE"""),74.03)</f>
        <v>74.03</v>
      </c>
      <c r="N16" s="6">
        <f>IFERROR(__xludf.DUMMYFUNCTION("""COMPUTED_VALUE"""),73.16)</f>
        <v>73.16</v>
      </c>
      <c r="O16" s="6">
        <f>IFERROR(__xludf.DUMMYFUNCTION("""COMPUTED_VALUE"""),892949.86)</f>
        <v>892949.86</v>
      </c>
      <c r="P16" s="6">
        <f>IFERROR(__xludf.DUMMYFUNCTION("""COMPUTED_VALUE"""),970686.88)</f>
        <v>970686.88</v>
      </c>
    </row>
    <row r="17" ht="15.75" customHeight="1">
      <c r="A17" s="6" t="str">
        <f>IFERROR(__xludf.DUMMYFUNCTION("""COMPUTED_VALUE"""),"Month1")</f>
        <v>Month1</v>
      </c>
      <c r="B17" s="6" t="str">
        <f>IFERROR(__xludf.DUMMYFUNCTION("""COMPUTED_VALUE"""),"January")</f>
        <v>January</v>
      </c>
      <c r="C17" s="6" t="str">
        <f>IFERROR(__xludf.DUMMYFUNCTION("""COMPUTED_VALUE"""),"South")</f>
        <v>South</v>
      </c>
      <c r="D17" s="6" t="str">
        <f>IFERROR(__xludf.DUMMYFUNCTION("""COMPUTED_VALUE"""),"Chennai")</f>
        <v>Chennai</v>
      </c>
      <c r="E17" s="6" t="str">
        <f>IFERROR(__xludf.DUMMYFUNCTION("""COMPUTED_VALUE"""),"NutriKid")</f>
        <v>NutriKid</v>
      </c>
      <c r="F17" s="6">
        <f>IFERROR(__xludf.DUMMYFUNCTION("""COMPUTED_VALUE"""),13579.0)</f>
        <v>13579</v>
      </c>
      <c r="G17" s="6">
        <f>IFERROR(__xludf.DUMMYFUNCTION("""COMPUTED_VALUE"""),16702.0)</f>
        <v>16702</v>
      </c>
      <c r="H17" s="39">
        <f>IFERROR(__xludf.DUMMYFUNCTION("""COMPUTED_VALUE"""),0.0)</f>
        <v>0</v>
      </c>
      <c r="I17" s="6">
        <f>IFERROR(__xludf.DUMMYFUNCTION("""COMPUTED_VALUE"""),60.0)</f>
        <v>60</v>
      </c>
      <c r="J17" s="6">
        <f>IFERROR(__xludf.DUMMYFUNCTION("""COMPUTED_VALUE"""),60.0)</f>
        <v>60</v>
      </c>
      <c r="K17" s="59">
        <f>IFERROR(__xludf.DUMMYFUNCTION("""COMPUTED_VALUE"""),814740.0)</f>
        <v>814740</v>
      </c>
      <c r="L17" s="6">
        <f>IFERROR(__xludf.DUMMYFUNCTION("""COMPUTED_VALUE"""),1002120.0)</f>
        <v>1002120</v>
      </c>
      <c r="M17" s="6">
        <f>IFERROR(__xludf.DUMMYFUNCTION("""COMPUTED_VALUE"""),33.75)</f>
        <v>33.75</v>
      </c>
      <c r="N17" s="6">
        <f>IFERROR(__xludf.DUMMYFUNCTION("""COMPUTED_VALUE"""),29.89)</f>
        <v>29.89</v>
      </c>
      <c r="O17" s="6">
        <f>IFERROR(__xludf.DUMMYFUNCTION("""COMPUTED_VALUE"""),458291.25)</f>
        <v>458291.25</v>
      </c>
      <c r="P17" s="6">
        <f>IFERROR(__xludf.DUMMYFUNCTION("""COMPUTED_VALUE"""),499222.78)</f>
        <v>499222.78</v>
      </c>
    </row>
    <row r="18" ht="15.75" customHeight="1">
      <c r="A18" s="6" t="str">
        <f>IFERROR(__xludf.DUMMYFUNCTION("""COMPUTED_VALUE"""),"Month1")</f>
        <v>Month1</v>
      </c>
      <c r="B18" s="6" t="str">
        <f>IFERROR(__xludf.DUMMYFUNCTION("""COMPUTED_VALUE"""),"January")</f>
        <v>January</v>
      </c>
      <c r="C18" s="6" t="str">
        <f>IFERROR(__xludf.DUMMYFUNCTION("""COMPUTED_VALUE"""),"North")</f>
        <v>North</v>
      </c>
      <c r="D18" s="6" t="str">
        <f>IFERROR(__xludf.DUMMYFUNCTION("""COMPUTED_VALUE"""),"Lucknow")</f>
        <v>Lucknow</v>
      </c>
      <c r="E18" s="6" t="str">
        <f>IFERROR(__xludf.DUMMYFUNCTION("""COMPUTED_VALUE"""),"ZestVita")</f>
        <v>ZestVita</v>
      </c>
      <c r="F18" s="6">
        <f>IFERROR(__xludf.DUMMYFUNCTION("""COMPUTED_VALUE"""),22339.0)</f>
        <v>22339</v>
      </c>
      <c r="G18" s="6">
        <f>IFERROR(__xludf.DUMMYFUNCTION("""COMPUTED_VALUE"""),25913.0)</f>
        <v>25913</v>
      </c>
      <c r="H18" s="39">
        <f>IFERROR(__xludf.DUMMYFUNCTION("""COMPUTED_VALUE"""),0.1)</f>
        <v>0.1</v>
      </c>
      <c r="I18" s="6">
        <f>IFERROR(__xludf.DUMMYFUNCTION("""COMPUTED_VALUE"""),135.0)</f>
        <v>135</v>
      </c>
      <c r="J18" s="6">
        <f>IFERROR(__xludf.DUMMYFUNCTION("""COMPUTED_VALUE"""),121.5)</f>
        <v>121.5</v>
      </c>
      <c r="K18" s="59">
        <f>IFERROR(__xludf.DUMMYFUNCTION("""COMPUTED_VALUE"""),2714188.5)</f>
        <v>2714188.5</v>
      </c>
      <c r="L18" s="6">
        <f>IFERROR(__xludf.DUMMYFUNCTION("""COMPUTED_VALUE"""),3498255.0)</f>
        <v>3498255</v>
      </c>
      <c r="M18" s="6">
        <f>IFERROR(__xludf.DUMMYFUNCTION("""COMPUTED_VALUE"""),74.03)</f>
        <v>74.03</v>
      </c>
      <c r="N18" s="6">
        <f>IFERROR(__xludf.DUMMYFUNCTION("""COMPUTED_VALUE"""),73.16)</f>
        <v>73.16</v>
      </c>
      <c r="O18" s="6">
        <f>IFERROR(__xludf.DUMMYFUNCTION("""COMPUTED_VALUE"""),1653756.17)</f>
        <v>1653756.17</v>
      </c>
      <c r="P18" s="6">
        <f>IFERROR(__xludf.DUMMYFUNCTION("""COMPUTED_VALUE"""),1895795.0799999998)</f>
        <v>1895795.08</v>
      </c>
    </row>
    <row r="19" ht="15.75" customHeight="1">
      <c r="A19" s="6" t="str">
        <f>IFERROR(__xludf.DUMMYFUNCTION("""COMPUTED_VALUE"""),"Month1")</f>
        <v>Month1</v>
      </c>
      <c r="B19" s="6" t="str">
        <f>IFERROR(__xludf.DUMMYFUNCTION("""COMPUTED_VALUE"""),"January")</f>
        <v>January</v>
      </c>
      <c r="C19" s="6" t="str">
        <f>IFERROR(__xludf.DUMMYFUNCTION("""COMPUTED_VALUE"""),"North")</f>
        <v>North</v>
      </c>
      <c r="D19" s="6" t="str">
        <f>IFERROR(__xludf.DUMMYFUNCTION("""COMPUTED_VALUE"""),"Lucknow")</f>
        <v>Lucknow</v>
      </c>
      <c r="E19" s="6" t="str">
        <f>IFERROR(__xludf.DUMMYFUNCTION("""COMPUTED_VALUE"""),"NutriKid")</f>
        <v>NutriKid</v>
      </c>
      <c r="F19" s="6">
        <f>IFERROR(__xludf.DUMMYFUNCTION("""COMPUTED_VALUE"""),19542.0)</f>
        <v>19542</v>
      </c>
      <c r="G19" s="6">
        <f>IFERROR(__xludf.DUMMYFUNCTION("""COMPUTED_VALUE"""),22082.0)</f>
        <v>22082</v>
      </c>
      <c r="H19" s="39">
        <f>IFERROR(__xludf.DUMMYFUNCTION("""COMPUTED_VALUE"""),0.1)</f>
        <v>0.1</v>
      </c>
      <c r="I19" s="6">
        <f>IFERROR(__xludf.DUMMYFUNCTION("""COMPUTED_VALUE"""),60.0)</f>
        <v>60</v>
      </c>
      <c r="J19" s="6">
        <f>IFERROR(__xludf.DUMMYFUNCTION("""COMPUTED_VALUE"""),54.0)</f>
        <v>54</v>
      </c>
      <c r="K19" s="59">
        <f>IFERROR(__xludf.DUMMYFUNCTION("""COMPUTED_VALUE"""),1055268.0)</f>
        <v>1055268</v>
      </c>
      <c r="L19" s="6">
        <f>IFERROR(__xludf.DUMMYFUNCTION("""COMPUTED_VALUE"""),1324920.0)</f>
        <v>1324920</v>
      </c>
      <c r="M19" s="6">
        <f>IFERROR(__xludf.DUMMYFUNCTION("""COMPUTED_VALUE"""),33.75)</f>
        <v>33.75</v>
      </c>
      <c r="N19" s="6">
        <f>IFERROR(__xludf.DUMMYFUNCTION("""COMPUTED_VALUE"""),29.89)</f>
        <v>29.89</v>
      </c>
      <c r="O19" s="6">
        <f>IFERROR(__xludf.DUMMYFUNCTION("""COMPUTED_VALUE"""),659542.5)</f>
        <v>659542.5</v>
      </c>
      <c r="P19" s="6">
        <f>IFERROR(__xludf.DUMMYFUNCTION("""COMPUTED_VALUE"""),660030.98)</f>
        <v>660030.98</v>
      </c>
    </row>
    <row r="20" ht="15.75" customHeight="1">
      <c r="A20" s="6" t="str">
        <f>IFERROR(__xludf.DUMMYFUNCTION("""COMPUTED_VALUE"""),"Month1")</f>
        <v>Month1</v>
      </c>
      <c r="B20" s="6" t="str">
        <f>IFERROR(__xludf.DUMMYFUNCTION("""COMPUTED_VALUE"""),"January")</f>
        <v>January</v>
      </c>
      <c r="C20" s="6" t="str">
        <f>IFERROR(__xludf.DUMMYFUNCTION("""COMPUTED_VALUE"""),"East")</f>
        <v>East</v>
      </c>
      <c r="D20" s="6" t="str">
        <f>IFERROR(__xludf.DUMMYFUNCTION("""COMPUTED_VALUE"""),"Ranchi")</f>
        <v>Ranchi</v>
      </c>
      <c r="E20" s="6" t="str">
        <f>IFERROR(__xludf.DUMMYFUNCTION("""COMPUTED_VALUE"""),"ZestVita")</f>
        <v>ZestVita</v>
      </c>
      <c r="F20" s="6">
        <f>IFERROR(__xludf.DUMMYFUNCTION("""COMPUTED_VALUE"""),25253.0)</f>
        <v>25253</v>
      </c>
      <c r="G20" s="6">
        <f>IFERROR(__xludf.DUMMYFUNCTION("""COMPUTED_VALUE"""),27273.0)</f>
        <v>27273</v>
      </c>
      <c r="H20" s="39">
        <f>IFERROR(__xludf.DUMMYFUNCTION("""COMPUTED_VALUE"""),0.05)</f>
        <v>0.05</v>
      </c>
      <c r="I20" s="6">
        <f>IFERROR(__xludf.DUMMYFUNCTION("""COMPUTED_VALUE"""),135.0)</f>
        <v>135</v>
      </c>
      <c r="J20" s="6">
        <f>IFERROR(__xludf.DUMMYFUNCTION("""COMPUTED_VALUE"""),128.25)</f>
        <v>128.25</v>
      </c>
      <c r="K20" s="59">
        <f>IFERROR(__xludf.DUMMYFUNCTION("""COMPUTED_VALUE"""),3238697.25)</f>
        <v>3238697.25</v>
      </c>
      <c r="L20" s="6">
        <f>IFERROR(__xludf.DUMMYFUNCTION("""COMPUTED_VALUE"""),3681855.0)</f>
        <v>3681855</v>
      </c>
      <c r="M20" s="6">
        <f>IFERROR(__xludf.DUMMYFUNCTION("""COMPUTED_VALUE"""),74.03)</f>
        <v>74.03</v>
      </c>
      <c r="N20" s="6">
        <f>IFERROR(__xludf.DUMMYFUNCTION("""COMPUTED_VALUE"""),73.16)</f>
        <v>73.16</v>
      </c>
      <c r="O20" s="6">
        <f>IFERROR(__xludf.DUMMYFUNCTION("""COMPUTED_VALUE"""),1869479.59)</f>
        <v>1869479.59</v>
      </c>
      <c r="P20" s="6">
        <f>IFERROR(__xludf.DUMMYFUNCTION("""COMPUTED_VALUE"""),1995292.68)</f>
        <v>1995292.68</v>
      </c>
    </row>
    <row r="21" ht="15.75" customHeight="1">
      <c r="A21" s="6" t="str">
        <f>IFERROR(__xludf.DUMMYFUNCTION("""COMPUTED_VALUE"""),"Month1")</f>
        <v>Month1</v>
      </c>
      <c r="B21" s="6" t="str">
        <f>IFERROR(__xludf.DUMMYFUNCTION("""COMPUTED_VALUE"""),"January")</f>
        <v>January</v>
      </c>
      <c r="C21" s="6" t="str">
        <f>IFERROR(__xludf.DUMMYFUNCTION("""COMPUTED_VALUE"""),"East")</f>
        <v>East</v>
      </c>
      <c r="D21" s="6" t="str">
        <f>IFERROR(__xludf.DUMMYFUNCTION("""COMPUTED_VALUE"""),"Ranchi")</f>
        <v>Ranchi</v>
      </c>
      <c r="E21" s="6" t="str">
        <f>IFERROR(__xludf.DUMMYFUNCTION("""COMPUTED_VALUE"""),"NutriKid")</f>
        <v>NutriKid</v>
      </c>
      <c r="F21" s="6">
        <f>IFERROR(__xludf.DUMMYFUNCTION("""COMPUTED_VALUE"""),15890.0)</f>
        <v>15890</v>
      </c>
      <c r="G21" s="6">
        <f>IFERROR(__xludf.DUMMYFUNCTION("""COMPUTED_VALUE"""),16208.0)</f>
        <v>16208</v>
      </c>
      <c r="H21" s="39">
        <f>IFERROR(__xludf.DUMMYFUNCTION("""COMPUTED_VALUE"""),0.05)</f>
        <v>0.05</v>
      </c>
      <c r="I21" s="6">
        <f>IFERROR(__xludf.DUMMYFUNCTION("""COMPUTED_VALUE"""),60.0)</f>
        <v>60</v>
      </c>
      <c r="J21" s="6">
        <f>IFERROR(__xludf.DUMMYFUNCTION("""COMPUTED_VALUE"""),57.0)</f>
        <v>57</v>
      </c>
      <c r="K21" s="59">
        <f>IFERROR(__xludf.DUMMYFUNCTION("""COMPUTED_VALUE"""),905730.0)</f>
        <v>905730</v>
      </c>
      <c r="L21" s="6">
        <f>IFERROR(__xludf.DUMMYFUNCTION("""COMPUTED_VALUE"""),972480.0)</f>
        <v>972480</v>
      </c>
      <c r="M21" s="6">
        <f>IFERROR(__xludf.DUMMYFUNCTION("""COMPUTED_VALUE"""),33.75)</f>
        <v>33.75</v>
      </c>
      <c r="N21" s="6">
        <f>IFERROR(__xludf.DUMMYFUNCTION("""COMPUTED_VALUE"""),29.89)</f>
        <v>29.89</v>
      </c>
      <c r="O21" s="6">
        <f>IFERROR(__xludf.DUMMYFUNCTION("""COMPUTED_VALUE"""),536287.5)</f>
        <v>536287.5</v>
      </c>
      <c r="P21" s="6">
        <f>IFERROR(__xludf.DUMMYFUNCTION("""COMPUTED_VALUE"""),484457.12)</f>
        <v>484457.12</v>
      </c>
    </row>
    <row r="22" ht="15.75" customHeight="1">
      <c r="A22" s="6" t="str">
        <f>IFERROR(__xludf.DUMMYFUNCTION("""COMPUTED_VALUE"""),"Month1")</f>
        <v>Month1</v>
      </c>
      <c r="B22" s="6" t="str">
        <f>IFERROR(__xludf.DUMMYFUNCTION("""COMPUTED_VALUE"""),"January")</f>
        <v>January</v>
      </c>
      <c r="C22" s="6" t="str">
        <f>IFERROR(__xludf.DUMMYFUNCTION("""COMPUTED_VALUE"""),"West")</f>
        <v>West</v>
      </c>
      <c r="D22" s="6" t="str">
        <f>IFERROR(__xludf.DUMMYFUNCTION("""COMPUTED_VALUE"""),"Surat")</f>
        <v>Surat</v>
      </c>
      <c r="E22" s="6" t="str">
        <f>IFERROR(__xludf.DUMMYFUNCTION("""COMPUTED_VALUE"""),"ZestVita")</f>
        <v>ZestVita</v>
      </c>
      <c r="F22" s="6">
        <f>IFERROR(__xludf.DUMMYFUNCTION("""COMPUTED_VALUE"""),17834.0)</f>
        <v>17834</v>
      </c>
      <c r="G22" s="6">
        <f>IFERROR(__xludf.DUMMYFUNCTION("""COMPUTED_VALUE"""),18547.0)</f>
        <v>18547</v>
      </c>
      <c r="H22" s="39">
        <f>IFERROR(__xludf.DUMMYFUNCTION("""COMPUTED_VALUE"""),0.05)</f>
        <v>0.05</v>
      </c>
      <c r="I22" s="6">
        <f>IFERROR(__xludf.DUMMYFUNCTION("""COMPUTED_VALUE"""),135.0)</f>
        <v>135</v>
      </c>
      <c r="J22" s="6">
        <f>IFERROR(__xludf.DUMMYFUNCTION("""COMPUTED_VALUE"""),128.25)</f>
        <v>128.25</v>
      </c>
      <c r="K22" s="59">
        <f>IFERROR(__xludf.DUMMYFUNCTION("""COMPUTED_VALUE"""),2287210.5)</f>
        <v>2287210.5</v>
      </c>
      <c r="L22" s="6">
        <f>IFERROR(__xludf.DUMMYFUNCTION("""COMPUTED_VALUE"""),2503845.0)</f>
        <v>2503845</v>
      </c>
      <c r="M22" s="6">
        <f>IFERROR(__xludf.DUMMYFUNCTION("""COMPUTED_VALUE"""),74.03)</f>
        <v>74.03</v>
      </c>
      <c r="N22" s="6">
        <f>IFERROR(__xludf.DUMMYFUNCTION("""COMPUTED_VALUE"""),73.16)</f>
        <v>73.16</v>
      </c>
      <c r="O22" s="6">
        <f>IFERROR(__xludf.DUMMYFUNCTION("""COMPUTED_VALUE"""),1320251.02)</f>
        <v>1320251.02</v>
      </c>
      <c r="P22" s="6">
        <f>IFERROR(__xludf.DUMMYFUNCTION("""COMPUTED_VALUE"""),1356898.52)</f>
        <v>1356898.52</v>
      </c>
    </row>
    <row r="23" ht="15.75" customHeight="1">
      <c r="A23" s="6" t="str">
        <f>IFERROR(__xludf.DUMMYFUNCTION("""COMPUTED_VALUE"""),"Month1")</f>
        <v>Month1</v>
      </c>
      <c r="B23" s="6" t="str">
        <f>IFERROR(__xludf.DUMMYFUNCTION("""COMPUTED_VALUE"""),"January")</f>
        <v>January</v>
      </c>
      <c r="C23" s="6" t="str">
        <f>IFERROR(__xludf.DUMMYFUNCTION("""COMPUTED_VALUE"""),"West")</f>
        <v>West</v>
      </c>
      <c r="D23" s="6" t="str">
        <f>IFERROR(__xludf.DUMMYFUNCTION("""COMPUTED_VALUE"""),"Surat")</f>
        <v>Surat</v>
      </c>
      <c r="E23" s="6" t="str">
        <f>IFERROR(__xludf.DUMMYFUNCTION("""COMPUTED_VALUE"""),"NutriKid")</f>
        <v>NutriKid</v>
      </c>
      <c r="F23" s="6">
        <f>IFERROR(__xludf.DUMMYFUNCTION("""COMPUTED_VALUE"""),14097.0)</f>
        <v>14097</v>
      </c>
      <c r="G23" s="6">
        <f>IFERROR(__xludf.DUMMYFUNCTION("""COMPUTED_VALUE"""),14943.0)</f>
        <v>14943</v>
      </c>
      <c r="H23" s="39">
        <f>IFERROR(__xludf.DUMMYFUNCTION("""COMPUTED_VALUE"""),0.05)</f>
        <v>0.05</v>
      </c>
      <c r="I23" s="6">
        <f>IFERROR(__xludf.DUMMYFUNCTION("""COMPUTED_VALUE"""),60.0)</f>
        <v>60</v>
      </c>
      <c r="J23" s="6">
        <f>IFERROR(__xludf.DUMMYFUNCTION("""COMPUTED_VALUE"""),57.0)</f>
        <v>57</v>
      </c>
      <c r="K23" s="59">
        <f>IFERROR(__xludf.DUMMYFUNCTION("""COMPUTED_VALUE"""),803529.0)</f>
        <v>803529</v>
      </c>
      <c r="L23" s="6">
        <f>IFERROR(__xludf.DUMMYFUNCTION("""COMPUTED_VALUE"""),896580.0)</f>
        <v>896580</v>
      </c>
      <c r="M23" s="6">
        <f>IFERROR(__xludf.DUMMYFUNCTION("""COMPUTED_VALUE"""),33.75)</f>
        <v>33.75</v>
      </c>
      <c r="N23" s="6">
        <f>IFERROR(__xludf.DUMMYFUNCTION("""COMPUTED_VALUE"""),29.89)</f>
        <v>29.89</v>
      </c>
      <c r="O23" s="6">
        <f>IFERROR(__xludf.DUMMYFUNCTION("""COMPUTED_VALUE"""),475773.75)</f>
        <v>475773.75</v>
      </c>
      <c r="P23" s="6">
        <f>IFERROR(__xludf.DUMMYFUNCTION("""COMPUTED_VALUE"""),446646.27)</f>
        <v>446646.27</v>
      </c>
    </row>
    <row r="24" ht="15.75" customHeight="1">
      <c r="A24" s="6" t="str">
        <f>IFERROR(__xludf.DUMMYFUNCTION("""COMPUTED_VALUE"""),"Month1")</f>
        <v>Month1</v>
      </c>
      <c r="B24" s="6" t="str">
        <f>IFERROR(__xludf.DUMMYFUNCTION("""COMPUTED_VALUE"""),"January")</f>
        <v>January</v>
      </c>
      <c r="C24" s="6" t="str">
        <f>IFERROR(__xludf.DUMMYFUNCTION("""COMPUTED_VALUE"""),"South")</f>
        <v>South</v>
      </c>
      <c r="D24" s="6" t="str">
        <f>IFERROR(__xludf.DUMMYFUNCTION("""COMPUTED_VALUE"""),"Hyderabad")</f>
        <v>Hyderabad</v>
      </c>
      <c r="E24" s="6" t="str">
        <f>IFERROR(__xludf.DUMMYFUNCTION("""COMPUTED_VALUE"""),"ZestVita")</f>
        <v>ZestVita</v>
      </c>
      <c r="F24" s="6">
        <f>IFERROR(__xludf.DUMMYFUNCTION("""COMPUTED_VALUE"""),24642.0)</f>
        <v>24642</v>
      </c>
      <c r="G24" s="6">
        <f>IFERROR(__xludf.DUMMYFUNCTION("""COMPUTED_VALUE"""),29078.0)</f>
        <v>29078</v>
      </c>
      <c r="H24" s="39">
        <f>IFERROR(__xludf.DUMMYFUNCTION("""COMPUTED_VALUE"""),0.0)</f>
        <v>0</v>
      </c>
      <c r="I24" s="6">
        <f>IFERROR(__xludf.DUMMYFUNCTION("""COMPUTED_VALUE"""),135.0)</f>
        <v>135</v>
      </c>
      <c r="J24" s="6">
        <f>IFERROR(__xludf.DUMMYFUNCTION("""COMPUTED_VALUE"""),135.0)</f>
        <v>135</v>
      </c>
      <c r="K24" s="59">
        <f>IFERROR(__xludf.DUMMYFUNCTION("""COMPUTED_VALUE"""),3326670.0)</f>
        <v>3326670</v>
      </c>
      <c r="L24" s="6">
        <f>IFERROR(__xludf.DUMMYFUNCTION("""COMPUTED_VALUE"""),3925530.0)</f>
        <v>3925530</v>
      </c>
      <c r="M24" s="6">
        <f>IFERROR(__xludf.DUMMYFUNCTION("""COMPUTED_VALUE"""),74.03)</f>
        <v>74.03</v>
      </c>
      <c r="N24" s="6">
        <f>IFERROR(__xludf.DUMMYFUNCTION("""COMPUTED_VALUE"""),73.16)</f>
        <v>73.16</v>
      </c>
      <c r="O24" s="6">
        <f>IFERROR(__xludf.DUMMYFUNCTION("""COMPUTED_VALUE"""),1824247.26)</f>
        <v>1824247.26</v>
      </c>
      <c r="P24" s="6">
        <f>IFERROR(__xludf.DUMMYFUNCTION("""COMPUTED_VALUE"""),2127346.48)</f>
        <v>2127346.48</v>
      </c>
    </row>
    <row r="25" ht="15.75" customHeight="1">
      <c r="A25" s="6" t="str">
        <f>IFERROR(__xludf.DUMMYFUNCTION("""COMPUTED_VALUE"""),"Month1")</f>
        <v>Month1</v>
      </c>
      <c r="B25" s="6" t="str">
        <f>IFERROR(__xludf.DUMMYFUNCTION("""COMPUTED_VALUE"""),"January")</f>
        <v>January</v>
      </c>
      <c r="C25" s="6" t="str">
        <f>IFERROR(__xludf.DUMMYFUNCTION("""COMPUTED_VALUE"""),"South")</f>
        <v>South</v>
      </c>
      <c r="D25" s="6" t="str">
        <f>IFERROR(__xludf.DUMMYFUNCTION("""COMPUTED_VALUE"""),"Hyderabad")</f>
        <v>Hyderabad</v>
      </c>
      <c r="E25" s="6" t="str">
        <f>IFERROR(__xludf.DUMMYFUNCTION("""COMPUTED_VALUE"""),"NutriKid")</f>
        <v>NutriKid</v>
      </c>
      <c r="F25" s="6">
        <f>IFERROR(__xludf.DUMMYFUNCTION("""COMPUTED_VALUE"""),24864.0)</f>
        <v>24864</v>
      </c>
      <c r="G25" s="6">
        <f>IFERROR(__xludf.DUMMYFUNCTION("""COMPUTED_VALUE"""),29588.0)</f>
        <v>29588</v>
      </c>
      <c r="H25" s="39">
        <f>IFERROR(__xludf.DUMMYFUNCTION("""COMPUTED_VALUE"""),0.0)</f>
        <v>0</v>
      </c>
      <c r="I25" s="6">
        <f>IFERROR(__xludf.DUMMYFUNCTION("""COMPUTED_VALUE"""),60.0)</f>
        <v>60</v>
      </c>
      <c r="J25" s="6">
        <f>IFERROR(__xludf.DUMMYFUNCTION("""COMPUTED_VALUE"""),60.0)</f>
        <v>60</v>
      </c>
      <c r="K25" s="59">
        <f>IFERROR(__xludf.DUMMYFUNCTION("""COMPUTED_VALUE"""),1491840.0)</f>
        <v>1491840</v>
      </c>
      <c r="L25" s="6">
        <f>IFERROR(__xludf.DUMMYFUNCTION("""COMPUTED_VALUE"""),1775280.0)</f>
        <v>1775280</v>
      </c>
      <c r="M25" s="6">
        <f>IFERROR(__xludf.DUMMYFUNCTION("""COMPUTED_VALUE"""),33.75)</f>
        <v>33.75</v>
      </c>
      <c r="N25" s="6">
        <f>IFERROR(__xludf.DUMMYFUNCTION("""COMPUTED_VALUE"""),29.89)</f>
        <v>29.89</v>
      </c>
      <c r="O25" s="6">
        <f>IFERROR(__xludf.DUMMYFUNCTION("""COMPUTED_VALUE"""),839160.0)</f>
        <v>839160</v>
      </c>
      <c r="P25" s="6">
        <f>IFERROR(__xludf.DUMMYFUNCTION("""COMPUTED_VALUE"""),884385.3200000001)</f>
        <v>884385.32</v>
      </c>
    </row>
    <row r="26" ht="15.75" customHeight="1">
      <c r="A26" s="6" t="str">
        <f>IFERROR(__xludf.DUMMYFUNCTION("""COMPUTED_VALUE"""),"Month1")</f>
        <v>Month1</v>
      </c>
      <c r="B26" s="6" t="str">
        <f>IFERROR(__xludf.DUMMYFUNCTION("""COMPUTED_VALUE"""),"January")</f>
        <v>January</v>
      </c>
      <c r="C26" s="6" t="str">
        <f>IFERROR(__xludf.DUMMYFUNCTION("""COMPUTED_VALUE"""),"North")</f>
        <v>North</v>
      </c>
      <c r="D26" s="6" t="str">
        <f>IFERROR(__xludf.DUMMYFUNCTION("""COMPUTED_VALUE"""),"Dehradun")</f>
        <v>Dehradun</v>
      </c>
      <c r="E26" s="6" t="str">
        <f>IFERROR(__xludf.DUMMYFUNCTION("""COMPUTED_VALUE"""),"ZestVita")</f>
        <v>ZestVita</v>
      </c>
      <c r="F26" s="6">
        <f>IFERROR(__xludf.DUMMYFUNCTION("""COMPUTED_VALUE"""),20824.0)</f>
        <v>20824</v>
      </c>
      <c r="G26" s="6">
        <f>IFERROR(__xludf.DUMMYFUNCTION("""COMPUTED_VALUE"""),22490.0)</f>
        <v>22490</v>
      </c>
      <c r="H26" s="39">
        <f>IFERROR(__xludf.DUMMYFUNCTION("""COMPUTED_VALUE"""),0.125)</f>
        <v>0.125</v>
      </c>
      <c r="I26" s="6">
        <f>IFERROR(__xludf.DUMMYFUNCTION("""COMPUTED_VALUE"""),135.0)</f>
        <v>135</v>
      </c>
      <c r="J26" s="6">
        <f>IFERROR(__xludf.DUMMYFUNCTION("""COMPUTED_VALUE"""),118.125)</f>
        <v>118.125</v>
      </c>
      <c r="K26" s="59">
        <f>IFERROR(__xludf.DUMMYFUNCTION("""COMPUTED_VALUE"""),2459835.0)</f>
        <v>2459835</v>
      </c>
      <c r="L26" s="6">
        <f>IFERROR(__xludf.DUMMYFUNCTION("""COMPUTED_VALUE"""),3036150.0)</f>
        <v>3036150</v>
      </c>
      <c r="M26" s="6">
        <f>IFERROR(__xludf.DUMMYFUNCTION("""COMPUTED_VALUE"""),74.03)</f>
        <v>74.03</v>
      </c>
      <c r="N26" s="6">
        <f>IFERROR(__xludf.DUMMYFUNCTION("""COMPUTED_VALUE"""),73.16)</f>
        <v>73.16</v>
      </c>
      <c r="O26" s="6">
        <f>IFERROR(__xludf.DUMMYFUNCTION("""COMPUTED_VALUE"""),1541600.72)</f>
        <v>1541600.72</v>
      </c>
      <c r="P26" s="6">
        <f>IFERROR(__xludf.DUMMYFUNCTION("""COMPUTED_VALUE"""),1645368.4)</f>
        <v>1645368.4</v>
      </c>
    </row>
    <row r="27" ht="15.75" customHeight="1">
      <c r="A27" s="6" t="str">
        <f>IFERROR(__xludf.DUMMYFUNCTION("""COMPUTED_VALUE"""),"Month1")</f>
        <v>Month1</v>
      </c>
      <c r="B27" s="6" t="str">
        <f>IFERROR(__xludf.DUMMYFUNCTION("""COMPUTED_VALUE"""),"January")</f>
        <v>January</v>
      </c>
      <c r="C27" s="6" t="str">
        <f>IFERROR(__xludf.DUMMYFUNCTION("""COMPUTED_VALUE"""),"North")</f>
        <v>North</v>
      </c>
      <c r="D27" s="6" t="str">
        <f>IFERROR(__xludf.DUMMYFUNCTION("""COMPUTED_VALUE"""),"Dehradun")</f>
        <v>Dehradun</v>
      </c>
      <c r="E27" s="6" t="str">
        <f>IFERROR(__xludf.DUMMYFUNCTION("""COMPUTED_VALUE"""),"NutriKid")</f>
        <v>NutriKid</v>
      </c>
      <c r="F27" s="6">
        <f>IFERROR(__xludf.DUMMYFUNCTION("""COMPUTED_VALUE"""),12937.0)</f>
        <v>12937</v>
      </c>
      <c r="G27" s="6">
        <f>IFERROR(__xludf.DUMMYFUNCTION("""COMPUTED_VALUE"""),13584.0)</f>
        <v>13584</v>
      </c>
      <c r="H27" s="39">
        <f>IFERROR(__xludf.DUMMYFUNCTION("""COMPUTED_VALUE"""),0.125)</f>
        <v>0.125</v>
      </c>
      <c r="I27" s="6">
        <f>IFERROR(__xludf.DUMMYFUNCTION("""COMPUTED_VALUE"""),60.0)</f>
        <v>60</v>
      </c>
      <c r="J27" s="6">
        <f>IFERROR(__xludf.DUMMYFUNCTION("""COMPUTED_VALUE"""),52.5)</f>
        <v>52.5</v>
      </c>
      <c r="K27" s="59">
        <f>IFERROR(__xludf.DUMMYFUNCTION("""COMPUTED_VALUE"""),679192.5)</f>
        <v>679192.5</v>
      </c>
      <c r="L27" s="6">
        <f>IFERROR(__xludf.DUMMYFUNCTION("""COMPUTED_VALUE"""),815040.0)</f>
        <v>815040</v>
      </c>
      <c r="M27" s="6">
        <f>IFERROR(__xludf.DUMMYFUNCTION("""COMPUTED_VALUE"""),33.75)</f>
        <v>33.75</v>
      </c>
      <c r="N27" s="6">
        <f>IFERROR(__xludf.DUMMYFUNCTION("""COMPUTED_VALUE"""),29.89)</f>
        <v>29.89</v>
      </c>
      <c r="O27" s="6">
        <f>IFERROR(__xludf.DUMMYFUNCTION("""COMPUTED_VALUE"""),436623.75)</f>
        <v>436623.75</v>
      </c>
      <c r="P27" s="6">
        <f>IFERROR(__xludf.DUMMYFUNCTION("""COMPUTED_VALUE"""),406025.76)</f>
        <v>406025.76</v>
      </c>
    </row>
    <row r="28" ht="15.75" customHeight="1">
      <c r="A28" s="6" t="str">
        <f>IFERROR(__xludf.DUMMYFUNCTION("""COMPUTED_VALUE"""),"Month1")</f>
        <v>Month1</v>
      </c>
      <c r="B28" s="6" t="str">
        <f>IFERROR(__xludf.DUMMYFUNCTION("""COMPUTED_VALUE"""),"January")</f>
        <v>January</v>
      </c>
      <c r="C28" s="6" t="str">
        <f>IFERROR(__xludf.DUMMYFUNCTION("""COMPUTED_VALUE"""),"South")</f>
        <v>South</v>
      </c>
      <c r="D28" s="6" t="str">
        <f>IFERROR(__xludf.DUMMYFUNCTION("""COMPUTED_VALUE"""),"Kochi")</f>
        <v>Kochi</v>
      </c>
      <c r="E28" s="6" t="str">
        <f>IFERROR(__xludf.DUMMYFUNCTION("""COMPUTED_VALUE"""),"ZestVita")</f>
        <v>ZestVita</v>
      </c>
      <c r="F28" s="6">
        <f>IFERROR(__xludf.DUMMYFUNCTION("""COMPUTED_VALUE"""),22650.0)</f>
        <v>22650</v>
      </c>
      <c r="G28" s="6">
        <f>IFERROR(__xludf.DUMMYFUNCTION("""COMPUTED_VALUE"""),23556.0)</f>
        <v>23556</v>
      </c>
      <c r="H28" s="39">
        <f>IFERROR(__xludf.DUMMYFUNCTION("""COMPUTED_VALUE"""),0.1)</f>
        <v>0.1</v>
      </c>
      <c r="I28" s="6">
        <f>IFERROR(__xludf.DUMMYFUNCTION("""COMPUTED_VALUE"""),135.0)</f>
        <v>135</v>
      </c>
      <c r="J28" s="6">
        <f>IFERROR(__xludf.DUMMYFUNCTION("""COMPUTED_VALUE"""),121.5)</f>
        <v>121.5</v>
      </c>
      <c r="K28" s="59">
        <f>IFERROR(__xludf.DUMMYFUNCTION("""COMPUTED_VALUE"""),2751975.0)</f>
        <v>2751975</v>
      </c>
      <c r="L28" s="6">
        <f>IFERROR(__xludf.DUMMYFUNCTION("""COMPUTED_VALUE"""),3180060.0)</f>
        <v>3180060</v>
      </c>
      <c r="M28" s="6">
        <f>IFERROR(__xludf.DUMMYFUNCTION("""COMPUTED_VALUE"""),74.03)</f>
        <v>74.03</v>
      </c>
      <c r="N28" s="6">
        <f>IFERROR(__xludf.DUMMYFUNCTION("""COMPUTED_VALUE"""),73.16)</f>
        <v>73.16</v>
      </c>
      <c r="O28" s="6">
        <f>IFERROR(__xludf.DUMMYFUNCTION("""COMPUTED_VALUE"""),1676779.5)</f>
        <v>1676779.5</v>
      </c>
      <c r="P28" s="6">
        <f>IFERROR(__xludf.DUMMYFUNCTION("""COMPUTED_VALUE"""),1723356.96)</f>
        <v>1723356.96</v>
      </c>
    </row>
    <row r="29" ht="15.75" customHeight="1">
      <c r="A29" s="6" t="str">
        <f>IFERROR(__xludf.DUMMYFUNCTION("""COMPUTED_VALUE"""),"Month1")</f>
        <v>Month1</v>
      </c>
      <c r="B29" s="6" t="str">
        <f>IFERROR(__xludf.DUMMYFUNCTION("""COMPUTED_VALUE"""),"January")</f>
        <v>January</v>
      </c>
      <c r="C29" s="6" t="str">
        <f>IFERROR(__xludf.DUMMYFUNCTION("""COMPUTED_VALUE"""),"South")</f>
        <v>South</v>
      </c>
      <c r="D29" s="6" t="str">
        <f>IFERROR(__xludf.DUMMYFUNCTION("""COMPUTED_VALUE"""),"Kochi")</f>
        <v>Kochi</v>
      </c>
      <c r="E29" s="6" t="str">
        <f>IFERROR(__xludf.DUMMYFUNCTION("""COMPUTED_VALUE"""),"NutriKid")</f>
        <v>NutriKid</v>
      </c>
      <c r="F29" s="6">
        <f>IFERROR(__xludf.DUMMYFUNCTION("""COMPUTED_VALUE"""),13986.0)</f>
        <v>13986</v>
      </c>
      <c r="G29" s="6">
        <f>IFERROR(__xludf.DUMMYFUNCTION("""COMPUTED_VALUE"""),14545.0)</f>
        <v>14545</v>
      </c>
      <c r="H29" s="39">
        <f>IFERROR(__xludf.DUMMYFUNCTION("""COMPUTED_VALUE"""),0.1)</f>
        <v>0.1</v>
      </c>
      <c r="I29" s="6">
        <f>IFERROR(__xludf.DUMMYFUNCTION("""COMPUTED_VALUE"""),60.0)</f>
        <v>60</v>
      </c>
      <c r="J29" s="6">
        <f>IFERROR(__xludf.DUMMYFUNCTION("""COMPUTED_VALUE"""),54.0)</f>
        <v>54</v>
      </c>
      <c r="K29" s="59">
        <f>IFERROR(__xludf.DUMMYFUNCTION("""COMPUTED_VALUE"""),755244.0)</f>
        <v>755244</v>
      </c>
      <c r="L29" s="6">
        <f>IFERROR(__xludf.DUMMYFUNCTION("""COMPUTED_VALUE"""),872700.0)</f>
        <v>872700</v>
      </c>
      <c r="M29" s="6">
        <f>IFERROR(__xludf.DUMMYFUNCTION("""COMPUTED_VALUE"""),33.75)</f>
        <v>33.75</v>
      </c>
      <c r="N29" s="6">
        <f>IFERROR(__xludf.DUMMYFUNCTION("""COMPUTED_VALUE"""),29.89)</f>
        <v>29.89</v>
      </c>
      <c r="O29" s="6">
        <f>IFERROR(__xludf.DUMMYFUNCTION("""COMPUTED_VALUE"""),472027.5)</f>
        <v>472027.5</v>
      </c>
      <c r="P29" s="6">
        <f>IFERROR(__xludf.DUMMYFUNCTION("""COMPUTED_VALUE"""),434750.05)</f>
        <v>434750.05</v>
      </c>
    </row>
    <row r="30" ht="15.75" customHeight="1">
      <c r="A30" s="6" t="str">
        <f>IFERROR(__xludf.DUMMYFUNCTION("""COMPUTED_VALUE"""),"Month1")</f>
        <v>Month1</v>
      </c>
      <c r="B30" s="6" t="str">
        <f>IFERROR(__xludf.DUMMYFUNCTION("""COMPUTED_VALUE"""),"January")</f>
        <v>January</v>
      </c>
      <c r="C30" s="6" t="str">
        <f>IFERROR(__xludf.DUMMYFUNCTION("""COMPUTED_VALUE"""),"West")</f>
        <v>West</v>
      </c>
      <c r="D30" s="6" t="str">
        <f>IFERROR(__xludf.DUMMYFUNCTION("""COMPUTED_VALUE"""),"Jaipur")</f>
        <v>Jaipur</v>
      </c>
      <c r="E30" s="6" t="str">
        <f>IFERROR(__xludf.DUMMYFUNCTION("""COMPUTED_VALUE"""),"ZestVita")</f>
        <v>ZestVita</v>
      </c>
      <c r="F30" s="6">
        <f>IFERROR(__xludf.DUMMYFUNCTION("""COMPUTED_VALUE"""),20091.0)</f>
        <v>20091</v>
      </c>
      <c r="G30" s="6">
        <f>IFERROR(__xludf.DUMMYFUNCTION("""COMPUTED_VALUE"""),23105.0)</f>
        <v>23105</v>
      </c>
      <c r="H30" s="39">
        <f>IFERROR(__xludf.DUMMYFUNCTION("""COMPUTED_VALUE"""),0.0)</f>
        <v>0</v>
      </c>
      <c r="I30" s="6">
        <f>IFERROR(__xludf.DUMMYFUNCTION("""COMPUTED_VALUE"""),135.0)</f>
        <v>135</v>
      </c>
      <c r="J30" s="6">
        <f>IFERROR(__xludf.DUMMYFUNCTION("""COMPUTED_VALUE"""),135.0)</f>
        <v>135</v>
      </c>
      <c r="K30" s="59">
        <f>IFERROR(__xludf.DUMMYFUNCTION("""COMPUTED_VALUE"""),2712285.0)</f>
        <v>2712285</v>
      </c>
      <c r="L30" s="6">
        <f>IFERROR(__xludf.DUMMYFUNCTION("""COMPUTED_VALUE"""),3119175.0)</f>
        <v>3119175</v>
      </c>
      <c r="M30" s="6">
        <f>IFERROR(__xludf.DUMMYFUNCTION("""COMPUTED_VALUE"""),74.03)</f>
        <v>74.03</v>
      </c>
      <c r="N30" s="6">
        <f>IFERROR(__xludf.DUMMYFUNCTION("""COMPUTED_VALUE"""),73.16)</f>
        <v>73.16</v>
      </c>
      <c r="O30" s="6">
        <f>IFERROR(__xludf.DUMMYFUNCTION("""COMPUTED_VALUE"""),1487336.73)</f>
        <v>1487336.73</v>
      </c>
      <c r="P30" s="6">
        <f>IFERROR(__xludf.DUMMYFUNCTION("""COMPUTED_VALUE"""),1690361.7999999998)</f>
        <v>1690361.8</v>
      </c>
    </row>
    <row r="31" ht="15.75" customHeight="1">
      <c r="A31" s="6" t="str">
        <f>IFERROR(__xludf.DUMMYFUNCTION("""COMPUTED_VALUE"""),"Month1")</f>
        <v>Month1</v>
      </c>
      <c r="B31" s="6" t="str">
        <f>IFERROR(__xludf.DUMMYFUNCTION("""COMPUTED_VALUE"""),"January")</f>
        <v>January</v>
      </c>
      <c r="C31" s="6" t="str">
        <f>IFERROR(__xludf.DUMMYFUNCTION("""COMPUTED_VALUE"""),"West")</f>
        <v>West</v>
      </c>
      <c r="D31" s="6" t="str">
        <f>IFERROR(__xludf.DUMMYFUNCTION("""COMPUTED_VALUE"""),"Jaipur")</f>
        <v>Jaipur</v>
      </c>
      <c r="E31" s="6" t="str">
        <f>IFERROR(__xludf.DUMMYFUNCTION("""COMPUTED_VALUE"""),"NutriKid")</f>
        <v>NutriKid</v>
      </c>
      <c r="F31" s="6">
        <f>IFERROR(__xludf.DUMMYFUNCTION("""COMPUTED_VALUE"""),15244.0)</f>
        <v>15244</v>
      </c>
      <c r="G31" s="6">
        <f>IFERROR(__xludf.DUMMYFUNCTION("""COMPUTED_VALUE"""),18598.0)</f>
        <v>18598</v>
      </c>
      <c r="H31" s="39">
        <f>IFERROR(__xludf.DUMMYFUNCTION("""COMPUTED_VALUE"""),0.0)</f>
        <v>0</v>
      </c>
      <c r="I31" s="6">
        <f>IFERROR(__xludf.DUMMYFUNCTION("""COMPUTED_VALUE"""),60.0)</f>
        <v>60</v>
      </c>
      <c r="J31" s="6">
        <f>IFERROR(__xludf.DUMMYFUNCTION("""COMPUTED_VALUE"""),60.0)</f>
        <v>60</v>
      </c>
      <c r="K31" s="59">
        <f>IFERROR(__xludf.DUMMYFUNCTION("""COMPUTED_VALUE"""),914640.0)</f>
        <v>914640</v>
      </c>
      <c r="L31" s="6">
        <f>IFERROR(__xludf.DUMMYFUNCTION("""COMPUTED_VALUE"""),1115880.0)</f>
        <v>1115880</v>
      </c>
      <c r="M31" s="6">
        <f>IFERROR(__xludf.DUMMYFUNCTION("""COMPUTED_VALUE"""),33.75)</f>
        <v>33.75</v>
      </c>
      <c r="N31" s="6">
        <f>IFERROR(__xludf.DUMMYFUNCTION("""COMPUTED_VALUE"""),29.89)</f>
        <v>29.89</v>
      </c>
      <c r="O31" s="6">
        <f>IFERROR(__xludf.DUMMYFUNCTION("""COMPUTED_VALUE"""),514485.0)</f>
        <v>514485</v>
      </c>
      <c r="P31" s="6">
        <f>IFERROR(__xludf.DUMMYFUNCTION("""COMPUTED_VALUE"""),555894.22)</f>
        <v>555894.22</v>
      </c>
    </row>
    <row r="32" ht="15.75" customHeight="1">
      <c r="A32" s="6" t="str">
        <f>IFERROR(__xludf.DUMMYFUNCTION("""COMPUTED_VALUE"""),"Month1")</f>
        <v>Month1</v>
      </c>
      <c r="B32" s="6" t="str">
        <f>IFERROR(__xludf.DUMMYFUNCTION("""COMPUTED_VALUE"""),"January")</f>
        <v>January</v>
      </c>
      <c r="C32" s="6" t="str">
        <f>IFERROR(__xludf.DUMMYFUNCTION("""COMPUTED_VALUE"""),"East")</f>
        <v>East</v>
      </c>
      <c r="D32" s="6" t="str">
        <f>IFERROR(__xludf.DUMMYFUNCTION("""COMPUTED_VALUE"""),"Patna")</f>
        <v>Patna</v>
      </c>
      <c r="E32" s="6" t="str">
        <f>IFERROR(__xludf.DUMMYFUNCTION("""COMPUTED_VALUE"""),"ZestVita")</f>
        <v>ZestVita</v>
      </c>
      <c r="F32" s="6">
        <f>IFERROR(__xludf.DUMMYFUNCTION("""COMPUTED_VALUE"""),17316.0)</f>
        <v>17316</v>
      </c>
      <c r="G32" s="6">
        <f>IFERROR(__xludf.DUMMYFUNCTION("""COMPUTED_VALUE"""),19740.0)</f>
        <v>19740</v>
      </c>
      <c r="H32" s="39">
        <f>IFERROR(__xludf.DUMMYFUNCTION("""COMPUTED_VALUE"""),0.05)</f>
        <v>0.05</v>
      </c>
      <c r="I32" s="6">
        <f>IFERROR(__xludf.DUMMYFUNCTION("""COMPUTED_VALUE"""),135.0)</f>
        <v>135</v>
      </c>
      <c r="J32" s="6">
        <f>IFERROR(__xludf.DUMMYFUNCTION("""COMPUTED_VALUE"""),128.25)</f>
        <v>128.25</v>
      </c>
      <c r="K32" s="59">
        <f>IFERROR(__xludf.DUMMYFUNCTION("""COMPUTED_VALUE"""),2220777.0)</f>
        <v>2220777</v>
      </c>
      <c r="L32" s="6">
        <f>IFERROR(__xludf.DUMMYFUNCTION("""COMPUTED_VALUE"""),2664900.0)</f>
        <v>2664900</v>
      </c>
      <c r="M32" s="6">
        <f>IFERROR(__xludf.DUMMYFUNCTION("""COMPUTED_VALUE"""),74.03)</f>
        <v>74.03</v>
      </c>
      <c r="N32" s="6">
        <f>IFERROR(__xludf.DUMMYFUNCTION("""COMPUTED_VALUE"""),73.16)</f>
        <v>73.16</v>
      </c>
      <c r="O32" s="6">
        <f>IFERROR(__xludf.DUMMYFUNCTION("""COMPUTED_VALUE"""),1281903.48)</f>
        <v>1281903.48</v>
      </c>
      <c r="P32" s="6">
        <f>IFERROR(__xludf.DUMMYFUNCTION("""COMPUTED_VALUE"""),1444178.4)</f>
        <v>1444178.4</v>
      </c>
    </row>
    <row r="33" ht="15.75" customHeight="1">
      <c r="A33" s="6" t="str">
        <f>IFERROR(__xludf.DUMMYFUNCTION("""COMPUTED_VALUE"""),"Month1")</f>
        <v>Month1</v>
      </c>
      <c r="B33" s="6" t="str">
        <f>IFERROR(__xludf.DUMMYFUNCTION("""COMPUTED_VALUE"""),"January")</f>
        <v>January</v>
      </c>
      <c r="C33" s="6" t="str">
        <f>IFERROR(__xludf.DUMMYFUNCTION("""COMPUTED_VALUE"""),"East")</f>
        <v>East</v>
      </c>
      <c r="D33" s="6" t="str">
        <f>IFERROR(__xludf.DUMMYFUNCTION("""COMPUTED_VALUE"""),"Patna")</f>
        <v>Patna</v>
      </c>
      <c r="E33" s="6" t="str">
        <f>IFERROR(__xludf.DUMMYFUNCTION("""COMPUTED_VALUE"""),"NutriKid")</f>
        <v>NutriKid</v>
      </c>
      <c r="F33" s="6">
        <f>IFERROR(__xludf.DUMMYFUNCTION("""COMPUTED_VALUE"""),22866.0)</f>
        <v>22866</v>
      </c>
      <c r="G33" s="6">
        <f>IFERROR(__xludf.DUMMYFUNCTION("""COMPUTED_VALUE"""),26982.0)</f>
        <v>26982</v>
      </c>
      <c r="H33" s="39">
        <f>IFERROR(__xludf.DUMMYFUNCTION("""COMPUTED_VALUE"""),0.05)</f>
        <v>0.05</v>
      </c>
      <c r="I33" s="6">
        <f>IFERROR(__xludf.DUMMYFUNCTION("""COMPUTED_VALUE"""),60.0)</f>
        <v>60</v>
      </c>
      <c r="J33" s="6">
        <f>IFERROR(__xludf.DUMMYFUNCTION("""COMPUTED_VALUE"""),57.0)</f>
        <v>57</v>
      </c>
      <c r="K33" s="59">
        <f>IFERROR(__xludf.DUMMYFUNCTION("""COMPUTED_VALUE"""),1303362.0)</f>
        <v>1303362</v>
      </c>
      <c r="L33" s="6">
        <f>IFERROR(__xludf.DUMMYFUNCTION("""COMPUTED_VALUE"""),1618920.0)</f>
        <v>1618920</v>
      </c>
      <c r="M33" s="6">
        <f>IFERROR(__xludf.DUMMYFUNCTION("""COMPUTED_VALUE"""),33.75)</f>
        <v>33.75</v>
      </c>
      <c r="N33" s="6">
        <f>IFERROR(__xludf.DUMMYFUNCTION("""COMPUTED_VALUE"""),29.89)</f>
        <v>29.89</v>
      </c>
      <c r="O33" s="6">
        <f>IFERROR(__xludf.DUMMYFUNCTION("""COMPUTED_VALUE"""),771727.5)</f>
        <v>771727.5</v>
      </c>
      <c r="P33" s="6">
        <f>IFERROR(__xludf.DUMMYFUNCTION("""COMPUTED_VALUE"""),806491.98)</f>
        <v>806491.98</v>
      </c>
    </row>
    <row r="34" ht="15.75" customHeight="1">
      <c r="A34" s="6" t="str">
        <f>IFERROR(__xludf.DUMMYFUNCTION("""COMPUTED_VALUE"""),"Month2")</f>
        <v>Month2</v>
      </c>
      <c r="B34" s="6" t="str">
        <f>IFERROR(__xludf.DUMMYFUNCTION("""COMPUTED_VALUE"""),"February")</f>
        <v>February</v>
      </c>
      <c r="C34" s="6" t="str">
        <f>IFERROR(__xludf.DUMMYFUNCTION("""COMPUTED_VALUE"""),"North")</f>
        <v>North</v>
      </c>
      <c r="D34" s="6" t="str">
        <f>IFERROR(__xludf.DUMMYFUNCTION("""COMPUTED_VALUE"""),"Delhi")</f>
        <v>Delhi</v>
      </c>
      <c r="E34" s="6" t="str">
        <f>IFERROR(__xludf.DUMMYFUNCTION("""COMPUTED_VALUE"""),"ZestVita")</f>
        <v>ZestVita</v>
      </c>
      <c r="F34" s="6">
        <f>IFERROR(__xludf.DUMMYFUNCTION("""COMPUTED_VALUE"""),24722.0)</f>
        <v>24722</v>
      </c>
      <c r="G34" s="6">
        <f>IFERROR(__xludf.DUMMYFUNCTION("""COMPUTED_VALUE"""),27441.0)</f>
        <v>27441</v>
      </c>
      <c r="H34" s="39">
        <f>IFERROR(__xludf.DUMMYFUNCTION("""COMPUTED_VALUE"""),0.0)</f>
        <v>0</v>
      </c>
      <c r="I34" s="6">
        <f>IFERROR(__xludf.DUMMYFUNCTION("""COMPUTED_VALUE"""),135.0)</f>
        <v>135</v>
      </c>
      <c r="J34" s="6">
        <f>IFERROR(__xludf.DUMMYFUNCTION("""COMPUTED_VALUE"""),135.0)</f>
        <v>135</v>
      </c>
      <c r="K34" s="59">
        <f>IFERROR(__xludf.DUMMYFUNCTION("""COMPUTED_VALUE"""),3337470.0)</f>
        <v>3337470</v>
      </c>
      <c r="L34" s="6">
        <f>IFERROR(__xludf.DUMMYFUNCTION("""COMPUTED_VALUE"""),3704535.0)</f>
        <v>3704535</v>
      </c>
      <c r="M34" s="6">
        <f>IFERROR(__xludf.DUMMYFUNCTION("""COMPUTED_VALUE"""),74.03)</f>
        <v>74.03</v>
      </c>
      <c r="N34" s="6">
        <f>IFERROR(__xludf.DUMMYFUNCTION("""COMPUTED_VALUE"""),73.16)</f>
        <v>73.16</v>
      </c>
      <c r="O34" s="6">
        <f>IFERROR(__xludf.DUMMYFUNCTION("""COMPUTED_VALUE"""),1830169.66)</f>
        <v>1830169.66</v>
      </c>
      <c r="P34" s="6">
        <f>IFERROR(__xludf.DUMMYFUNCTION("""COMPUTED_VALUE"""),2007583.5599999998)</f>
        <v>2007583.56</v>
      </c>
    </row>
    <row r="35" ht="15.75" customHeight="1">
      <c r="A35" s="6" t="str">
        <f>IFERROR(__xludf.DUMMYFUNCTION("""COMPUTED_VALUE"""),"Month2")</f>
        <v>Month2</v>
      </c>
      <c r="B35" s="6" t="str">
        <f>IFERROR(__xludf.DUMMYFUNCTION("""COMPUTED_VALUE"""),"February")</f>
        <v>February</v>
      </c>
      <c r="C35" s="6" t="str">
        <f>IFERROR(__xludf.DUMMYFUNCTION("""COMPUTED_VALUE"""),"North")</f>
        <v>North</v>
      </c>
      <c r="D35" s="6" t="str">
        <f>IFERROR(__xludf.DUMMYFUNCTION("""COMPUTED_VALUE"""),"Delhi")</f>
        <v>Delhi</v>
      </c>
      <c r="E35" s="6" t="str">
        <f>IFERROR(__xludf.DUMMYFUNCTION("""COMPUTED_VALUE"""),"NutriKid")</f>
        <v>NutriKid</v>
      </c>
      <c r="F35" s="6">
        <f>IFERROR(__xludf.DUMMYFUNCTION("""COMPUTED_VALUE"""),19148.0)</f>
        <v>19148</v>
      </c>
      <c r="G35" s="6">
        <f>IFERROR(__xludf.DUMMYFUNCTION("""COMPUTED_VALUE"""),23361.0)</f>
        <v>23361</v>
      </c>
      <c r="H35" s="39">
        <f>IFERROR(__xludf.DUMMYFUNCTION("""COMPUTED_VALUE"""),0.0)</f>
        <v>0</v>
      </c>
      <c r="I35" s="6">
        <f>IFERROR(__xludf.DUMMYFUNCTION("""COMPUTED_VALUE"""),60.0)</f>
        <v>60</v>
      </c>
      <c r="J35" s="6">
        <f>IFERROR(__xludf.DUMMYFUNCTION("""COMPUTED_VALUE"""),60.0)</f>
        <v>60</v>
      </c>
      <c r="K35" s="59">
        <f>IFERROR(__xludf.DUMMYFUNCTION("""COMPUTED_VALUE"""),1148880.0)</f>
        <v>1148880</v>
      </c>
      <c r="L35" s="6">
        <f>IFERROR(__xludf.DUMMYFUNCTION("""COMPUTED_VALUE"""),1401660.0)</f>
        <v>1401660</v>
      </c>
      <c r="M35" s="6">
        <f>IFERROR(__xludf.DUMMYFUNCTION("""COMPUTED_VALUE"""),33.75)</f>
        <v>33.75</v>
      </c>
      <c r="N35" s="6">
        <f>IFERROR(__xludf.DUMMYFUNCTION("""COMPUTED_VALUE"""),29.89)</f>
        <v>29.89</v>
      </c>
      <c r="O35" s="6">
        <f>IFERROR(__xludf.DUMMYFUNCTION("""COMPUTED_VALUE"""),646245.0)</f>
        <v>646245</v>
      </c>
      <c r="P35" s="6">
        <f>IFERROR(__xludf.DUMMYFUNCTION("""COMPUTED_VALUE"""),698260.29)</f>
        <v>698260.29</v>
      </c>
    </row>
    <row r="36" ht="15.75" customHeight="1">
      <c r="A36" s="6" t="str">
        <f>IFERROR(__xludf.DUMMYFUNCTION("""COMPUTED_VALUE"""),"Month2")</f>
        <v>Month2</v>
      </c>
      <c r="B36" s="6" t="str">
        <f>IFERROR(__xludf.DUMMYFUNCTION("""COMPUTED_VALUE"""),"February")</f>
        <v>February</v>
      </c>
      <c r="C36" s="6" t="str">
        <f>IFERROR(__xludf.DUMMYFUNCTION("""COMPUTED_VALUE"""),"East")</f>
        <v>East</v>
      </c>
      <c r="D36" s="6" t="str">
        <f>IFERROR(__xludf.DUMMYFUNCTION("""COMPUTED_VALUE"""),"Kolkata")</f>
        <v>Kolkata</v>
      </c>
      <c r="E36" s="6" t="str">
        <f>IFERROR(__xludf.DUMMYFUNCTION("""COMPUTED_VALUE"""),"ZestVita")</f>
        <v>ZestVita</v>
      </c>
      <c r="F36" s="6">
        <f>IFERROR(__xludf.DUMMYFUNCTION("""COMPUTED_VALUE"""),13535.0)</f>
        <v>13535</v>
      </c>
      <c r="G36" s="6">
        <f>IFERROR(__xludf.DUMMYFUNCTION("""COMPUTED_VALUE"""),15159.0)</f>
        <v>15159</v>
      </c>
      <c r="H36" s="39">
        <f>IFERROR(__xludf.DUMMYFUNCTION("""COMPUTED_VALUE"""),0.0)</f>
        <v>0</v>
      </c>
      <c r="I36" s="6">
        <f>IFERROR(__xludf.DUMMYFUNCTION("""COMPUTED_VALUE"""),135.0)</f>
        <v>135</v>
      </c>
      <c r="J36" s="6">
        <f>IFERROR(__xludf.DUMMYFUNCTION("""COMPUTED_VALUE"""),135.0)</f>
        <v>135</v>
      </c>
      <c r="K36" s="59">
        <f>IFERROR(__xludf.DUMMYFUNCTION("""COMPUTED_VALUE"""),1827225.0)</f>
        <v>1827225</v>
      </c>
      <c r="L36" s="6">
        <f>IFERROR(__xludf.DUMMYFUNCTION("""COMPUTED_VALUE"""),2046465.0)</f>
        <v>2046465</v>
      </c>
      <c r="M36" s="6">
        <f>IFERROR(__xludf.DUMMYFUNCTION("""COMPUTED_VALUE"""),74.03)</f>
        <v>74.03</v>
      </c>
      <c r="N36" s="6">
        <f>IFERROR(__xludf.DUMMYFUNCTION("""COMPUTED_VALUE"""),73.16)</f>
        <v>73.16</v>
      </c>
      <c r="O36" s="6">
        <f>IFERROR(__xludf.DUMMYFUNCTION("""COMPUTED_VALUE"""),1001996.05)</f>
        <v>1001996.05</v>
      </c>
      <c r="P36" s="6">
        <f>IFERROR(__xludf.DUMMYFUNCTION("""COMPUTED_VALUE"""),1109032.44)</f>
        <v>1109032.44</v>
      </c>
    </row>
    <row r="37" ht="15.75" customHeight="1">
      <c r="A37" s="6" t="str">
        <f>IFERROR(__xludf.DUMMYFUNCTION("""COMPUTED_VALUE"""),"Month2")</f>
        <v>Month2</v>
      </c>
      <c r="B37" s="6" t="str">
        <f>IFERROR(__xludf.DUMMYFUNCTION("""COMPUTED_VALUE"""),"February")</f>
        <v>February</v>
      </c>
      <c r="C37" s="6" t="str">
        <f>IFERROR(__xludf.DUMMYFUNCTION("""COMPUTED_VALUE"""),"East")</f>
        <v>East</v>
      </c>
      <c r="D37" s="6" t="str">
        <f>IFERROR(__xludf.DUMMYFUNCTION("""COMPUTED_VALUE"""),"Kolkata")</f>
        <v>Kolkata</v>
      </c>
      <c r="E37" s="6" t="str">
        <f>IFERROR(__xludf.DUMMYFUNCTION("""COMPUTED_VALUE"""),"NutriKid")</f>
        <v>NutriKid</v>
      </c>
      <c r="F37" s="6">
        <f>IFERROR(__xludf.DUMMYFUNCTION("""COMPUTED_VALUE"""),25924.0)</f>
        <v>25924</v>
      </c>
      <c r="G37" s="6">
        <f>IFERROR(__xludf.DUMMYFUNCTION("""COMPUTED_VALUE"""),30072.0)</f>
        <v>30072</v>
      </c>
      <c r="H37" s="39">
        <f>IFERROR(__xludf.DUMMYFUNCTION("""COMPUTED_VALUE"""),0.0)</f>
        <v>0</v>
      </c>
      <c r="I37" s="6">
        <f>IFERROR(__xludf.DUMMYFUNCTION("""COMPUTED_VALUE"""),60.0)</f>
        <v>60</v>
      </c>
      <c r="J37" s="6">
        <f>IFERROR(__xludf.DUMMYFUNCTION("""COMPUTED_VALUE"""),60.0)</f>
        <v>60</v>
      </c>
      <c r="K37" s="59">
        <f>IFERROR(__xludf.DUMMYFUNCTION("""COMPUTED_VALUE"""),1555440.0)</f>
        <v>1555440</v>
      </c>
      <c r="L37" s="6">
        <f>IFERROR(__xludf.DUMMYFUNCTION("""COMPUTED_VALUE"""),1804320.0)</f>
        <v>1804320</v>
      </c>
      <c r="M37" s="6">
        <f>IFERROR(__xludf.DUMMYFUNCTION("""COMPUTED_VALUE"""),33.75)</f>
        <v>33.75</v>
      </c>
      <c r="N37" s="6">
        <f>IFERROR(__xludf.DUMMYFUNCTION("""COMPUTED_VALUE"""),29.89)</f>
        <v>29.89</v>
      </c>
      <c r="O37" s="6">
        <f>IFERROR(__xludf.DUMMYFUNCTION("""COMPUTED_VALUE"""),874935.0)</f>
        <v>874935</v>
      </c>
      <c r="P37" s="6">
        <f>IFERROR(__xludf.DUMMYFUNCTION("""COMPUTED_VALUE"""),898852.0800000001)</f>
        <v>898852.08</v>
      </c>
    </row>
    <row r="38" ht="15.75" customHeight="1">
      <c r="A38" s="6" t="str">
        <f>IFERROR(__xludf.DUMMYFUNCTION("""COMPUTED_VALUE"""),"Month2")</f>
        <v>Month2</v>
      </c>
      <c r="B38" s="6" t="str">
        <f>IFERROR(__xludf.DUMMYFUNCTION("""COMPUTED_VALUE"""),"February")</f>
        <v>February</v>
      </c>
      <c r="C38" s="6" t="str">
        <f>IFERROR(__xludf.DUMMYFUNCTION("""COMPUTED_VALUE"""),"West")</f>
        <v>West</v>
      </c>
      <c r="D38" s="6" t="str">
        <f>IFERROR(__xludf.DUMMYFUNCTION("""COMPUTED_VALUE"""),"Pune")</f>
        <v>Pune</v>
      </c>
      <c r="E38" s="6" t="str">
        <f>IFERROR(__xludf.DUMMYFUNCTION("""COMPUTED_VALUE"""),"ZestVita")</f>
        <v>ZestVita</v>
      </c>
      <c r="F38" s="6">
        <f>IFERROR(__xludf.DUMMYFUNCTION("""COMPUTED_VALUE"""),15923.0)</f>
        <v>15923</v>
      </c>
      <c r="G38" s="6">
        <f>IFERROR(__xludf.DUMMYFUNCTION("""COMPUTED_VALUE"""),19267.0)</f>
        <v>19267</v>
      </c>
      <c r="H38" s="39">
        <f>IFERROR(__xludf.DUMMYFUNCTION("""COMPUTED_VALUE"""),0.0)</f>
        <v>0</v>
      </c>
      <c r="I38" s="6">
        <f>IFERROR(__xludf.DUMMYFUNCTION("""COMPUTED_VALUE"""),135.0)</f>
        <v>135</v>
      </c>
      <c r="J38" s="6">
        <f>IFERROR(__xludf.DUMMYFUNCTION("""COMPUTED_VALUE"""),135.0)</f>
        <v>135</v>
      </c>
      <c r="K38" s="59">
        <f>IFERROR(__xludf.DUMMYFUNCTION("""COMPUTED_VALUE"""),2149605.0)</f>
        <v>2149605</v>
      </c>
      <c r="L38" s="6">
        <f>IFERROR(__xludf.DUMMYFUNCTION("""COMPUTED_VALUE"""),2601045.0)</f>
        <v>2601045</v>
      </c>
      <c r="M38" s="6">
        <f>IFERROR(__xludf.DUMMYFUNCTION("""COMPUTED_VALUE"""),74.03)</f>
        <v>74.03</v>
      </c>
      <c r="N38" s="6">
        <f>IFERROR(__xludf.DUMMYFUNCTION("""COMPUTED_VALUE"""),73.16)</f>
        <v>73.16</v>
      </c>
      <c r="O38" s="6">
        <f>IFERROR(__xludf.DUMMYFUNCTION("""COMPUTED_VALUE"""),1178779.69)</f>
        <v>1178779.69</v>
      </c>
      <c r="P38" s="6">
        <f>IFERROR(__xludf.DUMMYFUNCTION("""COMPUTED_VALUE"""),1409573.72)</f>
        <v>1409573.72</v>
      </c>
    </row>
    <row r="39" ht="15.75" customHeight="1">
      <c r="A39" s="6" t="str">
        <f>IFERROR(__xludf.DUMMYFUNCTION("""COMPUTED_VALUE"""),"Month2")</f>
        <v>Month2</v>
      </c>
      <c r="B39" s="6" t="str">
        <f>IFERROR(__xludf.DUMMYFUNCTION("""COMPUTED_VALUE"""),"February")</f>
        <v>February</v>
      </c>
      <c r="C39" s="6" t="str">
        <f>IFERROR(__xludf.DUMMYFUNCTION("""COMPUTED_VALUE"""),"West")</f>
        <v>West</v>
      </c>
      <c r="D39" s="6" t="str">
        <f>IFERROR(__xludf.DUMMYFUNCTION("""COMPUTED_VALUE"""),"Pune")</f>
        <v>Pune</v>
      </c>
      <c r="E39" s="6" t="str">
        <f>IFERROR(__xludf.DUMMYFUNCTION("""COMPUTED_VALUE"""),"NutriKid")</f>
        <v>NutriKid</v>
      </c>
      <c r="F39" s="6">
        <f>IFERROR(__xludf.DUMMYFUNCTION("""COMPUTED_VALUE"""),18643.0)</f>
        <v>18643</v>
      </c>
      <c r="G39" s="6">
        <f>IFERROR(__xludf.DUMMYFUNCTION("""COMPUTED_VALUE"""),21626.0)</f>
        <v>21626</v>
      </c>
      <c r="H39" s="39">
        <f>IFERROR(__xludf.DUMMYFUNCTION("""COMPUTED_VALUE"""),0.0)</f>
        <v>0</v>
      </c>
      <c r="I39" s="6">
        <f>IFERROR(__xludf.DUMMYFUNCTION("""COMPUTED_VALUE"""),60.0)</f>
        <v>60</v>
      </c>
      <c r="J39" s="6">
        <f>IFERROR(__xludf.DUMMYFUNCTION("""COMPUTED_VALUE"""),60.0)</f>
        <v>60</v>
      </c>
      <c r="K39" s="59">
        <f>IFERROR(__xludf.DUMMYFUNCTION("""COMPUTED_VALUE"""),1118580.0)</f>
        <v>1118580</v>
      </c>
      <c r="L39" s="6">
        <f>IFERROR(__xludf.DUMMYFUNCTION("""COMPUTED_VALUE"""),1297560.0)</f>
        <v>1297560</v>
      </c>
      <c r="M39" s="6">
        <f>IFERROR(__xludf.DUMMYFUNCTION("""COMPUTED_VALUE"""),33.75)</f>
        <v>33.75</v>
      </c>
      <c r="N39" s="6">
        <f>IFERROR(__xludf.DUMMYFUNCTION("""COMPUTED_VALUE"""),29.89)</f>
        <v>29.89</v>
      </c>
      <c r="O39" s="6">
        <f>IFERROR(__xludf.DUMMYFUNCTION("""COMPUTED_VALUE"""),629201.25)</f>
        <v>629201.25</v>
      </c>
      <c r="P39" s="6">
        <f>IFERROR(__xludf.DUMMYFUNCTION("""COMPUTED_VALUE"""),646401.14)</f>
        <v>646401.14</v>
      </c>
    </row>
    <row r="40" ht="15.75" customHeight="1">
      <c r="A40" s="6" t="str">
        <f>IFERROR(__xludf.DUMMYFUNCTION("""COMPUTED_VALUE"""),"Month2")</f>
        <v>Month2</v>
      </c>
      <c r="B40" s="6" t="str">
        <f>IFERROR(__xludf.DUMMYFUNCTION("""COMPUTED_VALUE"""),"February")</f>
        <v>February</v>
      </c>
      <c r="C40" s="6" t="str">
        <f>IFERROR(__xludf.DUMMYFUNCTION("""COMPUTED_VALUE"""),"South")</f>
        <v>South</v>
      </c>
      <c r="D40" s="6" t="str">
        <f>IFERROR(__xludf.DUMMYFUNCTION("""COMPUTED_VALUE"""),"Bengaluru")</f>
        <v>Bengaluru</v>
      </c>
      <c r="E40" s="6" t="str">
        <f>IFERROR(__xludf.DUMMYFUNCTION("""COMPUTED_VALUE"""),"ZestVita")</f>
        <v>ZestVita</v>
      </c>
      <c r="F40" s="6">
        <f>IFERROR(__xludf.DUMMYFUNCTION("""COMPUTED_VALUE"""),29296.0)</f>
        <v>29296</v>
      </c>
      <c r="G40" s="6">
        <f>IFERROR(__xludf.DUMMYFUNCTION("""COMPUTED_VALUE"""),32812.0)</f>
        <v>32812</v>
      </c>
      <c r="H40" s="39">
        <f>IFERROR(__xludf.DUMMYFUNCTION("""COMPUTED_VALUE"""),0.0)</f>
        <v>0</v>
      </c>
      <c r="I40" s="6">
        <f>IFERROR(__xludf.DUMMYFUNCTION("""COMPUTED_VALUE"""),135.0)</f>
        <v>135</v>
      </c>
      <c r="J40" s="6">
        <f>IFERROR(__xludf.DUMMYFUNCTION("""COMPUTED_VALUE"""),135.0)</f>
        <v>135</v>
      </c>
      <c r="K40" s="59">
        <f>IFERROR(__xludf.DUMMYFUNCTION("""COMPUTED_VALUE"""),3954960.0)</f>
        <v>3954960</v>
      </c>
      <c r="L40" s="6">
        <f>IFERROR(__xludf.DUMMYFUNCTION("""COMPUTED_VALUE"""),4429620.0)</f>
        <v>4429620</v>
      </c>
      <c r="M40" s="6">
        <f>IFERROR(__xludf.DUMMYFUNCTION("""COMPUTED_VALUE"""),74.03)</f>
        <v>74.03</v>
      </c>
      <c r="N40" s="6">
        <f>IFERROR(__xludf.DUMMYFUNCTION("""COMPUTED_VALUE"""),73.16)</f>
        <v>73.16</v>
      </c>
      <c r="O40" s="6">
        <f>IFERROR(__xludf.DUMMYFUNCTION("""COMPUTED_VALUE"""),2168782.88)</f>
        <v>2168782.88</v>
      </c>
      <c r="P40" s="6">
        <f>IFERROR(__xludf.DUMMYFUNCTION("""COMPUTED_VALUE"""),2400525.92)</f>
        <v>2400525.92</v>
      </c>
    </row>
    <row r="41" ht="15.75" customHeight="1">
      <c r="A41" s="6" t="str">
        <f>IFERROR(__xludf.DUMMYFUNCTION("""COMPUTED_VALUE"""),"Month2")</f>
        <v>Month2</v>
      </c>
      <c r="B41" s="6" t="str">
        <f>IFERROR(__xludf.DUMMYFUNCTION("""COMPUTED_VALUE"""),"February")</f>
        <v>February</v>
      </c>
      <c r="C41" s="6" t="str">
        <f>IFERROR(__xludf.DUMMYFUNCTION("""COMPUTED_VALUE"""),"South")</f>
        <v>South</v>
      </c>
      <c r="D41" s="6" t="str">
        <f>IFERROR(__xludf.DUMMYFUNCTION("""COMPUTED_VALUE"""),"Bengaluru")</f>
        <v>Bengaluru</v>
      </c>
      <c r="E41" s="6" t="str">
        <f>IFERROR(__xludf.DUMMYFUNCTION("""COMPUTED_VALUE"""),"NutriKid")</f>
        <v>NutriKid</v>
      </c>
      <c r="F41" s="6">
        <f>IFERROR(__xludf.DUMMYFUNCTION("""COMPUTED_VALUE"""),15623.0)</f>
        <v>15623</v>
      </c>
      <c r="G41" s="6">
        <f>IFERROR(__xludf.DUMMYFUNCTION("""COMPUTED_VALUE"""),18748.0)</f>
        <v>18748</v>
      </c>
      <c r="H41" s="39">
        <f>IFERROR(__xludf.DUMMYFUNCTION("""COMPUTED_VALUE"""),0.0)</f>
        <v>0</v>
      </c>
      <c r="I41" s="6">
        <f>IFERROR(__xludf.DUMMYFUNCTION("""COMPUTED_VALUE"""),60.0)</f>
        <v>60</v>
      </c>
      <c r="J41" s="6">
        <f>IFERROR(__xludf.DUMMYFUNCTION("""COMPUTED_VALUE"""),60.0)</f>
        <v>60</v>
      </c>
      <c r="K41" s="59">
        <f>IFERROR(__xludf.DUMMYFUNCTION("""COMPUTED_VALUE"""),937380.0)</f>
        <v>937380</v>
      </c>
      <c r="L41" s="6">
        <f>IFERROR(__xludf.DUMMYFUNCTION("""COMPUTED_VALUE"""),1124880.0)</f>
        <v>1124880</v>
      </c>
      <c r="M41" s="6">
        <f>IFERROR(__xludf.DUMMYFUNCTION("""COMPUTED_VALUE"""),33.75)</f>
        <v>33.75</v>
      </c>
      <c r="N41" s="6">
        <f>IFERROR(__xludf.DUMMYFUNCTION("""COMPUTED_VALUE"""),29.89)</f>
        <v>29.89</v>
      </c>
      <c r="O41" s="6">
        <f>IFERROR(__xludf.DUMMYFUNCTION("""COMPUTED_VALUE"""),527276.25)</f>
        <v>527276.25</v>
      </c>
      <c r="P41" s="6">
        <f>IFERROR(__xludf.DUMMYFUNCTION("""COMPUTED_VALUE"""),560377.72)</f>
        <v>560377.72</v>
      </c>
    </row>
    <row r="42" ht="15.75" customHeight="1">
      <c r="A42" s="6" t="str">
        <f>IFERROR(__xludf.DUMMYFUNCTION("""COMPUTED_VALUE"""),"Month2")</f>
        <v>Month2</v>
      </c>
      <c r="B42" s="6" t="str">
        <f>IFERROR(__xludf.DUMMYFUNCTION("""COMPUTED_VALUE"""),"February")</f>
        <v>February</v>
      </c>
      <c r="C42" s="6" t="str">
        <f>IFERROR(__xludf.DUMMYFUNCTION("""COMPUTED_VALUE"""),"North")</f>
        <v>North</v>
      </c>
      <c r="D42" s="6" t="str">
        <f>IFERROR(__xludf.DUMMYFUNCTION("""COMPUTED_VALUE"""),"Chandigarh")</f>
        <v>Chandigarh</v>
      </c>
      <c r="E42" s="6" t="str">
        <f>IFERROR(__xludf.DUMMYFUNCTION("""COMPUTED_VALUE"""),"ZestVita")</f>
        <v>ZestVita</v>
      </c>
      <c r="F42" s="6">
        <f>IFERROR(__xludf.DUMMYFUNCTION("""COMPUTED_VALUE"""),25573.0)</f>
        <v>25573</v>
      </c>
      <c r="G42" s="6">
        <f>IFERROR(__xludf.DUMMYFUNCTION("""COMPUTED_VALUE"""),29409.0)</f>
        <v>29409</v>
      </c>
      <c r="H42" s="39">
        <f>IFERROR(__xludf.DUMMYFUNCTION("""COMPUTED_VALUE"""),0.0)</f>
        <v>0</v>
      </c>
      <c r="I42" s="6">
        <f>IFERROR(__xludf.DUMMYFUNCTION("""COMPUTED_VALUE"""),135.0)</f>
        <v>135</v>
      </c>
      <c r="J42" s="6">
        <f>IFERROR(__xludf.DUMMYFUNCTION("""COMPUTED_VALUE"""),135.0)</f>
        <v>135</v>
      </c>
      <c r="K42" s="59">
        <f>IFERROR(__xludf.DUMMYFUNCTION("""COMPUTED_VALUE"""),3452355.0)</f>
        <v>3452355</v>
      </c>
      <c r="L42" s="6">
        <f>IFERROR(__xludf.DUMMYFUNCTION("""COMPUTED_VALUE"""),3970215.0)</f>
        <v>3970215</v>
      </c>
      <c r="M42" s="6">
        <f>IFERROR(__xludf.DUMMYFUNCTION("""COMPUTED_VALUE"""),74.03)</f>
        <v>74.03</v>
      </c>
      <c r="N42" s="6">
        <f>IFERROR(__xludf.DUMMYFUNCTION("""COMPUTED_VALUE"""),73.16)</f>
        <v>73.16</v>
      </c>
      <c r="O42" s="6">
        <f>IFERROR(__xludf.DUMMYFUNCTION("""COMPUTED_VALUE"""),1893169.19)</f>
        <v>1893169.19</v>
      </c>
      <c r="P42" s="6">
        <f>IFERROR(__xludf.DUMMYFUNCTION("""COMPUTED_VALUE"""),2151562.44)</f>
        <v>2151562.44</v>
      </c>
    </row>
    <row r="43" ht="15.75" customHeight="1">
      <c r="A43" s="6" t="str">
        <f>IFERROR(__xludf.DUMMYFUNCTION("""COMPUTED_VALUE"""),"Month2")</f>
        <v>Month2</v>
      </c>
      <c r="B43" s="6" t="str">
        <f>IFERROR(__xludf.DUMMYFUNCTION("""COMPUTED_VALUE"""),"February")</f>
        <v>February</v>
      </c>
      <c r="C43" s="6" t="str">
        <f>IFERROR(__xludf.DUMMYFUNCTION("""COMPUTED_VALUE"""),"North")</f>
        <v>North</v>
      </c>
      <c r="D43" s="6" t="str">
        <f>IFERROR(__xludf.DUMMYFUNCTION("""COMPUTED_VALUE"""),"Chandigarh")</f>
        <v>Chandigarh</v>
      </c>
      <c r="E43" s="6" t="str">
        <f>IFERROR(__xludf.DUMMYFUNCTION("""COMPUTED_VALUE"""),"NutriKid")</f>
        <v>NutriKid</v>
      </c>
      <c r="F43" s="6">
        <f>IFERROR(__xludf.DUMMYFUNCTION("""COMPUTED_VALUE"""),27637.0)</f>
        <v>27637</v>
      </c>
      <c r="G43" s="6">
        <f>IFERROR(__xludf.DUMMYFUNCTION("""COMPUTED_VALUE"""),32059.0)</f>
        <v>32059</v>
      </c>
      <c r="H43" s="39">
        <f>IFERROR(__xludf.DUMMYFUNCTION("""COMPUTED_VALUE"""),0.0)</f>
        <v>0</v>
      </c>
      <c r="I43" s="6">
        <f>IFERROR(__xludf.DUMMYFUNCTION("""COMPUTED_VALUE"""),60.0)</f>
        <v>60</v>
      </c>
      <c r="J43" s="6">
        <f>IFERROR(__xludf.DUMMYFUNCTION("""COMPUTED_VALUE"""),60.0)</f>
        <v>60</v>
      </c>
      <c r="K43" s="59">
        <f>IFERROR(__xludf.DUMMYFUNCTION("""COMPUTED_VALUE"""),1658220.0)</f>
        <v>1658220</v>
      </c>
      <c r="L43" s="6">
        <f>IFERROR(__xludf.DUMMYFUNCTION("""COMPUTED_VALUE"""),1923540.0)</f>
        <v>1923540</v>
      </c>
      <c r="M43" s="6">
        <f>IFERROR(__xludf.DUMMYFUNCTION("""COMPUTED_VALUE"""),33.75)</f>
        <v>33.75</v>
      </c>
      <c r="N43" s="6">
        <f>IFERROR(__xludf.DUMMYFUNCTION("""COMPUTED_VALUE"""),29.89)</f>
        <v>29.89</v>
      </c>
      <c r="O43" s="6">
        <f>IFERROR(__xludf.DUMMYFUNCTION("""COMPUTED_VALUE"""),932748.75)</f>
        <v>932748.75</v>
      </c>
      <c r="P43" s="6">
        <f>IFERROR(__xludf.DUMMYFUNCTION("""COMPUTED_VALUE"""),958243.51)</f>
        <v>958243.51</v>
      </c>
    </row>
    <row r="44" ht="15.75" customHeight="1">
      <c r="A44" s="6" t="str">
        <f>IFERROR(__xludf.DUMMYFUNCTION("""COMPUTED_VALUE"""),"Month2")</f>
        <v>Month2</v>
      </c>
      <c r="B44" s="6" t="str">
        <f>IFERROR(__xludf.DUMMYFUNCTION("""COMPUTED_VALUE"""),"February")</f>
        <v>February</v>
      </c>
      <c r="C44" s="6" t="str">
        <f>IFERROR(__xludf.DUMMYFUNCTION("""COMPUTED_VALUE"""),"East")</f>
        <v>East</v>
      </c>
      <c r="D44" s="6" t="str">
        <f>IFERROR(__xludf.DUMMYFUNCTION("""COMPUTED_VALUE"""),"Bhubaneswar")</f>
        <v>Bhubaneswar</v>
      </c>
      <c r="E44" s="6" t="str">
        <f>IFERROR(__xludf.DUMMYFUNCTION("""COMPUTED_VALUE"""),"ZestVita")</f>
        <v>ZestVita</v>
      </c>
      <c r="F44" s="6">
        <f>IFERROR(__xludf.DUMMYFUNCTION("""COMPUTED_VALUE"""),13878.0)</f>
        <v>13878</v>
      </c>
      <c r="G44" s="6">
        <f>IFERROR(__xludf.DUMMYFUNCTION("""COMPUTED_VALUE"""),14433.0)</f>
        <v>14433</v>
      </c>
      <c r="H44" s="39">
        <f>IFERROR(__xludf.DUMMYFUNCTION("""COMPUTED_VALUE"""),0.125)</f>
        <v>0.125</v>
      </c>
      <c r="I44" s="6">
        <f>IFERROR(__xludf.DUMMYFUNCTION("""COMPUTED_VALUE"""),135.0)</f>
        <v>135</v>
      </c>
      <c r="J44" s="6">
        <f>IFERROR(__xludf.DUMMYFUNCTION("""COMPUTED_VALUE"""),118.125)</f>
        <v>118.125</v>
      </c>
      <c r="K44" s="59">
        <f>IFERROR(__xludf.DUMMYFUNCTION("""COMPUTED_VALUE"""),1639338.75)</f>
        <v>1639338.75</v>
      </c>
      <c r="L44" s="6">
        <f>IFERROR(__xludf.DUMMYFUNCTION("""COMPUTED_VALUE"""),1948455.0)</f>
        <v>1948455</v>
      </c>
      <c r="M44" s="6">
        <f>IFERROR(__xludf.DUMMYFUNCTION("""COMPUTED_VALUE"""),74.03)</f>
        <v>74.03</v>
      </c>
      <c r="N44" s="6">
        <f>IFERROR(__xludf.DUMMYFUNCTION("""COMPUTED_VALUE"""),73.16)</f>
        <v>73.16</v>
      </c>
      <c r="O44" s="6">
        <f>IFERROR(__xludf.DUMMYFUNCTION("""COMPUTED_VALUE"""),1027388.34)</f>
        <v>1027388.34</v>
      </c>
      <c r="P44" s="6">
        <f>IFERROR(__xludf.DUMMYFUNCTION("""COMPUTED_VALUE"""),1055918.28)</f>
        <v>1055918.28</v>
      </c>
    </row>
    <row r="45" ht="15.75" customHeight="1">
      <c r="A45" s="6" t="str">
        <f>IFERROR(__xludf.DUMMYFUNCTION("""COMPUTED_VALUE"""),"Month2")</f>
        <v>Month2</v>
      </c>
      <c r="B45" s="6" t="str">
        <f>IFERROR(__xludf.DUMMYFUNCTION("""COMPUTED_VALUE"""),"February")</f>
        <v>February</v>
      </c>
      <c r="C45" s="6" t="str">
        <f>IFERROR(__xludf.DUMMYFUNCTION("""COMPUTED_VALUE"""),"East")</f>
        <v>East</v>
      </c>
      <c r="D45" s="6" t="str">
        <f>IFERROR(__xludf.DUMMYFUNCTION("""COMPUTED_VALUE"""),"Bhubaneswar")</f>
        <v>Bhubaneswar</v>
      </c>
      <c r="E45" s="6" t="str">
        <f>IFERROR(__xludf.DUMMYFUNCTION("""COMPUTED_VALUE"""),"NutriKid")</f>
        <v>NutriKid</v>
      </c>
      <c r="F45" s="6">
        <f>IFERROR(__xludf.DUMMYFUNCTION("""COMPUTED_VALUE"""),18202.0)</f>
        <v>18202</v>
      </c>
      <c r="G45" s="6">
        <f>IFERROR(__xludf.DUMMYFUNCTION("""COMPUTED_VALUE"""),19476.0)</f>
        <v>19476</v>
      </c>
      <c r="H45" s="39">
        <f>IFERROR(__xludf.DUMMYFUNCTION("""COMPUTED_VALUE"""),0.125)</f>
        <v>0.125</v>
      </c>
      <c r="I45" s="6">
        <f>IFERROR(__xludf.DUMMYFUNCTION("""COMPUTED_VALUE"""),60.0)</f>
        <v>60</v>
      </c>
      <c r="J45" s="6">
        <f>IFERROR(__xludf.DUMMYFUNCTION("""COMPUTED_VALUE"""),52.5)</f>
        <v>52.5</v>
      </c>
      <c r="K45" s="59">
        <f>IFERROR(__xludf.DUMMYFUNCTION("""COMPUTED_VALUE"""),955605.0)</f>
        <v>955605</v>
      </c>
      <c r="L45" s="6">
        <f>IFERROR(__xludf.DUMMYFUNCTION("""COMPUTED_VALUE"""),1168560.0)</f>
        <v>1168560</v>
      </c>
      <c r="M45" s="6">
        <f>IFERROR(__xludf.DUMMYFUNCTION("""COMPUTED_VALUE"""),33.75)</f>
        <v>33.75</v>
      </c>
      <c r="N45" s="6">
        <f>IFERROR(__xludf.DUMMYFUNCTION("""COMPUTED_VALUE"""),29.89)</f>
        <v>29.89</v>
      </c>
      <c r="O45" s="6">
        <f>IFERROR(__xludf.DUMMYFUNCTION("""COMPUTED_VALUE"""),614317.5)</f>
        <v>614317.5</v>
      </c>
      <c r="P45" s="6">
        <f>IFERROR(__xludf.DUMMYFUNCTION("""COMPUTED_VALUE"""),582137.64)</f>
        <v>582137.64</v>
      </c>
    </row>
    <row r="46" ht="15.75" customHeight="1">
      <c r="A46" s="6" t="str">
        <f>IFERROR(__xludf.DUMMYFUNCTION("""COMPUTED_VALUE"""),"Month2")</f>
        <v>Month2</v>
      </c>
      <c r="B46" s="6" t="str">
        <f>IFERROR(__xludf.DUMMYFUNCTION("""COMPUTED_VALUE"""),"February")</f>
        <v>February</v>
      </c>
      <c r="C46" s="6" t="str">
        <f>IFERROR(__xludf.DUMMYFUNCTION("""COMPUTED_VALUE"""),"West")</f>
        <v>West</v>
      </c>
      <c r="D46" s="6" t="str">
        <f>IFERROR(__xludf.DUMMYFUNCTION("""COMPUTED_VALUE"""),"Ahmedabad")</f>
        <v>Ahmedabad</v>
      </c>
      <c r="E46" s="6" t="str">
        <f>IFERROR(__xludf.DUMMYFUNCTION("""COMPUTED_VALUE"""),"ZestVita")</f>
        <v>ZestVita</v>
      </c>
      <c r="F46" s="6">
        <f>IFERROR(__xludf.DUMMYFUNCTION("""COMPUTED_VALUE"""),22662.0)</f>
        <v>22662</v>
      </c>
      <c r="G46" s="6">
        <f>IFERROR(__xludf.DUMMYFUNCTION("""COMPUTED_VALUE"""),28101.0)</f>
        <v>28101</v>
      </c>
      <c r="H46" s="39">
        <f>IFERROR(__xludf.DUMMYFUNCTION("""COMPUTED_VALUE"""),0.0)</f>
        <v>0</v>
      </c>
      <c r="I46" s="6">
        <f>IFERROR(__xludf.DUMMYFUNCTION("""COMPUTED_VALUE"""),135.0)</f>
        <v>135</v>
      </c>
      <c r="J46" s="6">
        <f>IFERROR(__xludf.DUMMYFUNCTION("""COMPUTED_VALUE"""),135.0)</f>
        <v>135</v>
      </c>
      <c r="K46" s="59">
        <f>IFERROR(__xludf.DUMMYFUNCTION("""COMPUTED_VALUE"""),3059370.0)</f>
        <v>3059370</v>
      </c>
      <c r="L46" s="6">
        <f>IFERROR(__xludf.DUMMYFUNCTION("""COMPUTED_VALUE"""),3793635.0)</f>
        <v>3793635</v>
      </c>
      <c r="M46" s="6">
        <f>IFERROR(__xludf.DUMMYFUNCTION("""COMPUTED_VALUE"""),74.03)</f>
        <v>74.03</v>
      </c>
      <c r="N46" s="6">
        <f>IFERROR(__xludf.DUMMYFUNCTION("""COMPUTED_VALUE"""),73.16)</f>
        <v>73.16</v>
      </c>
      <c r="O46" s="6">
        <f>IFERROR(__xludf.DUMMYFUNCTION("""COMPUTED_VALUE"""),1677667.86)</f>
        <v>1677667.86</v>
      </c>
      <c r="P46" s="6">
        <f>IFERROR(__xludf.DUMMYFUNCTION("""COMPUTED_VALUE"""),2055869.16)</f>
        <v>2055869.16</v>
      </c>
    </row>
    <row r="47" ht="15.75" customHeight="1">
      <c r="A47" s="6" t="str">
        <f>IFERROR(__xludf.DUMMYFUNCTION("""COMPUTED_VALUE"""),"Month2")</f>
        <v>Month2</v>
      </c>
      <c r="B47" s="6" t="str">
        <f>IFERROR(__xludf.DUMMYFUNCTION("""COMPUTED_VALUE"""),"February")</f>
        <v>February</v>
      </c>
      <c r="C47" s="6" t="str">
        <f>IFERROR(__xludf.DUMMYFUNCTION("""COMPUTED_VALUE"""),"West")</f>
        <v>West</v>
      </c>
      <c r="D47" s="6" t="str">
        <f>IFERROR(__xludf.DUMMYFUNCTION("""COMPUTED_VALUE"""),"Ahmedabad")</f>
        <v>Ahmedabad</v>
      </c>
      <c r="E47" s="6" t="str">
        <f>IFERROR(__xludf.DUMMYFUNCTION("""COMPUTED_VALUE"""),"NutriKid")</f>
        <v>NutriKid</v>
      </c>
      <c r="F47" s="6">
        <f>IFERROR(__xludf.DUMMYFUNCTION("""COMPUTED_VALUE"""),13063.0)</f>
        <v>13063</v>
      </c>
      <c r="G47" s="6">
        <f>IFERROR(__xludf.DUMMYFUNCTION("""COMPUTED_VALUE"""),16329.0)</f>
        <v>16329</v>
      </c>
      <c r="H47" s="39">
        <f>IFERROR(__xludf.DUMMYFUNCTION("""COMPUTED_VALUE"""),0.0)</f>
        <v>0</v>
      </c>
      <c r="I47" s="6">
        <f>IFERROR(__xludf.DUMMYFUNCTION("""COMPUTED_VALUE"""),60.0)</f>
        <v>60</v>
      </c>
      <c r="J47" s="6">
        <f>IFERROR(__xludf.DUMMYFUNCTION("""COMPUTED_VALUE"""),60.0)</f>
        <v>60</v>
      </c>
      <c r="K47" s="59">
        <f>IFERROR(__xludf.DUMMYFUNCTION("""COMPUTED_VALUE"""),783780.0)</f>
        <v>783780</v>
      </c>
      <c r="L47" s="6">
        <f>IFERROR(__xludf.DUMMYFUNCTION("""COMPUTED_VALUE"""),979740.0)</f>
        <v>979740</v>
      </c>
      <c r="M47" s="6">
        <f>IFERROR(__xludf.DUMMYFUNCTION("""COMPUTED_VALUE"""),33.75)</f>
        <v>33.75</v>
      </c>
      <c r="N47" s="6">
        <f>IFERROR(__xludf.DUMMYFUNCTION("""COMPUTED_VALUE"""),29.89)</f>
        <v>29.89</v>
      </c>
      <c r="O47" s="6">
        <f>IFERROR(__xludf.DUMMYFUNCTION("""COMPUTED_VALUE"""),440876.25)</f>
        <v>440876.25</v>
      </c>
      <c r="P47" s="6">
        <f>IFERROR(__xludf.DUMMYFUNCTION("""COMPUTED_VALUE"""),488073.81)</f>
        <v>488073.81</v>
      </c>
    </row>
    <row r="48" ht="15.75" customHeight="1">
      <c r="A48" s="6" t="str">
        <f>IFERROR(__xludf.DUMMYFUNCTION("""COMPUTED_VALUE"""),"Month2")</f>
        <v>Month2</v>
      </c>
      <c r="B48" s="6" t="str">
        <f>IFERROR(__xludf.DUMMYFUNCTION("""COMPUTED_VALUE"""),"February")</f>
        <v>February</v>
      </c>
      <c r="C48" s="6" t="str">
        <f>IFERROR(__xludf.DUMMYFUNCTION("""COMPUTED_VALUE"""),"South")</f>
        <v>South</v>
      </c>
      <c r="D48" s="6" t="str">
        <f>IFERROR(__xludf.DUMMYFUNCTION("""COMPUTED_VALUE"""),"Chennai")</f>
        <v>Chennai</v>
      </c>
      <c r="E48" s="6" t="str">
        <f>IFERROR(__xludf.DUMMYFUNCTION("""COMPUTED_VALUE"""),"ZestVita")</f>
        <v>ZestVita</v>
      </c>
      <c r="F48" s="6">
        <f>IFERROR(__xludf.DUMMYFUNCTION("""COMPUTED_VALUE"""),14233.0)</f>
        <v>14233</v>
      </c>
      <c r="G48" s="6">
        <f>IFERROR(__xludf.DUMMYFUNCTION("""COMPUTED_VALUE"""),17364.0)</f>
        <v>17364</v>
      </c>
      <c r="H48" s="39">
        <f>IFERROR(__xludf.DUMMYFUNCTION("""COMPUTED_VALUE"""),0.0)</f>
        <v>0</v>
      </c>
      <c r="I48" s="6">
        <f>IFERROR(__xludf.DUMMYFUNCTION("""COMPUTED_VALUE"""),135.0)</f>
        <v>135</v>
      </c>
      <c r="J48" s="6">
        <f>IFERROR(__xludf.DUMMYFUNCTION("""COMPUTED_VALUE"""),135.0)</f>
        <v>135</v>
      </c>
      <c r="K48" s="59">
        <f>IFERROR(__xludf.DUMMYFUNCTION("""COMPUTED_VALUE"""),1921455.0)</f>
        <v>1921455</v>
      </c>
      <c r="L48" s="6">
        <f>IFERROR(__xludf.DUMMYFUNCTION("""COMPUTED_VALUE"""),2344140.0)</f>
        <v>2344140</v>
      </c>
      <c r="M48" s="6">
        <f>IFERROR(__xludf.DUMMYFUNCTION("""COMPUTED_VALUE"""),74.03)</f>
        <v>74.03</v>
      </c>
      <c r="N48" s="6">
        <f>IFERROR(__xludf.DUMMYFUNCTION("""COMPUTED_VALUE"""),73.16)</f>
        <v>73.16</v>
      </c>
      <c r="O48" s="6">
        <f>IFERROR(__xludf.DUMMYFUNCTION("""COMPUTED_VALUE"""),1053668.99)</f>
        <v>1053668.99</v>
      </c>
      <c r="P48" s="6">
        <f>IFERROR(__xludf.DUMMYFUNCTION("""COMPUTED_VALUE"""),1270350.24)</f>
        <v>1270350.24</v>
      </c>
    </row>
    <row r="49" ht="15.75" customHeight="1">
      <c r="A49" s="6" t="str">
        <f>IFERROR(__xludf.DUMMYFUNCTION("""COMPUTED_VALUE"""),"Month2")</f>
        <v>Month2</v>
      </c>
      <c r="B49" s="6" t="str">
        <f>IFERROR(__xludf.DUMMYFUNCTION("""COMPUTED_VALUE"""),"February")</f>
        <v>February</v>
      </c>
      <c r="C49" s="6" t="str">
        <f>IFERROR(__xludf.DUMMYFUNCTION("""COMPUTED_VALUE"""),"South")</f>
        <v>South</v>
      </c>
      <c r="D49" s="6" t="str">
        <f>IFERROR(__xludf.DUMMYFUNCTION("""COMPUTED_VALUE"""),"Chennai")</f>
        <v>Chennai</v>
      </c>
      <c r="E49" s="6" t="str">
        <f>IFERROR(__xludf.DUMMYFUNCTION("""COMPUTED_VALUE"""),"NutriKid")</f>
        <v>NutriKid</v>
      </c>
      <c r="F49" s="6">
        <f>IFERROR(__xludf.DUMMYFUNCTION("""COMPUTED_VALUE"""),15616.0)</f>
        <v>15616</v>
      </c>
      <c r="G49" s="6">
        <f>IFERROR(__xludf.DUMMYFUNCTION("""COMPUTED_VALUE"""),18115.0)</f>
        <v>18115</v>
      </c>
      <c r="H49" s="39">
        <f>IFERROR(__xludf.DUMMYFUNCTION("""COMPUTED_VALUE"""),0.0)</f>
        <v>0</v>
      </c>
      <c r="I49" s="6">
        <f>IFERROR(__xludf.DUMMYFUNCTION("""COMPUTED_VALUE"""),60.0)</f>
        <v>60</v>
      </c>
      <c r="J49" s="6">
        <f>IFERROR(__xludf.DUMMYFUNCTION("""COMPUTED_VALUE"""),60.0)</f>
        <v>60</v>
      </c>
      <c r="K49" s="59">
        <f>IFERROR(__xludf.DUMMYFUNCTION("""COMPUTED_VALUE"""),936960.0)</f>
        <v>936960</v>
      </c>
      <c r="L49" s="6">
        <f>IFERROR(__xludf.DUMMYFUNCTION("""COMPUTED_VALUE"""),1086900.0)</f>
        <v>1086900</v>
      </c>
      <c r="M49" s="6">
        <f>IFERROR(__xludf.DUMMYFUNCTION("""COMPUTED_VALUE"""),33.75)</f>
        <v>33.75</v>
      </c>
      <c r="N49" s="6">
        <f>IFERROR(__xludf.DUMMYFUNCTION("""COMPUTED_VALUE"""),29.89)</f>
        <v>29.89</v>
      </c>
      <c r="O49" s="6">
        <f>IFERROR(__xludf.DUMMYFUNCTION("""COMPUTED_VALUE"""),527040.0)</f>
        <v>527040</v>
      </c>
      <c r="P49" s="6">
        <f>IFERROR(__xludf.DUMMYFUNCTION("""COMPUTED_VALUE"""),541457.35)</f>
        <v>541457.35</v>
      </c>
    </row>
    <row r="50" ht="15.75" customHeight="1">
      <c r="A50" s="6" t="str">
        <f>IFERROR(__xludf.DUMMYFUNCTION("""COMPUTED_VALUE"""),"Month2")</f>
        <v>Month2</v>
      </c>
      <c r="B50" s="6" t="str">
        <f>IFERROR(__xludf.DUMMYFUNCTION("""COMPUTED_VALUE"""),"February")</f>
        <v>February</v>
      </c>
      <c r="C50" s="6" t="str">
        <f>IFERROR(__xludf.DUMMYFUNCTION("""COMPUTED_VALUE"""),"North")</f>
        <v>North</v>
      </c>
      <c r="D50" s="6" t="str">
        <f>IFERROR(__xludf.DUMMYFUNCTION("""COMPUTED_VALUE"""),"Lucknow")</f>
        <v>Lucknow</v>
      </c>
      <c r="E50" s="6" t="str">
        <f>IFERROR(__xludf.DUMMYFUNCTION("""COMPUTED_VALUE"""),"ZestVita")</f>
        <v>ZestVita</v>
      </c>
      <c r="F50" s="6">
        <f>IFERROR(__xludf.DUMMYFUNCTION("""COMPUTED_VALUE"""),23233.0)</f>
        <v>23233</v>
      </c>
      <c r="G50" s="6">
        <f>IFERROR(__xludf.DUMMYFUNCTION("""COMPUTED_VALUE"""),26718.0)</f>
        <v>26718</v>
      </c>
      <c r="H50" s="39">
        <f>IFERROR(__xludf.DUMMYFUNCTION("""COMPUTED_VALUE"""),0.1)</f>
        <v>0.1</v>
      </c>
      <c r="I50" s="6">
        <f>IFERROR(__xludf.DUMMYFUNCTION("""COMPUTED_VALUE"""),135.0)</f>
        <v>135</v>
      </c>
      <c r="J50" s="6">
        <f>IFERROR(__xludf.DUMMYFUNCTION("""COMPUTED_VALUE"""),121.5)</f>
        <v>121.5</v>
      </c>
      <c r="K50" s="59">
        <f>IFERROR(__xludf.DUMMYFUNCTION("""COMPUTED_VALUE"""),2822809.5)</f>
        <v>2822809.5</v>
      </c>
      <c r="L50" s="6">
        <f>IFERROR(__xludf.DUMMYFUNCTION("""COMPUTED_VALUE"""),3606930.0)</f>
        <v>3606930</v>
      </c>
      <c r="M50" s="6">
        <f>IFERROR(__xludf.DUMMYFUNCTION("""COMPUTED_VALUE"""),74.03)</f>
        <v>74.03</v>
      </c>
      <c r="N50" s="6">
        <f>IFERROR(__xludf.DUMMYFUNCTION("""COMPUTED_VALUE"""),73.16)</f>
        <v>73.16</v>
      </c>
      <c r="O50" s="6">
        <f>IFERROR(__xludf.DUMMYFUNCTION("""COMPUTED_VALUE"""),1719938.99)</f>
        <v>1719938.99</v>
      </c>
      <c r="P50" s="6">
        <f>IFERROR(__xludf.DUMMYFUNCTION("""COMPUTED_VALUE"""),1954688.88)</f>
        <v>1954688.88</v>
      </c>
    </row>
    <row r="51" ht="15.75" customHeight="1">
      <c r="A51" s="6" t="str">
        <f>IFERROR(__xludf.DUMMYFUNCTION("""COMPUTED_VALUE"""),"Month2")</f>
        <v>Month2</v>
      </c>
      <c r="B51" s="6" t="str">
        <f>IFERROR(__xludf.DUMMYFUNCTION("""COMPUTED_VALUE"""),"February")</f>
        <v>February</v>
      </c>
      <c r="C51" s="6" t="str">
        <f>IFERROR(__xludf.DUMMYFUNCTION("""COMPUTED_VALUE"""),"North")</f>
        <v>North</v>
      </c>
      <c r="D51" s="6" t="str">
        <f>IFERROR(__xludf.DUMMYFUNCTION("""COMPUTED_VALUE"""),"Lucknow")</f>
        <v>Lucknow</v>
      </c>
      <c r="E51" s="6" t="str">
        <f>IFERROR(__xludf.DUMMYFUNCTION("""COMPUTED_VALUE"""),"NutriKid")</f>
        <v>NutriKid</v>
      </c>
      <c r="F51" s="6">
        <f>IFERROR(__xludf.DUMMYFUNCTION("""COMPUTED_VALUE"""),20324.0)</f>
        <v>20324</v>
      </c>
      <c r="G51" s="6">
        <f>IFERROR(__xludf.DUMMYFUNCTION("""COMPUTED_VALUE"""),22763.0)</f>
        <v>22763</v>
      </c>
      <c r="H51" s="39">
        <f>IFERROR(__xludf.DUMMYFUNCTION("""COMPUTED_VALUE"""),0.1)</f>
        <v>0.1</v>
      </c>
      <c r="I51" s="6">
        <f>IFERROR(__xludf.DUMMYFUNCTION("""COMPUTED_VALUE"""),60.0)</f>
        <v>60</v>
      </c>
      <c r="J51" s="6">
        <f>IFERROR(__xludf.DUMMYFUNCTION("""COMPUTED_VALUE"""),54.0)</f>
        <v>54</v>
      </c>
      <c r="K51" s="59">
        <f>IFERROR(__xludf.DUMMYFUNCTION("""COMPUTED_VALUE"""),1097496.0)</f>
        <v>1097496</v>
      </c>
      <c r="L51" s="6">
        <f>IFERROR(__xludf.DUMMYFUNCTION("""COMPUTED_VALUE"""),1365780.0)</f>
        <v>1365780</v>
      </c>
      <c r="M51" s="6">
        <f>IFERROR(__xludf.DUMMYFUNCTION("""COMPUTED_VALUE"""),33.75)</f>
        <v>33.75</v>
      </c>
      <c r="N51" s="6">
        <f>IFERROR(__xludf.DUMMYFUNCTION("""COMPUTED_VALUE"""),29.89)</f>
        <v>29.89</v>
      </c>
      <c r="O51" s="6">
        <f>IFERROR(__xludf.DUMMYFUNCTION("""COMPUTED_VALUE"""),685935.0)</f>
        <v>685935</v>
      </c>
      <c r="P51" s="6">
        <f>IFERROR(__xludf.DUMMYFUNCTION("""COMPUTED_VALUE"""),680386.0700000001)</f>
        <v>680386.07</v>
      </c>
    </row>
    <row r="52" ht="15.75" customHeight="1">
      <c r="A52" s="6" t="str">
        <f>IFERROR(__xludf.DUMMYFUNCTION("""COMPUTED_VALUE"""),"Month2")</f>
        <v>Month2</v>
      </c>
      <c r="B52" s="6" t="str">
        <f>IFERROR(__xludf.DUMMYFUNCTION("""COMPUTED_VALUE"""),"February")</f>
        <v>February</v>
      </c>
      <c r="C52" s="6" t="str">
        <f>IFERROR(__xludf.DUMMYFUNCTION("""COMPUTED_VALUE"""),"East")</f>
        <v>East</v>
      </c>
      <c r="D52" s="6" t="str">
        <f>IFERROR(__xludf.DUMMYFUNCTION("""COMPUTED_VALUE"""),"Ranchi")</f>
        <v>Ranchi</v>
      </c>
      <c r="E52" s="6" t="str">
        <f>IFERROR(__xludf.DUMMYFUNCTION("""COMPUTED_VALUE"""),"ZestVita")</f>
        <v>ZestVita</v>
      </c>
      <c r="F52" s="6">
        <f>IFERROR(__xludf.DUMMYFUNCTION("""COMPUTED_VALUE"""),26263.0)</f>
        <v>26263</v>
      </c>
      <c r="G52" s="6">
        <f>IFERROR(__xludf.DUMMYFUNCTION("""COMPUTED_VALUE"""),27839.0)</f>
        <v>27839</v>
      </c>
      <c r="H52" s="39">
        <f>IFERROR(__xludf.DUMMYFUNCTION("""COMPUTED_VALUE"""),0.05)</f>
        <v>0.05</v>
      </c>
      <c r="I52" s="6">
        <f>IFERROR(__xludf.DUMMYFUNCTION("""COMPUTED_VALUE"""),135.0)</f>
        <v>135</v>
      </c>
      <c r="J52" s="6">
        <f>IFERROR(__xludf.DUMMYFUNCTION("""COMPUTED_VALUE"""),128.25)</f>
        <v>128.25</v>
      </c>
      <c r="K52" s="59">
        <f>IFERROR(__xludf.DUMMYFUNCTION("""COMPUTED_VALUE"""),3368229.75)</f>
        <v>3368229.75</v>
      </c>
      <c r="L52" s="6">
        <f>IFERROR(__xludf.DUMMYFUNCTION("""COMPUTED_VALUE"""),3758265.0)</f>
        <v>3758265</v>
      </c>
      <c r="M52" s="6">
        <f>IFERROR(__xludf.DUMMYFUNCTION("""COMPUTED_VALUE"""),74.03)</f>
        <v>74.03</v>
      </c>
      <c r="N52" s="6">
        <f>IFERROR(__xludf.DUMMYFUNCTION("""COMPUTED_VALUE"""),73.16)</f>
        <v>73.16</v>
      </c>
      <c r="O52" s="6">
        <f>IFERROR(__xludf.DUMMYFUNCTION("""COMPUTED_VALUE"""),1944249.8900000001)</f>
        <v>1944249.89</v>
      </c>
      <c r="P52" s="6">
        <f>IFERROR(__xludf.DUMMYFUNCTION("""COMPUTED_VALUE"""),2036701.24)</f>
        <v>2036701.24</v>
      </c>
    </row>
    <row r="53" ht="15.75" customHeight="1">
      <c r="A53" s="6" t="str">
        <f>IFERROR(__xludf.DUMMYFUNCTION("""COMPUTED_VALUE"""),"Month2")</f>
        <v>Month2</v>
      </c>
      <c r="B53" s="6" t="str">
        <f>IFERROR(__xludf.DUMMYFUNCTION("""COMPUTED_VALUE"""),"February")</f>
        <v>February</v>
      </c>
      <c r="C53" s="6" t="str">
        <f>IFERROR(__xludf.DUMMYFUNCTION("""COMPUTED_VALUE"""),"East")</f>
        <v>East</v>
      </c>
      <c r="D53" s="6" t="str">
        <f>IFERROR(__xludf.DUMMYFUNCTION("""COMPUTED_VALUE"""),"Ranchi")</f>
        <v>Ranchi</v>
      </c>
      <c r="E53" s="6" t="str">
        <f>IFERROR(__xludf.DUMMYFUNCTION("""COMPUTED_VALUE"""),"NutriKid")</f>
        <v>NutriKid</v>
      </c>
      <c r="F53" s="6">
        <f>IFERROR(__xludf.DUMMYFUNCTION("""COMPUTED_VALUE"""),16526.0)</f>
        <v>16526</v>
      </c>
      <c r="G53" s="6">
        <f>IFERROR(__xludf.DUMMYFUNCTION("""COMPUTED_VALUE"""),17022.0)</f>
        <v>17022</v>
      </c>
      <c r="H53" s="39">
        <f>IFERROR(__xludf.DUMMYFUNCTION("""COMPUTED_VALUE"""),0.05)</f>
        <v>0.05</v>
      </c>
      <c r="I53" s="6">
        <f>IFERROR(__xludf.DUMMYFUNCTION("""COMPUTED_VALUE"""),60.0)</f>
        <v>60</v>
      </c>
      <c r="J53" s="6">
        <f>IFERROR(__xludf.DUMMYFUNCTION("""COMPUTED_VALUE"""),57.0)</f>
        <v>57</v>
      </c>
      <c r="K53" s="59">
        <f>IFERROR(__xludf.DUMMYFUNCTION("""COMPUTED_VALUE"""),941982.0)</f>
        <v>941982</v>
      </c>
      <c r="L53" s="6">
        <f>IFERROR(__xludf.DUMMYFUNCTION("""COMPUTED_VALUE"""),1021320.0)</f>
        <v>1021320</v>
      </c>
      <c r="M53" s="6">
        <f>IFERROR(__xludf.DUMMYFUNCTION("""COMPUTED_VALUE"""),33.75)</f>
        <v>33.75</v>
      </c>
      <c r="N53" s="6">
        <f>IFERROR(__xludf.DUMMYFUNCTION("""COMPUTED_VALUE"""),29.89)</f>
        <v>29.89</v>
      </c>
      <c r="O53" s="6">
        <f>IFERROR(__xludf.DUMMYFUNCTION("""COMPUTED_VALUE"""),557752.5)</f>
        <v>557752.5</v>
      </c>
      <c r="P53" s="6">
        <f>IFERROR(__xludf.DUMMYFUNCTION("""COMPUTED_VALUE"""),508787.58)</f>
        <v>508787.58</v>
      </c>
    </row>
    <row r="54" ht="15.75" customHeight="1">
      <c r="A54" s="6" t="str">
        <f>IFERROR(__xludf.DUMMYFUNCTION("""COMPUTED_VALUE"""),"Month2")</f>
        <v>Month2</v>
      </c>
      <c r="B54" s="6" t="str">
        <f>IFERROR(__xludf.DUMMYFUNCTION("""COMPUTED_VALUE"""),"February")</f>
        <v>February</v>
      </c>
      <c r="C54" s="6" t="str">
        <f>IFERROR(__xludf.DUMMYFUNCTION("""COMPUTED_VALUE"""),"West")</f>
        <v>West</v>
      </c>
      <c r="D54" s="6" t="str">
        <f>IFERROR(__xludf.DUMMYFUNCTION("""COMPUTED_VALUE"""),"Surat")</f>
        <v>Surat</v>
      </c>
      <c r="E54" s="6" t="str">
        <f>IFERROR(__xludf.DUMMYFUNCTION("""COMPUTED_VALUE"""),"ZestVita")</f>
        <v>ZestVita</v>
      </c>
      <c r="F54" s="6">
        <f>IFERROR(__xludf.DUMMYFUNCTION("""COMPUTED_VALUE"""),20866.0)</f>
        <v>20866</v>
      </c>
      <c r="G54" s="6">
        <f>IFERROR(__xludf.DUMMYFUNCTION("""COMPUTED_VALUE"""),21283.0)</f>
        <v>21283</v>
      </c>
      <c r="H54" s="39">
        <f>IFERROR(__xludf.DUMMYFUNCTION("""COMPUTED_VALUE"""),0.05)</f>
        <v>0.05</v>
      </c>
      <c r="I54" s="6">
        <f>IFERROR(__xludf.DUMMYFUNCTION("""COMPUTED_VALUE"""),135.0)</f>
        <v>135</v>
      </c>
      <c r="J54" s="6">
        <f>IFERROR(__xludf.DUMMYFUNCTION("""COMPUTED_VALUE"""),128.25)</f>
        <v>128.25</v>
      </c>
      <c r="K54" s="59">
        <f>IFERROR(__xludf.DUMMYFUNCTION("""COMPUTED_VALUE"""),2676064.5)</f>
        <v>2676064.5</v>
      </c>
      <c r="L54" s="6">
        <f>IFERROR(__xludf.DUMMYFUNCTION("""COMPUTED_VALUE"""),2873205.0)</f>
        <v>2873205</v>
      </c>
      <c r="M54" s="6">
        <f>IFERROR(__xludf.DUMMYFUNCTION("""COMPUTED_VALUE"""),74.03)</f>
        <v>74.03</v>
      </c>
      <c r="N54" s="6">
        <f>IFERROR(__xludf.DUMMYFUNCTION("""COMPUTED_VALUE"""),73.16)</f>
        <v>73.16</v>
      </c>
      <c r="O54" s="6">
        <f>IFERROR(__xludf.DUMMYFUNCTION("""COMPUTED_VALUE"""),1544709.98)</f>
        <v>1544709.98</v>
      </c>
      <c r="P54" s="6">
        <f>IFERROR(__xludf.DUMMYFUNCTION("""COMPUTED_VALUE"""),1557064.28)</f>
        <v>1557064.28</v>
      </c>
    </row>
    <row r="55" ht="15.75" customHeight="1">
      <c r="A55" s="6" t="str">
        <f>IFERROR(__xludf.DUMMYFUNCTION("""COMPUTED_VALUE"""),"Month2")</f>
        <v>Month2</v>
      </c>
      <c r="B55" s="6" t="str">
        <f>IFERROR(__xludf.DUMMYFUNCTION("""COMPUTED_VALUE"""),"February")</f>
        <v>February</v>
      </c>
      <c r="C55" s="6" t="str">
        <f>IFERROR(__xludf.DUMMYFUNCTION("""COMPUTED_VALUE"""),"West")</f>
        <v>West</v>
      </c>
      <c r="D55" s="6" t="str">
        <f>IFERROR(__xludf.DUMMYFUNCTION("""COMPUTED_VALUE"""),"Surat")</f>
        <v>Surat</v>
      </c>
      <c r="E55" s="6" t="str">
        <f>IFERROR(__xludf.DUMMYFUNCTION("""COMPUTED_VALUE"""),"NutriKid")</f>
        <v>NutriKid</v>
      </c>
      <c r="F55" s="6">
        <f>IFERROR(__xludf.DUMMYFUNCTION("""COMPUTED_VALUE"""),16493.0)</f>
        <v>16493</v>
      </c>
      <c r="G55" s="6">
        <f>IFERROR(__xludf.DUMMYFUNCTION("""COMPUTED_VALUE"""),16988.0)</f>
        <v>16988</v>
      </c>
      <c r="H55" s="39">
        <f>IFERROR(__xludf.DUMMYFUNCTION("""COMPUTED_VALUE"""),0.05)</f>
        <v>0.05</v>
      </c>
      <c r="I55" s="6">
        <f>IFERROR(__xludf.DUMMYFUNCTION("""COMPUTED_VALUE"""),60.0)</f>
        <v>60</v>
      </c>
      <c r="J55" s="6">
        <f>IFERROR(__xludf.DUMMYFUNCTION("""COMPUTED_VALUE"""),57.0)</f>
        <v>57</v>
      </c>
      <c r="K55" s="59">
        <f>IFERROR(__xludf.DUMMYFUNCTION("""COMPUTED_VALUE"""),940101.0)</f>
        <v>940101</v>
      </c>
      <c r="L55" s="6">
        <f>IFERROR(__xludf.DUMMYFUNCTION("""COMPUTED_VALUE"""),1019280.0)</f>
        <v>1019280</v>
      </c>
      <c r="M55" s="6">
        <f>IFERROR(__xludf.DUMMYFUNCTION("""COMPUTED_VALUE"""),33.75)</f>
        <v>33.75</v>
      </c>
      <c r="N55" s="6">
        <f>IFERROR(__xludf.DUMMYFUNCTION("""COMPUTED_VALUE"""),29.89)</f>
        <v>29.89</v>
      </c>
      <c r="O55" s="6">
        <f>IFERROR(__xludf.DUMMYFUNCTION("""COMPUTED_VALUE"""),556638.75)</f>
        <v>556638.75</v>
      </c>
      <c r="P55" s="6">
        <f>IFERROR(__xludf.DUMMYFUNCTION("""COMPUTED_VALUE"""),507771.32)</f>
        <v>507771.32</v>
      </c>
    </row>
    <row r="56" ht="15.75" customHeight="1">
      <c r="A56" s="6" t="str">
        <f>IFERROR(__xludf.DUMMYFUNCTION("""COMPUTED_VALUE"""),"Month2")</f>
        <v>Month2</v>
      </c>
      <c r="B56" s="6" t="str">
        <f>IFERROR(__xludf.DUMMYFUNCTION("""COMPUTED_VALUE"""),"February")</f>
        <v>February</v>
      </c>
      <c r="C56" s="6" t="str">
        <f>IFERROR(__xludf.DUMMYFUNCTION("""COMPUTED_VALUE"""),"South")</f>
        <v>South</v>
      </c>
      <c r="D56" s="6" t="str">
        <f>IFERROR(__xludf.DUMMYFUNCTION("""COMPUTED_VALUE"""),"Hyderabad")</f>
        <v>Hyderabad</v>
      </c>
      <c r="E56" s="6" t="str">
        <f>IFERROR(__xludf.DUMMYFUNCTION("""COMPUTED_VALUE"""),"ZestVita")</f>
        <v>ZestVita</v>
      </c>
      <c r="F56" s="6">
        <f>IFERROR(__xludf.DUMMYFUNCTION("""COMPUTED_VALUE"""),29078.0)</f>
        <v>29078</v>
      </c>
      <c r="G56" s="6">
        <f>IFERROR(__xludf.DUMMYFUNCTION("""COMPUTED_VALUE"""),33730.0)</f>
        <v>33730</v>
      </c>
      <c r="H56" s="39">
        <f>IFERROR(__xludf.DUMMYFUNCTION("""COMPUTED_VALUE"""),0.0)</f>
        <v>0</v>
      </c>
      <c r="I56" s="6">
        <f>IFERROR(__xludf.DUMMYFUNCTION("""COMPUTED_VALUE"""),135.0)</f>
        <v>135</v>
      </c>
      <c r="J56" s="6">
        <f>IFERROR(__xludf.DUMMYFUNCTION("""COMPUTED_VALUE"""),135.0)</f>
        <v>135</v>
      </c>
      <c r="K56" s="59">
        <f>IFERROR(__xludf.DUMMYFUNCTION("""COMPUTED_VALUE"""),3925530.0)</f>
        <v>3925530</v>
      </c>
      <c r="L56" s="6">
        <f>IFERROR(__xludf.DUMMYFUNCTION("""COMPUTED_VALUE"""),4553550.0)</f>
        <v>4553550</v>
      </c>
      <c r="M56" s="6">
        <f>IFERROR(__xludf.DUMMYFUNCTION("""COMPUTED_VALUE"""),74.03)</f>
        <v>74.03</v>
      </c>
      <c r="N56" s="6">
        <f>IFERROR(__xludf.DUMMYFUNCTION("""COMPUTED_VALUE"""),73.16)</f>
        <v>73.16</v>
      </c>
      <c r="O56" s="6">
        <f>IFERROR(__xludf.DUMMYFUNCTION("""COMPUTED_VALUE"""),2152644.34)</f>
        <v>2152644.34</v>
      </c>
      <c r="P56" s="6">
        <f>IFERROR(__xludf.DUMMYFUNCTION("""COMPUTED_VALUE"""),2467686.8)</f>
        <v>2467686.8</v>
      </c>
    </row>
    <row r="57" ht="15.75" customHeight="1">
      <c r="A57" s="6" t="str">
        <f>IFERROR(__xludf.DUMMYFUNCTION("""COMPUTED_VALUE"""),"Month2")</f>
        <v>Month2</v>
      </c>
      <c r="B57" s="6" t="str">
        <f>IFERROR(__xludf.DUMMYFUNCTION("""COMPUTED_VALUE"""),"February")</f>
        <v>February</v>
      </c>
      <c r="C57" s="6" t="str">
        <f>IFERROR(__xludf.DUMMYFUNCTION("""COMPUTED_VALUE"""),"South")</f>
        <v>South</v>
      </c>
      <c r="D57" s="6" t="str">
        <f>IFERROR(__xludf.DUMMYFUNCTION("""COMPUTED_VALUE"""),"Hyderabad")</f>
        <v>Hyderabad</v>
      </c>
      <c r="E57" s="6" t="str">
        <f>IFERROR(__xludf.DUMMYFUNCTION("""COMPUTED_VALUE"""),"NutriKid")</f>
        <v>NutriKid</v>
      </c>
      <c r="F57" s="6">
        <f>IFERROR(__xludf.DUMMYFUNCTION("""COMPUTED_VALUE"""),28842.0)</f>
        <v>28842</v>
      </c>
      <c r="G57" s="6">
        <f>IFERROR(__xludf.DUMMYFUNCTION("""COMPUTED_VALUE"""),31726.0)</f>
        <v>31726</v>
      </c>
      <c r="H57" s="39">
        <f>IFERROR(__xludf.DUMMYFUNCTION("""COMPUTED_VALUE"""),0.0)</f>
        <v>0</v>
      </c>
      <c r="I57" s="6">
        <f>IFERROR(__xludf.DUMMYFUNCTION("""COMPUTED_VALUE"""),60.0)</f>
        <v>60</v>
      </c>
      <c r="J57" s="6">
        <f>IFERROR(__xludf.DUMMYFUNCTION("""COMPUTED_VALUE"""),60.0)</f>
        <v>60</v>
      </c>
      <c r="K57" s="59">
        <f>IFERROR(__xludf.DUMMYFUNCTION("""COMPUTED_VALUE"""),1730520.0)</f>
        <v>1730520</v>
      </c>
      <c r="L57" s="6">
        <f>IFERROR(__xludf.DUMMYFUNCTION("""COMPUTED_VALUE"""),1903560.0)</f>
        <v>1903560</v>
      </c>
      <c r="M57" s="6">
        <f>IFERROR(__xludf.DUMMYFUNCTION("""COMPUTED_VALUE"""),33.75)</f>
        <v>33.75</v>
      </c>
      <c r="N57" s="6">
        <f>IFERROR(__xludf.DUMMYFUNCTION("""COMPUTED_VALUE"""),29.89)</f>
        <v>29.89</v>
      </c>
      <c r="O57" s="6">
        <f>IFERROR(__xludf.DUMMYFUNCTION("""COMPUTED_VALUE"""),973417.5)</f>
        <v>973417.5</v>
      </c>
      <c r="P57" s="6">
        <f>IFERROR(__xludf.DUMMYFUNCTION("""COMPUTED_VALUE"""),948290.14)</f>
        <v>948290.14</v>
      </c>
    </row>
    <row r="58" ht="15.75" customHeight="1">
      <c r="A58" s="6" t="str">
        <f>IFERROR(__xludf.DUMMYFUNCTION("""COMPUTED_VALUE"""),"Month2")</f>
        <v>Month2</v>
      </c>
      <c r="B58" s="6" t="str">
        <f>IFERROR(__xludf.DUMMYFUNCTION("""COMPUTED_VALUE"""),"February")</f>
        <v>February</v>
      </c>
      <c r="C58" s="6" t="str">
        <f>IFERROR(__xludf.DUMMYFUNCTION("""COMPUTED_VALUE"""),"North")</f>
        <v>North</v>
      </c>
      <c r="D58" s="6" t="str">
        <f>IFERROR(__xludf.DUMMYFUNCTION("""COMPUTED_VALUE"""),"Dehradun")</f>
        <v>Dehradun</v>
      </c>
      <c r="E58" s="6" t="str">
        <f>IFERROR(__xludf.DUMMYFUNCTION("""COMPUTED_VALUE"""),"ZestVita")</f>
        <v>ZestVita</v>
      </c>
      <c r="F58" s="6">
        <f>IFERROR(__xludf.DUMMYFUNCTION("""COMPUTED_VALUE"""),21865.0)</f>
        <v>21865</v>
      </c>
      <c r="G58" s="6">
        <f>IFERROR(__xludf.DUMMYFUNCTION("""COMPUTED_VALUE"""),23614.0)</f>
        <v>23614</v>
      </c>
      <c r="H58" s="39">
        <f>IFERROR(__xludf.DUMMYFUNCTION("""COMPUTED_VALUE"""),0.125)</f>
        <v>0.125</v>
      </c>
      <c r="I58" s="6">
        <f>IFERROR(__xludf.DUMMYFUNCTION("""COMPUTED_VALUE"""),135.0)</f>
        <v>135</v>
      </c>
      <c r="J58" s="6">
        <f>IFERROR(__xludf.DUMMYFUNCTION("""COMPUTED_VALUE"""),118.125)</f>
        <v>118.125</v>
      </c>
      <c r="K58" s="59">
        <f>IFERROR(__xludf.DUMMYFUNCTION("""COMPUTED_VALUE"""),2582803.125)</f>
        <v>2582803.125</v>
      </c>
      <c r="L58" s="6">
        <f>IFERROR(__xludf.DUMMYFUNCTION("""COMPUTED_VALUE"""),3187890.0)</f>
        <v>3187890</v>
      </c>
      <c r="M58" s="6">
        <f>IFERROR(__xludf.DUMMYFUNCTION("""COMPUTED_VALUE"""),74.03)</f>
        <v>74.03</v>
      </c>
      <c r="N58" s="6">
        <f>IFERROR(__xludf.DUMMYFUNCTION("""COMPUTED_VALUE"""),73.16)</f>
        <v>73.16</v>
      </c>
      <c r="O58" s="6">
        <f>IFERROR(__xludf.DUMMYFUNCTION("""COMPUTED_VALUE"""),1618665.95)</f>
        <v>1618665.95</v>
      </c>
      <c r="P58" s="6">
        <f>IFERROR(__xludf.DUMMYFUNCTION("""COMPUTED_VALUE"""),1727600.24)</f>
        <v>1727600.24</v>
      </c>
    </row>
    <row r="59" ht="15.75" customHeight="1">
      <c r="A59" s="6" t="str">
        <f>IFERROR(__xludf.DUMMYFUNCTION("""COMPUTED_VALUE"""),"Month2")</f>
        <v>Month2</v>
      </c>
      <c r="B59" s="6" t="str">
        <f>IFERROR(__xludf.DUMMYFUNCTION("""COMPUTED_VALUE"""),"February")</f>
        <v>February</v>
      </c>
      <c r="C59" s="6" t="str">
        <f>IFERROR(__xludf.DUMMYFUNCTION("""COMPUTED_VALUE"""),"North")</f>
        <v>North</v>
      </c>
      <c r="D59" s="6" t="str">
        <f>IFERROR(__xludf.DUMMYFUNCTION("""COMPUTED_VALUE"""),"Dehradun")</f>
        <v>Dehradun</v>
      </c>
      <c r="E59" s="6" t="str">
        <f>IFERROR(__xludf.DUMMYFUNCTION("""COMPUTED_VALUE"""),"NutriKid")</f>
        <v>NutriKid</v>
      </c>
      <c r="F59" s="6">
        <f>IFERROR(__xludf.DUMMYFUNCTION("""COMPUTED_VALUE"""),13454.0)</f>
        <v>13454</v>
      </c>
      <c r="G59" s="6">
        <f>IFERROR(__xludf.DUMMYFUNCTION("""COMPUTED_VALUE"""),14530.0)</f>
        <v>14530</v>
      </c>
      <c r="H59" s="39">
        <f>IFERROR(__xludf.DUMMYFUNCTION("""COMPUTED_VALUE"""),0.125)</f>
        <v>0.125</v>
      </c>
      <c r="I59" s="6">
        <f>IFERROR(__xludf.DUMMYFUNCTION("""COMPUTED_VALUE"""),60.0)</f>
        <v>60</v>
      </c>
      <c r="J59" s="6">
        <f>IFERROR(__xludf.DUMMYFUNCTION("""COMPUTED_VALUE"""),52.5)</f>
        <v>52.5</v>
      </c>
      <c r="K59" s="59">
        <f>IFERROR(__xludf.DUMMYFUNCTION("""COMPUTED_VALUE"""),706335.0)</f>
        <v>706335</v>
      </c>
      <c r="L59" s="6">
        <f>IFERROR(__xludf.DUMMYFUNCTION("""COMPUTED_VALUE"""),871800.0)</f>
        <v>871800</v>
      </c>
      <c r="M59" s="6">
        <f>IFERROR(__xludf.DUMMYFUNCTION("""COMPUTED_VALUE"""),33.75)</f>
        <v>33.75</v>
      </c>
      <c r="N59" s="6">
        <f>IFERROR(__xludf.DUMMYFUNCTION("""COMPUTED_VALUE"""),29.89)</f>
        <v>29.89</v>
      </c>
      <c r="O59" s="6">
        <f>IFERROR(__xludf.DUMMYFUNCTION("""COMPUTED_VALUE"""),454072.5)</f>
        <v>454072.5</v>
      </c>
      <c r="P59" s="6">
        <f>IFERROR(__xludf.DUMMYFUNCTION("""COMPUTED_VALUE"""),434301.7)</f>
        <v>434301.7</v>
      </c>
    </row>
    <row r="60" ht="15.75" customHeight="1">
      <c r="A60" s="6" t="str">
        <f>IFERROR(__xludf.DUMMYFUNCTION("""COMPUTED_VALUE"""),"Month2")</f>
        <v>Month2</v>
      </c>
      <c r="B60" s="6" t="str">
        <f>IFERROR(__xludf.DUMMYFUNCTION("""COMPUTED_VALUE"""),"February")</f>
        <v>February</v>
      </c>
      <c r="C60" s="6" t="str">
        <f>IFERROR(__xludf.DUMMYFUNCTION("""COMPUTED_VALUE"""),"South")</f>
        <v>South</v>
      </c>
      <c r="D60" s="6" t="str">
        <f>IFERROR(__xludf.DUMMYFUNCTION("""COMPUTED_VALUE"""),"Kochi")</f>
        <v>Kochi</v>
      </c>
      <c r="E60" s="6" t="str">
        <f>IFERROR(__xludf.DUMMYFUNCTION("""COMPUTED_VALUE"""),"ZestVita")</f>
        <v>ZestVita</v>
      </c>
      <c r="F60" s="6">
        <f>IFERROR(__xludf.DUMMYFUNCTION("""COMPUTED_VALUE"""),24236.0)</f>
        <v>24236</v>
      </c>
      <c r="G60" s="6">
        <f>IFERROR(__xludf.DUMMYFUNCTION("""COMPUTED_VALUE"""),24721.0)</f>
        <v>24721</v>
      </c>
      <c r="H60" s="39">
        <f>IFERROR(__xludf.DUMMYFUNCTION("""COMPUTED_VALUE"""),0.1)</f>
        <v>0.1</v>
      </c>
      <c r="I60" s="6">
        <f>IFERROR(__xludf.DUMMYFUNCTION("""COMPUTED_VALUE"""),135.0)</f>
        <v>135</v>
      </c>
      <c r="J60" s="6">
        <f>IFERROR(__xludf.DUMMYFUNCTION("""COMPUTED_VALUE"""),121.5)</f>
        <v>121.5</v>
      </c>
      <c r="K60" s="59">
        <f>IFERROR(__xludf.DUMMYFUNCTION("""COMPUTED_VALUE"""),2944674.0)</f>
        <v>2944674</v>
      </c>
      <c r="L60" s="6">
        <f>IFERROR(__xludf.DUMMYFUNCTION("""COMPUTED_VALUE"""),3337335.0)</f>
        <v>3337335</v>
      </c>
      <c r="M60" s="6">
        <f>IFERROR(__xludf.DUMMYFUNCTION("""COMPUTED_VALUE"""),74.03)</f>
        <v>74.03</v>
      </c>
      <c r="N60" s="6">
        <f>IFERROR(__xludf.DUMMYFUNCTION("""COMPUTED_VALUE"""),73.16)</f>
        <v>73.16</v>
      </c>
      <c r="O60" s="6">
        <f>IFERROR(__xludf.DUMMYFUNCTION("""COMPUTED_VALUE"""),1794191.08)</f>
        <v>1794191.08</v>
      </c>
      <c r="P60" s="6">
        <f>IFERROR(__xludf.DUMMYFUNCTION("""COMPUTED_VALUE"""),1808588.3599999999)</f>
        <v>1808588.36</v>
      </c>
    </row>
    <row r="61" ht="15.75" customHeight="1">
      <c r="A61" s="6" t="str">
        <f>IFERROR(__xludf.DUMMYFUNCTION("""COMPUTED_VALUE"""),"Month2")</f>
        <v>Month2</v>
      </c>
      <c r="B61" s="6" t="str">
        <f>IFERROR(__xludf.DUMMYFUNCTION("""COMPUTED_VALUE"""),"February")</f>
        <v>February</v>
      </c>
      <c r="C61" s="6" t="str">
        <f>IFERROR(__xludf.DUMMYFUNCTION("""COMPUTED_VALUE"""),"South")</f>
        <v>South</v>
      </c>
      <c r="D61" s="6" t="str">
        <f>IFERROR(__xludf.DUMMYFUNCTION("""COMPUTED_VALUE"""),"Kochi")</f>
        <v>Kochi</v>
      </c>
      <c r="E61" s="6" t="str">
        <f>IFERROR(__xludf.DUMMYFUNCTION("""COMPUTED_VALUE"""),"NutriKid")</f>
        <v>NutriKid</v>
      </c>
      <c r="F61" s="6">
        <f>IFERROR(__xludf.DUMMYFUNCTION("""COMPUTED_VALUE"""),14406.0)</f>
        <v>14406</v>
      </c>
      <c r="G61" s="6">
        <f>IFERROR(__xludf.DUMMYFUNCTION("""COMPUTED_VALUE"""),15270.0)</f>
        <v>15270</v>
      </c>
      <c r="H61" s="39">
        <f>IFERROR(__xludf.DUMMYFUNCTION("""COMPUTED_VALUE"""),0.1)</f>
        <v>0.1</v>
      </c>
      <c r="I61" s="6">
        <f>IFERROR(__xludf.DUMMYFUNCTION("""COMPUTED_VALUE"""),60.0)</f>
        <v>60</v>
      </c>
      <c r="J61" s="6">
        <f>IFERROR(__xludf.DUMMYFUNCTION("""COMPUTED_VALUE"""),54.0)</f>
        <v>54</v>
      </c>
      <c r="K61" s="59">
        <f>IFERROR(__xludf.DUMMYFUNCTION("""COMPUTED_VALUE"""),777924.0)</f>
        <v>777924</v>
      </c>
      <c r="L61" s="6">
        <f>IFERROR(__xludf.DUMMYFUNCTION("""COMPUTED_VALUE"""),916200.0)</f>
        <v>916200</v>
      </c>
      <c r="M61" s="6">
        <f>IFERROR(__xludf.DUMMYFUNCTION("""COMPUTED_VALUE"""),33.75)</f>
        <v>33.75</v>
      </c>
      <c r="N61" s="6">
        <f>IFERROR(__xludf.DUMMYFUNCTION("""COMPUTED_VALUE"""),29.89)</f>
        <v>29.89</v>
      </c>
      <c r="O61" s="6">
        <f>IFERROR(__xludf.DUMMYFUNCTION("""COMPUTED_VALUE"""),486202.5)</f>
        <v>486202.5</v>
      </c>
      <c r="P61" s="6">
        <f>IFERROR(__xludf.DUMMYFUNCTION("""COMPUTED_VALUE"""),456420.3)</f>
        <v>456420.3</v>
      </c>
    </row>
    <row r="62" ht="15.75" customHeight="1">
      <c r="A62" s="6" t="str">
        <f>IFERROR(__xludf.DUMMYFUNCTION("""COMPUTED_VALUE"""),"Month2")</f>
        <v>Month2</v>
      </c>
      <c r="B62" s="6" t="str">
        <f>IFERROR(__xludf.DUMMYFUNCTION("""COMPUTED_VALUE"""),"February")</f>
        <v>February</v>
      </c>
      <c r="C62" s="6" t="str">
        <f>IFERROR(__xludf.DUMMYFUNCTION("""COMPUTED_VALUE"""),"West")</f>
        <v>West</v>
      </c>
      <c r="D62" s="6" t="str">
        <f>IFERROR(__xludf.DUMMYFUNCTION("""COMPUTED_VALUE"""),"Jaipur")</f>
        <v>Jaipur</v>
      </c>
      <c r="E62" s="6" t="str">
        <f>IFERROR(__xludf.DUMMYFUNCTION("""COMPUTED_VALUE"""),"ZestVita")</f>
        <v>ZestVita</v>
      </c>
      <c r="F62" s="6">
        <f>IFERROR(__xludf.DUMMYFUNCTION("""COMPUTED_VALUE"""),23105.0)</f>
        <v>23105</v>
      </c>
      <c r="G62" s="6">
        <f>IFERROR(__xludf.DUMMYFUNCTION("""COMPUTED_VALUE"""),28188.0)</f>
        <v>28188</v>
      </c>
      <c r="H62" s="39">
        <f>IFERROR(__xludf.DUMMYFUNCTION("""COMPUTED_VALUE"""),0.0)</f>
        <v>0</v>
      </c>
      <c r="I62" s="6">
        <f>IFERROR(__xludf.DUMMYFUNCTION("""COMPUTED_VALUE"""),135.0)</f>
        <v>135</v>
      </c>
      <c r="J62" s="6">
        <f>IFERROR(__xludf.DUMMYFUNCTION("""COMPUTED_VALUE"""),135.0)</f>
        <v>135</v>
      </c>
      <c r="K62" s="59">
        <f>IFERROR(__xludf.DUMMYFUNCTION("""COMPUTED_VALUE"""),3119175.0)</f>
        <v>3119175</v>
      </c>
      <c r="L62" s="6">
        <f>IFERROR(__xludf.DUMMYFUNCTION("""COMPUTED_VALUE"""),3805380.0)</f>
        <v>3805380</v>
      </c>
      <c r="M62" s="6">
        <f>IFERROR(__xludf.DUMMYFUNCTION("""COMPUTED_VALUE"""),74.03)</f>
        <v>74.03</v>
      </c>
      <c r="N62" s="6">
        <f>IFERROR(__xludf.DUMMYFUNCTION("""COMPUTED_VALUE"""),73.16)</f>
        <v>73.16</v>
      </c>
      <c r="O62" s="6">
        <f>IFERROR(__xludf.DUMMYFUNCTION("""COMPUTED_VALUE"""),1710463.1500000001)</f>
        <v>1710463.15</v>
      </c>
      <c r="P62" s="6">
        <f>IFERROR(__xludf.DUMMYFUNCTION("""COMPUTED_VALUE"""),2062234.0799999998)</f>
        <v>2062234.08</v>
      </c>
    </row>
    <row r="63" ht="15.75" customHeight="1">
      <c r="A63" s="6" t="str">
        <f>IFERROR(__xludf.DUMMYFUNCTION("""COMPUTED_VALUE"""),"Month2")</f>
        <v>Month2</v>
      </c>
      <c r="B63" s="6" t="str">
        <f>IFERROR(__xludf.DUMMYFUNCTION("""COMPUTED_VALUE"""),"February")</f>
        <v>February</v>
      </c>
      <c r="C63" s="6" t="str">
        <f>IFERROR(__xludf.DUMMYFUNCTION("""COMPUTED_VALUE"""),"West")</f>
        <v>West</v>
      </c>
      <c r="D63" s="6" t="str">
        <f>IFERROR(__xludf.DUMMYFUNCTION("""COMPUTED_VALUE"""),"Jaipur")</f>
        <v>Jaipur</v>
      </c>
      <c r="E63" s="6" t="str">
        <f>IFERROR(__xludf.DUMMYFUNCTION("""COMPUTED_VALUE"""),"NutriKid")</f>
        <v>NutriKid</v>
      </c>
      <c r="F63" s="6">
        <f>IFERROR(__xludf.DUMMYFUNCTION("""COMPUTED_VALUE"""),17683.0)</f>
        <v>17683</v>
      </c>
      <c r="G63" s="6">
        <f>IFERROR(__xludf.DUMMYFUNCTION("""COMPUTED_VALUE"""),21573.0)</f>
        <v>21573</v>
      </c>
      <c r="H63" s="39">
        <f>IFERROR(__xludf.DUMMYFUNCTION("""COMPUTED_VALUE"""),0.0)</f>
        <v>0</v>
      </c>
      <c r="I63" s="6">
        <f>IFERROR(__xludf.DUMMYFUNCTION("""COMPUTED_VALUE"""),60.0)</f>
        <v>60</v>
      </c>
      <c r="J63" s="6">
        <f>IFERROR(__xludf.DUMMYFUNCTION("""COMPUTED_VALUE"""),60.0)</f>
        <v>60</v>
      </c>
      <c r="K63" s="59">
        <f>IFERROR(__xludf.DUMMYFUNCTION("""COMPUTED_VALUE"""),1060980.0)</f>
        <v>1060980</v>
      </c>
      <c r="L63" s="6">
        <f>IFERROR(__xludf.DUMMYFUNCTION("""COMPUTED_VALUE"""),1294380.0)</f>
        <v>1294380</v>
      </c>
      <c r="M63" s="6">
        <f>IFERROR(__xludf.DUMMYFUNCTION("""COMPUTED_VALUE"""),33.75)</f>
        <v>33.75</v>
      </c>
      <c r="N63" s="6">
        <f>IFERROR(__xludf.DUMMYFUNCTION("""COMPUTED_VALUE"""),29.89)</f>
        <v>29.89</v>
      </c>
      <c r="O63" s="6">
        <f>IFERROR(__xludf.DUMMYFUNCTION("""COMPUTED_VALUE"""),596801.25)</f>
        <v>596801.25</v>
      </c>
      <c r="P63" s="6">
        <f>IFERROR(__xludf.DUMMYFUNCTION("""COMPUTED_VALUE"""),644816.97)</f>
        <v>644816.97</v>
      </c>
    </row>
    <row r="64" ht="15.75" customHeight="1">
      <c r="A64" s="6" t="str">
        <f>IFERROR(__xludf.DUMMYFUNCTION("""COMPUTED_VALUE"""),"Month2")</f>
        <v>Month2</v>
      </c>
      <c r="B64" s="6" t="str">
        <f>IFERROR(__xludf.DUMMYFUNCTION("""COMPUTED_VALUE"""),"February")</f>
        <v>February</v>
      </c>
      <c r="C64" s="6" t="str">
        <f>IFERROR(__xludf.DUMMYFUNCTION("""COMPUTED_VALUE"""),"East")</f>
        <v>East</v>
      </c>
      <c r="D64" s="6" t="str">
        <f>IFERROR(__xludf.DUMMYFUNCTION("""COMPUTED_VALUE"""),"Patna")</f>
        <v>Patna</v>
      </c>
      <c r="E64" s="6" t="str">
        <f>IFERROR(__xludf.DUMMYFUNCTION("""COMPUTED_VALUE"""),"ZestVita")</f>
        <v>ZestVita</v>
      </c>
      <c r="F64" s="6">
        <f>IFERROR(__xludf.DUMMYFUNCTION("""COMPUTED_VALUE"""),20260.0)</f>
        <v>20260</v>
      </c>
      <c r="G64" s="6">
        <f>IFERROR(__xludf.DUMMYFUNCTION("""COMPUTED_VALUE"""),23907.0)</f>
        <v>23907</v>
      </c>
      <c r="H64" s="39">
        <f>IFERROR(__xludf.DUMMYFUNCTION("""COMPUTED_VALUE"""),0.05)</f>
        <v>0.05</v>
      </c>
      <c r="I64" s="6">
        <f>IFERROR(__xludf.DUMMYFUNCTION("""COMPUTED_VALUE"""),135.0)</f>
        <v>135</v>
      </c>
      <c r="J64" s="6">
        <f>IFERROR(__xludf.DUMMYFUNCTION("""COMPUTED_VALUE"""),128.25)</f>
        <v>128.25</v>
      </c>
      <c r="K64" s="59">
        <f>IFERROR(__xludf.DUMMYFUNCTION("""COMPUTED_VALUE"""),2598345.0)</f>
        <v>2598345</v>
      </c>
      <c r="L64" s="6">
        <f>IFERROR(__xludf.DUMMYFUNCTION("""COMPUTED_VALUE"""),3227445.0)</f>
        <v>3227445</v>
      </c>
      <c r="M64" s="6">
        <f>IFERROR(__xludf.DUMMYFUNCTION("""COMPUTED_VALUE"""),74.03)</f>
        <v>74.03</v>
      </c>
      <c r="N64" s="6">
        <f>IFERROR(__xludf.DUMMYFUNCTION("""COMPUTED_VALUE"""),73.16)</f>
        <v>73.16</v>
      </c>
      <c r="O64" s="6">
        <f>IFERROR(__xludf.DUMMYFUNCTION("""COMPUTED_VALUE"""),1499847.8)</f>
        <v>1499847.8</v>
      </c>
      <c r="P64" s="6">
        <f>IFERROR(__xludf.DUMMYFUNCTION("""COMPUTED_VALUE"""),1749036.1199999999)</f>
        <v>1749036.12</v>
      </c>
    </row>
    <row r="65" ht="15.75" customHeight="1">
      <c r="A65" s="6" t="str">
        <f>IFERROR(__xludf.DUMMYFUNCTION("""COMPUTED_VALUE"""),"Month2")</f>
        <v>Month2</v>
      </c>
      <c r="B65" s="6" t="str">
        <f>IFERROR(__xludf.DUMMYFUNCTION("""COMPUTED_VALUE"""),"February")</f>
        <v>February</v>
      </c>
      <c r="C65" s="6" t="str">
        <f>IFERROR(__xludf.DUMMYFUNCTION("""COMPUTED_VALUE"""),"East")</f>
        <v>East</v>
      </c>
      <c r="D65" s="6" t="str">
        <f>IFERROR(__xludf.DUMMYFUNCTION("""COMPUTED_VALUE"""),"Patna")</f>
        <v>Patna</v>
      </c>
      <c r="E65" s="6" t="str">
        <f>IFERROR(__xludf.DUMMYFUNCTION("""COMPUTED_VALUE"""),"NutriKid")</f>
        <v>NutriKid</v>
      </c>
      <c r="F65" s="6">
        <f>IFERROR(__xludf.DUMMYFUNCTION("""COMPUTED_VALUE"""),26296.0)</f>
        <v>26296</v>
      </c>
      <c r="G65" s="6">
        <f>IFERROR(__xludf.DUMMYFUNCTION("""COMPUTED_VALUE"""),32607.0)</f>
        <v>32607</v>
      </c>
      <c r="H65" s="39">
        <f>IFERROR(__xludf.DUMMYFUNCTION("""COMPUTED_VALUE"""),0.05)</f>
        <v>0.05</v>
      </c>
      <c r="I65" s="6">
        <f>IFERROR(__xludf.DUMMYFUNCTION("""COMPUTED_VALUE"""),60.0)</f>
        <v>60</v>
      </c>
      <c r="J65" s="6">
        <f>IFERROR(__xludf.DUMMYFUNCTION("""COMPUTED_VALUE"""),57.0)</f>
        <v>57</v>
      </c>
      <c r="K65" s="59">
        <f>IFERROR(__xludf.DUMMYFUNCTION("""COMPUTED_VALUE"""),1498872.0)</f>
        <v>1498872</v>
      </c>
      <c r="L65" s="6">
        <f>IFERROR(__xludf.DUMMYFUNCTION("""COMPUTED_VALUE"""),1956420.0)</f>
        <v>1956420</v>
      </c>
      <c r="M65" s="6">
        <f>IFERROR(__xludf.DUMMYFUNCTION("""COMPUTED_VALUE"""),33.75)</f>
        <v>33.75</v>
      </c>
      <c r="N65" s="6">
        <f>IFERROR(__xludf.DUMMYFUNCTION("""COMPUTED_VALUE"""),29.89)</f>
        <v>29.89</v>
      </c>
      <c r="O65" s="6">
        <f>IFERROR(__xludf.DUMMYFUNCTION("""COMPUTED_VALUE"""),887490.0)</f>
        <v>887490</v>
      </c>
      <c r="P65" s="6">
        <f>IFERROR(__xludf.DUMMYFUNCTION("""COMPUTED_VALUE"""),974623.23)</f>
        <v>974623.23</v>
      </c>
    </row>
    <row r="66" ht="15.75" customHeight="1">
      <c r="A66" s="6" t="str">
        <f>IFERROR(__xludf.DUMMYFUNCTION("""COMPUTED_VALUE"""),"Month3")</f>
        <v>Month3</v>
      </c>
      <c r="B66" s="6" t="str">
        <f>IFERROR(__xludf.DUMMYFUNCTION("""COMPUTED_VALUE"""),"March")</f>
        <v>March</v>
      </c>
      <c r="C66" s="6" t="str">
        <f>IFERROR(__xludf.DUMMYFUNCTION("""COMPUTED_VALUE"""),"North")</f>
        <v>North</v>
      </c>
      <c r="D66" s="6" t="str">
        <f>IFERROR(__xludf.DUMMYFUNCTION("""COMPUTED_VALUE"""),"Delhi")</f>
        <v>Delhi</v>
      </c>
      <c r="E66" s="6" t="str">
        <f>IFERROR(__xludf.DUMMYFUNCTION("""COMPUTED_VALUE"""),"ZestVita")</f>
        <v>ZestVita</v>
      </c>
      <c r="F66" s="6">
        <f>IFERROR(__xludf.DUMMYFUNCTION("""COMPUTED_VALUE"""),28430.0)</f>
        <v>28430</v>
      </c>
      <c r="G66" s="6">
        <f>IFERROR(__xludf.DUMMYFUNCTION("""COMPUTED_VALUE"""),33832.0)</f>
        <v>33832</v>
      </c>
      <c r="H66" s="39">
        <f>IFERROR(__xludf.DUMMYFUNCTION("""COMPUTED_VALUE"""),0.0)</f>
        <v>0</v>
      </c>
      <c r="I66" s="6">
        <f>IFERROR(__xludf.DUMMYFUNCTION("""COMPUTED_VALUE"""),135.0)</f>
        <v>135</v>
      </c>
      <c r="J66" s="6">
        <f>IFERROR(__xludf.DUMMYFUNCTION("""COMPUTED_VALUE"""),135.0)</f>
        <v>135</v>
      </c>
      <c r="K66" s="59">
        <f>IFERROR(__xludf.DUMMYFUNCTION("""COMPUTED_VALUE"""),3838050.0)</f>
        <v>3838050</v>
      </c>
      <c r="L66" s="6">
        <f>IFERROR(__xludf.DUMMYFUNCTION("""COMPUTED_VALUE"""),4567320.0)</f>
        <v>4567320</v>
      </c>
      <c r="M66" s="6">
        <f>IFERROR(__xludf.DUMMYFUNCTION("""COMPUTED_VALUE"""),74.03)</f>
        <v>74.03</v>
      </c>
      <c r="N66" s="6">
        <f>IFERROR(__xludf.DUMMYFUNCTION("""COMPUTED_VALUE"""),73.16)</f>
        <v>73.16</v>
      </c>
      <c r="O66" s="6">
        <f>IFERROR(__xludf.DUMMYFUNCTION("""COMPUTED_VALUE"""),2104672.9)</f>
        <v>2104672.9</v>
      </c>
      <c r="P66" s="6">
        <f>IFERROR(__xludf.DUMMYFUNCTION("""COMPUTED_VALUE"""),2475149.12)</f>
        <v>2475149.12</v>
      </c>
    </row>
    <row r="67" ht="15.75" customHeight="1">
      <c r="A67" s="6" t="str">
        <f>IFERROR(__xludf.DUMMYFUNCTION("""COMPUTED_VALUE"""),"Month3")</f>
        <v>Month3</v>
      </c>
      <c r="B67" s="6" t="str">
        <f>IFERROR(__xludf.DUMMYFUNCTION("""COMPUTED_VALUE"""),"March")</f>
        <v>March</v>
      </c>
      <c r="C67" s="6" t="str">
        <f>IFERROR(__xludf.DUMMYFUNCTION("""COMPUTED_VALUE"""),"North")</f>
        <v>North</v>
      </c>
      <c r="D67" s="6" t="str">
        <f>IFERROR(__xludf.DUMMYFUNCTION("""COMPUTED_VALUE"""),"Delhi")</f>
        <v>Delhi</v>
      </c>
      <c r="E67" s="6" t="str">
        <f>IFERROR(__xludf.DUMMYFUNCTION("""COMPUTED_VALUE"""),"NutriKid")</f>
        <v>NutriKid</v>
      </c>
      <c r="F67" s="6">
        <f>IFERROR(__xludf.DUMMYFUNCTION("""COMPUTED_VALUE"""),22212.0)</f>
        <v>22212</v>
      </c>
      <c r="G67" s="6">
        <f>IFERROR(__xludf.DUMMYFUNCTION("""COMPUTED_VALUE"""),25988.0)</f>
        <v>25988</v>
      </c>
      <c r="H67" s="39">
        <f>IFERROR(__xludf.DUMMYFUNCTION("""COMPUTED_VALUE"""),0.0)</f>
        <v>0</v>
      </c>
      <c r="I67" s="6">
        <f>IFERROR(__xludf.DUMMYFUNCTION("""COMPUTED_VALUE"""),60.0)</f>
        <v>60</v>
      </c>
      <c r="J67" s="6">
        <f>IFERROR(__xludf.DUMMYFUNCTION("""COMPUTED_VALUE"""),60.0)</f>
        <v>60</v>
      </c>
      <c r="K67" s="59">
        <f>IFERROR(__xludf.DUMMYFUNCTION("""COMPUTED_VALUE"""),1332720.0)</f>
        <v>1332720</v>
      </c>
      <c r="L67" s="6">
        <f>IFERROR(__xludf.DUMMYFUNCTION("""COMPUTED_VALUE"""),1559280.0)</f>
        <v>1559280</v>
      </c>
      <c r="M67" s="6">
        <f>IFERROR(__xludf.DUMMYFUNCTION("""COMPUTED_VALUE"""),33.75)</f>
        <v>33.75</v>
      </c>
      <c r="N67" s="6">
        <f>IFERROR(__xludf.DUMMYFUNCTION("""COMPUTED_VALUE"""),29.89)</f>
        <v>29.89</v>
      </c>
      <c r="O67" s="6">
        <f>IFERROR(__xludf.DUMMYFUNCTION("""COMPUTED_VALUE"""),749655.0)</f>
        <v>749655</v>
      </c>
      <c r="P67" s="6">
        <f>IFERROR(__xludf.DUMMYFUNCTION("""COMPUTED_VALUE"""),776781.3200000001)</f>
        <v>776781.32</v>
      </c>
    </row>
    <row r="68" ht="15.75" customHeight="1">
      <c r="A68" s="6" t="str">
        <f>IFERROR(__xludf.DUMMYFUNCTION("""COMPUTED_VALUE"""),"Month3")</f>
        <v>Month3</v>
      </c>
      <c r="B68" s="6" t="str">
        <f>IFERROR(__xludf.DUMMYFUNCTION("""COMPUTED_VALUE"""),"March")</f>
        <v>March</v>
      </c>
      <c r="C68" s="6" t="str">
        <f>IFERROR(__xludf.DUMMYFUNCTION("""COMPUTED_VALUE"""),"East")</f>
        <v>East</v>
      </c>
      <c r="D68" s="6" t="str">
        <f>IFERROR(__xludf.DUMMYFUNCTION("""COMPUTED_VALUE"""),"Kolkata")</f>
        <v>Kolkata</v>
      </c>
      <c r="E68" s="6" t="str">
        <f>IFERROR(__xludf.DUMMYFUNCTION("""COMPUTED_VALUE"""),"ZestVita")</f>
        <v>ZestVita</v>
      </c>
      <c r="F68" s="6">
        <f>IFERROR(__xludf.DUMMYFUNCTION("""COMPUTED_VALUE"""),15565.0)</f>
        <v>15565</v>
      </c>
      <c r="G68" s="6">
        <f>IFERROR(__xludf.DUMMYFUNCTION("""COMPUTED_VALUE"""),17900.0)</f>
        <v>17900</v>
      </c>
      <c r="H68" s="39">
        <f>IFERROR(__xludf.DUMMYFUNCTION("""COMPUTED_VALUE"""),0.0)</f>
        <v>0</v>
      </c>
      <c r="I68" s="6">
        <f>IFERROR(__xludf.DUMMYFUNCTION("""COMPUTED_VALUE"""),135.0)</f>
        <v>135</v>
      </c>
      <c r="J68" s="6">
        <f>IFERROR(__xludf.DUMMYFUNCTION("""COMPUTED_VALUE"""),135.0)</f>
        <v>135</v>
      </c>
      <c r="K68" s="59">
        <f>IFERROR(__xludf.DUMMYFUNCTION("""COMPUTED_VALUE"""),2101275.0)</f>
        <v>2101275</v>
      </c>
      <c r="L68" s="6">
        <f>IFERROR(__xludf.DUMMYFUNCTION("""COMPUTED_VALUE"""),2416500.0)</f>
        <v>2416500</v>
      </c>
      <c r="M68" s="6">
        <f>IFERROR(__xludf.DUMMYFUNCTION("""COMPUTED_VALUE"""),74.03)</f>
        <v>74.03</v>
      </c>
      <c r="N68" s="6">
        <f>IFERROR(__xludf.DUMMYFUNCTION("""COMPUTED_VALUE"""),73.16)</f>
        <v>73.16</v>
      </c>
      <c r="O68" s="6">
        <f>IFERROR(__xludf.DUMMYFUNCTION("""COMPUTED_VALUE"""),1152276.95)</f>
        <v>1152276.95</v>
      </c>
      <c r="P68" s="6">
        <f>IFERROR(__xludf.DUMMYFUNCTION("""COMPUTED_VALUE"""),1309564.0)</f>
        <v>1309564</v>
      </c>
    </row>
    <row r="69" ht="15.75" customHeight="1">
      <c r="A69" s="6" t="str">
        <f>IFERROR(__xludf.DUMMYFUNCTION("""COMPUTED_VALUE"""),"Month3")</f>
        <v>Month3</v>
      </c>
      <c r="B69" s="6" t="str">
        <f>IFERROR(__xludf.DUMMYFUNCTION("""COMPUTED_VALUE"""),"March")</f>
        <v>March</v>
      </c>
      <c r="C69" s="6" t="str">
        <f>IFERROR(__xludf.DUMMYFUNCTION("""COMPUTED_VALUE"""),"East")</f>
        <v>East</v>
      </c>
      <c r="D69" s="6" t="str">
        <f>IFERROR(__xludf.DUMMYFUNCTION("""COMPUTED_VALUE"""),"Kolkata")</f>
        <v>Kolkata</v>
      </c>
      <c r="E69" s="6" t="str">
        <f>IFERROR(__xludf.DUMMYFUNCTION("""COMPUTED_VALUE"""),"NutriKid")</f>
        <v>NutriKid</v>
      </c>
      <c r="F69" s="6">
        <f>IFERROR(__xludf.DUMMYFUNCTION("""COMPUTED_VALUE"""),29813.0)</f>
        <v>29813</v>
      </c>
      <c r="G69" s="6">
        <f>IFERROR(__xludf.DUMMYFUNCTION("""COMPUTED_VALUE"""),34285.0)</f>
        <v>34285</v>
      </c>
      <c r="H69" s="39">
        <f>IFERROR(__xludf.DUMMYFUNCTION("""COMPUTED_VALUE"""),0.0)</f>
        <v>0</v>
      </c>
      <c r="I69" s="6">
        <f>IFERROR(__xludf.DUMMYFUNCTION("""COMPUTED_VALUE"""),60.0)</f>
        <v>60</v>
      </c>
      <c r="J69" s="6">
        <f>IFERROR(__xludf.DUMMYFUNCTION("""COMPUTED_VALUE"""),60.0)</f>
        <v>60</v>
      </c>
      <c r="K69" s="59">
        <f>IFERROR(__xludf.DUMMYFUNCTION("""COMPUTED_VALUE"""),1788780.0)</f>
        <v>1788780</v>
      </c>
      <c r="L69" s="6">
        <f>IFERROR(__xludf.DUMMYFUNCTION("""COMPUTED_VALUE"""),2057100.0)</f>
        <v>2057100</v>
      </c>
      <c r="M69" s="6">
        <f>IFERROR(__xludf.DUMMYFUNCTION("""COMPUTED_VALUE"""),33.75)</f>
        <v>33.75</v>
      </c>
      <c r="N69" s="6">
        <f>IFERROR(__xludf.DUMMYFUNCTION("""COMPUTED_VALUE"""),29.89)</f>
        <v>29.89</v>
      </c>
      <c r="O69" s="6">
        <f>IFERROR(__xludf.DUMMYFUNCTION("""COMPUTED_VALUE"""),1006188.75)</f>
        <v>1006188.75</v>
      </c>
      <c r="P69" s="6">
        <f>IFERROR(__xludf.DUMMYFUNCTION("""COMPUTED_VALUE"""),1024778.65)</f>
        <v>1024778.65</v>
      </c>
    </row>
    <row r="70" ht="15.75" customHeight="1">
      <c r="A70" s="6" t="str">
        <f>IFERROR(__xludf.DUMMYFUNCTION("""COMPUTED_VALUE"""),"Month3")</f>
        <v>Month3</v>
      </c>
      <c r="B70" s="6" t="str">
        <f>IFERROR(__xludf.DUMMYFUNCTION("""COMPUTED_VALUE"""),"March")</f>
        <v>March</v>
      </c>
      <c r="C70" s="6" t="str">
        <f>IFERROR(__xludf.DUMMYFUNCTION("""COMPUTED_VALUE"""),"West")</f>
        <v>West</v>
      </c>
      <c r="D70" s="6" t="str">
        <f>IFERROR(__xludf.DUMMYFUNCTION("""COMPUTED_VALUE"""),"Pune")</f>
        <v>Pune</v>
      </c>
      <c r="E70" s="6" t="str">
        <f>IFERROR(__xludf.DUMMYFUNCTION("""COMPUTED_VALUE"""),"ZestVita")</f>
        <v>ZestVita</v>
      </c>
      <c r="F70" s="6">
        <f>IFERROR(__xludf.DUMMYFUNCTION("""COMPUTED_VALUE"""),18789.0)</f>
        <v>18789</v>
      </c>
      <c r="G70" s="6">
        <f>IFERROR(__xludf.DUMMYFUNCTION("""COMPUTED_VALUE"""),23110.0)</f>
        <v>23110</v>
      </c>
      <c r="H70" s="39">
        <f>IFERROR(__xludf.DUMMYFUNCTION("""COMPUTED_VALUE"""),0.0)</f>
        <v>0</v>
      </c>
      <c r="I70" s="6">
        <f>IFERROR(__xludf.DUMMYFUNCTION("""COMPUTED_VALUE"""),135.0)</f>
        <v>135</v>
      </c>
      <c r="J70" s="6">
        <f>IFERROR(__xludf.DUMMYFUNCTION("""COMPUTED_VALUE"""),135.0)</f>
        <v>135</v>
      </c>
      <c r="K70" s="59">
        <f>IFERROR(__xludf.DUMMYFUNCTION("""COMPUTED_VALUE"""),2536515.0)</f>
        <v>2536515</v>
      </c>
      <c r="L70" s="6">
        <f>IFERROR(__xludf.DUMMYFUNCTION("""COMPUTED_VALUE"""),3119850.0)</f>
        <v>3119850</v>
      </c>
      <c r="M70" s="6">
        <f>IFERROR(__xludf.DUMMYFUNCTION("""COMPUTED_VALUE"""),74.03)</f>
        <v>74.03</v>
      </c>
      <c r="N70" s="6">
        <f>IFERROR(__xludf.DUMMYFUNCTION("""COMPUTED_VALUE"""),73.16)</f>
        <v>73.16</v>
      </c>
      <c r="O70" s="6">
        <f>IFERROR(__xludf.DUMMYFUNCTION("""COMPUTED_VALUE"""),1390949.67)</f>
        <v>1390949.67</v>
      </c>
      <c r="P70" s="6">
        <f>IFERROR(__xludf.DUMMYFUNCTION("""COMPUTED_VALUE"""),1690727.5999999999)</f>
        <v>1690727.6</v>
      </c>
    </row>
    <row r="71" ht="15.75" customHeight="1">
      <c r="A71" s="6" t="str">
        <f>IFERROR(__xludf.DUMMYFUNCTION("""COMPUTED_VALUE"""),"Month3")</f>
        <v>Month3</v>
      </c>
      <c r="B71" s="6" t="str">
        <f>IFERROR(__xludf.DUMMYFUNCTION("""COMPUTED_VALUE"""),"March")</f>
        <v>March</v>
      </c>
      <c r="C71" s="6" t="str">
        <f>IFERROR(__xludf.DUMMYFUNCTION("""COMPUTED_VALUE"""),"West")</f>
        <v>West</v>
      </c>
      <c r="D71" s="6" t="str">
        <f>IFERROR(__xludf.DUMMYFUNCTION("""COMPUTED_VALUE"""),"Pune")</f>
        <v>Pune</v>
      </c>
      <c r="E71" s="6" t="str">
        <f>IFERROR(__xludf.DUMMYFUNCTION("""COMPUTED_VALUE"""),"NutriKid")</f>
        <v>NutriKid</v>
      </c>
      <c r="F71" s="6">
        <f>IFERROR(__xludf.DUMMYFUNCTION("""COMPUTED_VALUE"""),21999.0)</f>
        <v>21999</v>
      </c>
      <c r="G71" s="6">
        <f>IFERROR(__xludf.DUMMYFUNCTION("""COMPUTED_VALUE"""),24199.0)</f>
        <v>24199</v>
      </c>
      <c r="H71" s="39">
        <f>IFERROR(__xludf.DUMMYFUNCTION("""COMPUTED_VALUE"""),0.0)</f>
        <v>0</v>
      </c>
      <c r="I71" s="6">
        <f>IFERROR(__xludf.DUMMYFUNCTION("""COMPUTED_VALUE"""),60.0)</f>
        <v>60</v>
      </c>
      <c r="J71" s="6">
        <f>IFERROR(__xludf.DUMMYFUNCTION("""COMPUTED_VALUE"""),60.0)</f>
        <v>60</v>
      </c>
      <c r="K71" s="59">
        <f>IFERROR(__xludf.DUMMYFUNCTION("""COMPUTED_VALUE"""),1319940.0)</f>
        <v>1319940</v>
      </c>
      <c r="L71" s="6">
        <f>IFERROR(__xludf.DUMMYFUNCTION("""COMPUTED_VALUE"""),1451940.0)</f>
        <v>1451940</v>
      </c>
      <c r="M71" s="6">
        <f>IFERROR(__xludf.DUMMYFUNCTION("""COMPUTED_VALUE"""),33.75)</f>
        <v>33.75</v>
      </c>
      <c r="N71" s="6">
        <f>IFERROR(__xludf.DUMMYFUNCTION("""COMPUTED_VALUE"""),29.89)</f>
        <v>29.89</v>
      </c>
      <c r="O71" s="6">
        <f>IFERROR(__xludf.DUMMYFUNCTION("""COMPUTED_VALUE"""),742466.25)</f>
        <v>742466.25</v>
      </c>
      <c r="P71" s="6">
        <f>IFERROR(__xludf.DUMMYFUNCTION("""COMPUTED_VALUE"""),723308.11)</f>
        <v>723308.11</v>
      </c>
    </row>
    <row r="72" ht="15.75" customHeight="1">
      <c r="A72" s="6" t="str">
        <f>IFERROR(__xludf.DUMMYFUNCTION("""COMPUTED_VALUE"""),"Month3")</f>
        <v>Month3</v>
      </c>
      <c r="B72" s="6" t="str">
        <f>IFERROR(__xludf.DUMMYFUNCTION("""COMPUTED_VALUE"""),"March")</f>
        <v>March</v>
      </c>
      <c r="C72" s="6" t="str">
        <f>IFERROR(__xludf.DUMMYFUNCTION("""COMPUTED_VALUE"""),"South")</f>
        <v>South</v>
      </c>
      <c r="D72" s="6" t="str">
        <f>IFERROR(__xludf.DUMMYFUNCTION("""COMPUTED_VALUE"""),"Bengaluru")</f>
        <v>Bengaluru</v>
      </c>
      <c r="E72" s="6" t="str">
        <f>IFERROR(__xludf.DUMMYFUNCTION("""COMPUTED_VALUE"""),"ZestVita")</f>
        <v>ZestVita</v>
      </c>
      <c r="F72" s="6">
        <f>IFERROR(__xludf.DUMMYFUNCTION("""COMPUTED_VALUE"""),34569.0)</f>
        <v>34569</v>
      </c>
      <c r="G72" s="6">
        <f>IFERROR(__xludf.DUMMYFUNCTION("""COMPUTED_VALUE"""),41483.0)</f>
        <v>41483</v>
      </c>
      <c r="H72" s="39">
        <f>IFERROR(__xludf.DUMMYFUNCTION("""COMPUTED_VALUE"""),0.0)</f>
        <v>0</v>
      </c>
      <c r="I72" s="6">
        <f>IFERROR(__xludf.DUMMYFUNCTION("""COMPUTED_VALUE"""),135.0)</f>
        <v>135</v>
      </c>
      <c r="J72" s="6">
        <f>IFERROR(__xludf.DUMMYFUNCTION("""COMPUTED_VALUE"""),135.0)</f>
        <v>135</v>
      </c>
      <c r="K72" s="59">
        <f>IFERROR(__xludf.DUMMYFUNCTION("""COMPUTED_VALUE"""),4666815.0)</f>
        <v>4666815</v>
      </c>
      <c r="L72" s="6">
        <f>IFERROR(__xludf.DUMMYFUNCTION("""COMPUTED_VALUE"""),5600205.0)</f>
        <v>5600205</v>
      </c>
      <c r="M72" s="6">
        <f>IFERROR(__xludf.DUMMYFUNCTION("""COMPUTED_VALUE"""),74.03)</f>
        <v>74.03</v>
      </c>
      <c r="N72" s="6">
        <f>IFERROR(__xludf.DUMMYFUNCTION("""COMPUTED_VALUE"""),73.16)</f>
        <v>73.16</v>
      </c>
      <c r="O72" s="6">
        <f>IFERROR(__xludf.DUMMYFUNCTION("""COMPUTED_VALUE"""),2559143.07)</f>
        <v>2559143.07</v>
      </c>
      <c r="P72" s="6">
        <f>IFERROR(__xludf.DUMMYFUNCTION("""COMPUTED_VALUE"""),3034896.28)</f>
        <v>3034896.28</v>
      </c>
    </row>
    <row r="73" ht="15.75" customHeight="1">
      <c r="A73" s="6" t="str">
        <f>IFERROR(__xludf.DUMMYFUNCTION("""COMPUTED_VALUE"""),"Month3")</f>
        <v>Month3</v>
      </c>
      <c r="B73" s="6" t="str">
        <f>IFERROR(__xludf.DUMMYFUNCTION("""COMPUTED_VALUE"""),"March")</f>
        <v>March</v>
      </c>
      <c r="C73" s="6" t="str">
        <f>IFERROR(__xludf.DUMMYFUNCTION("""COMPUTED_VALUE"""),"South")</f>
        <v>South</v>
      </c>
      <c r="D73" s="6" t="str">
        <f>IFERROR(__xludf.DUMMYFUNCTION("""COMPUTED_VALUE"""),"Bengaluru")</f>
        <v>Bengaluru</v>
      </c>
      <c r="E73" s="6" t="str">
        <f>IFERROR(__xludf.DUMMYFUNCTION("""COMPUTED_VALUE"""),"NutriKid")</f>
        <v>NutriKid</v>
      </c>
      <c r="F73" s="6">
        <f>IFERROR(__xludf.DUMMYFUNCTION("""COMPUTED_VALUE"""),18435.0)</f>
        <v>18435</v>
      </c>
      <c r="G73" s="6">
        <f>IFERROR(__xludf.DUMMYFUNCTION("""COMPUTED_VALUE"""),22306.0)</f>
        <v>22306</v>
      </c>
      <c r="H73" s="39">
        <f>IFERROR(__xludf.DUMMYFUNCTION("""COMPUTED_VALUE"""),0.0)</f>
        <v>0</v>
      </c>
      <c r="I73" s="6">
        <f>IFERROR(__xludf.DUMMYFUNCTION("""COMPUTED_VALUE"""),60.0)</f>
        <v>60</v>
      </c>
      <c r="J73" s="6">
        <f>IFERROR(__xludf.DUMMYFUNCTION("""COMPUTED_VALUE"""),60.0)</f>
        <v>60</v>
      </c>
      <c r="K73" s="59">
        <f>IFERROR(__xludf.DUMMYFUNCTION("""COMPUTED_VALUE"""),1106100.0)</f>
        <v>1106100</v>
      </c>
      <c r="L73" s="6">
        <f>IFERROR(__xludf.DUMMYFUNCTION("""COMPUTED_VALUE"""),1338360.0)</f>
        <v>1338360</v>
      </c>
      <c r="M73" s="6">
        <f>IFERROR(__xludf.DUMMYFUNCTION("""COMPUTED_VALUE"""),33.75)</f>
        <v>33.75</v>
      </c>
      <c r="N73" s="6">
        <f>IFERROR(__xludf.DUMMYFUNCTION("""COMPUTED_VALUE"""),29.89)</f>
        <v>29.89</v>
      </c>
      <c r="O73" s="6">
        <f>IFERROR(__xludf.DUMMYFUNCTION("""COMPUTED_VALUE"""),622181.25)</f>
        <v>622181.25</v>
      </c>
      <c r="P73" s="6">
        <f>IFERROR(__xludf.DUMMYFUNCTION("""COMPUTED_VALUE"""),666726.34)</f>
        <v>666726.34</v>
      </c>
    </row>
    <row r="74" ht="15.75" customHeight="1">
      <c r="A74" s="6" t="str">
        <f>IFERROR(__xludf.DUMMYFUNCTION("""COMPUTED_VALUE"""),"Month3")</f>
        <v>Month3</v>
      </c>
      <c r="B74" s="6" t="str">
        <f>IFERROR(__xludf.DUMMYFUNCTION("""COMPUTED_VALUE"""),"March")</f>
        <v>March</v>
      </c>
      <c r="C74" s="6" t="str">
        <f>IFERROR(__xludf.DUMMYFUNCTION("""COMPUTED_VALUE"""),"North")</f>
        <v>North</v>
      </c>
      <c r="D74" s="6" t="str">
        <f>IFERROR(__xludf.DUMMYFUNCTION("""COMPUTED_VALUE"""),"Chandigarh")</f>
        <v>Chandigarh</v>
      </c>
      <c r="E74" s="6" t="str">
        <f>IFERROR(__xludf.DUMMYFUNCTION("""COMPUTED_VALUE"""),"ZestVita")</f>
        <v>ZestVita</v>
      </c>
      <c r="F74" s="6">
        <f>IFERROR(__xludf.DUMMYFUNCTION("""COMPUTED_VALUE"""),29920.0)</f>
        <v>29920</v>
      </c>
      <c r="G74" s="6">
        <f>IFERROR(__xludf.DUMMYFUNCTION("""COMPUTED_VALUE"""),37101.0)</f>
        <v>37101</v>
      </c>
      <c r="H74" s="39">
        <f>IFERROR(__xludf.DUMMYFUNCTION("""COMPUTED_VALUE"""),0.0)</f>
        <v>0</v>
      </c>
      <c r="I74" s="6">
        <f>IFERROR(__xludf.DUMMYFUNCTION("""COMPUTED_VALUE"""),135.0)</f>
        <v>135</v>
      </c>
      <c r="J74" s="6">
        <f>IFERROR(__xludf.DUMMYFUNCTION("""COMPUTED_VALUE"""),135.0)</f>
        <v>135</v>
      </c>
      <c r="K74" s="59">
        <f>IFERROR(__xludf.DUMMYFUNCTION("""COMPUTED_VALUE"""),4039200.0)</f>
        <v>4039200</v>
      </c>
      <c r="L74" s="6">
        <f>IFERROR(__xludf.DUMMYFUNCTION("""COMPUTED_VALUE"""),5008635.0)</f>
        <v>5008635</v>
      </c>
      <c r="M74" s="6">
        <f>IFERROR(__xludf.DUMMYFUNCTION("""COMPUTED_VALUE"""),74.03)</f>
        <v>74.03</v>
      </c>
      <c r="N74" s="6">
        <f>IFERROR(__xludf.DUMMYFUNCTION("""COMPUTED_VALUE"""),73.16)</f>
        <v>73.16</v>
      </c>
      <c r="O74" s="6">
        <f>IFERROR(__xludf.DUMMYFUNCTION("""COMPUTED_VALUE"""),2214977.6)</f>
        <v>2214977.6</v>
      </c>
      <c r="P74" s="6">
        <f>IFERROR(__xludf.DUMMYFUNCTION("""COMPUTED_VALUE"""),2714309.1599999997)</f>
        <v>2714309.16</v>
      </c>
    </row>
    <row r="75" ht="15.75" customHeight="1">
      <c r="A75" s="6" t="str">
        <f>IFERROR(__xludf.DUMMYFUNCTION("""COMPUTED_VALUE"""),"Month3")</f>
        <v>Month3</v>
      </c>
      <c r="B75" s="6" t="str">
        <f>IFERROR(__xludf.DUMMYFUNCTION("""COMPUTED_VALUE"""),"March")</f>
        <v>March</v>
      </c>
      <c r="C75" s="6" t="str">
        <f>IFERROR(__xludf.DUMMYFUNCTION("""COMPUTED_VALUE"""),"North")</f>
        <v>North</v>
      </c>
      <c r="D75" s="6" t="str">
        <f>IFERROR(__xludf.DUMMYFUNCTION("""COMPUTED_VALUE"""),"Chandigarh")</f>
        <v>Chandigarh</v>
      </c>
      <c r="E75" s="6" t="str">
        <f>IFERROR(__xludf.DUMMYFUNCTION("""COMPUTED_VALUE"""),"NutriKid")</f>
        <v>NutriKid</v>
      </c>
      <c r="F75" s="6">
        <f>IFERROR(__xludf.DUMMYFUNCTION("""COMPUTED_VALUE"""),31783.0)</f>
        <v>31783</v>
      </c>
      <c r="G75" s="6">
        <f>IFERROR(__xludf.DUMMYFUNCTION("""COMPUTED_VALUE"""),37504.0)</f>
        <v>37504</v>
      </c>
      <c r="H75" s="39">
        <f>IFERROR(__xludf.DUMMYFUNCTION("""COMPUTED_VALUE"""),0.0)</f>
        <v>0</v>
      </c>
      <c r="I75" s="6">
        <f>IFERROR(__xludf.DUMMYFUNCTION("""COMPUTED_VALUE"""),60.0)</f>
        <v>60</v>
      </c>
      <c r="J75" s="6">
        <f>IFERROR(__xludf.DUMMYFUNCTION("""COMPUTED_VALUE"""),60.0)</f>
        <v>60</v>
      </c>
      <c r="K75" s="59">
        <f>IFERROR(__xludf.DUMMYFUNCTION("""COMPUTED_VALUE"""),1906980.0)</f>
        <v>1906980</v>
      </c>
      <c r="L75" s="6">
        <f>IFERROR(__xludf.DUMMYFUNCTION("""COMPUTED_VALUE"""),2250240.0)</f>
        <v>2250240</v>
      </c>
      <c r="M75" s="6">
        <f>IFERROR(__xludf.DUMMYFUNCTION("""COMPUTED_VALUE"""),33.75)</f>
        <v>33.75</v>
      </c>
      <c r="N75" s="6">
        <f>IFERROR(__xludf.DUMMYFUNCTION("""COMPUTED_VALUE"""),29.89)</f>
        <v>29.89</v>
      </c>
      <c r="O75" s="6">
        <f>IFERROR(__xludf.DUMMYFUNCTION("""COMPUTED_VALUE"""),1072676.25)</f>
        <v>1072676.25</v>
      </c>
      <c r="P75" s="6">
        <f>IFERROR(__xludf.DUMMYFUNCTION("""COMPUTED_VALUE"""),1120994.56)</f>
        <v>1120994.56</v>
      </c>
    </row>
    <row r="76" ht="15.75" customHeight="1">
      <c r="A76" s="6" t="str">
        <f>IFERROR(__xludf.DUMMYFUNCTION("""COMPUTED_VALUE"""),"Month3")</f>
        <v>Month3</v>
      </c>
      <c r="B76" s="6" t="str">
        <f>IFERROR(__xludf.DUMMYFUNCTION("""COMPUTED_VALUE"""),"March")</f>
        <v>March</v>
      </c>
      <c r="C76" s="6" t="str">
        <f>IFERROR(__xludf.DUMMYFUNCTION("""COMPUTED_VALUE"""),"East")</f>
        <v>East</v>
      </c>
      <c r="D76" s="6" t="str">
        <f>IFERROR(__xludf.DUMMYFUNCTION("""COMPUTED_VALUE"""),"Bhubaneswar")</f>
        <v>Bhubaneswar</v>
      </c>
      <c r="E76" s="6" t="str">
        <f>IFERROR(__xludf.DUMMYFUNCTION("""COMPUTED_VALUE"""),"ZestVita")</f>
        <v>ZestVita</v>
      </c>
      <c r="F76" s="6">
        <f>IFERROR(__xludf.DUMMYFUNCTION("""COMPUTED_VALUE"""),14433.0)</f>
        <v>14433</v>
      </c>
      <c r="G76" s="6">
        <f>IFERROR(__xludf.DUMMYFUNCTION("""COMPUTED_VALUE"""),14866.0)</f>
        <v>14866</v>
      </c>
      <c r="H76" s="39">
        <f>IFERROR(__xludf.DUMMYFUNCTION("""COMPUTED_VALUE"""),0.125)</f>
        <v>0.125</v>
      </c>
      <c r="I76" s="6">
        <f>IFERROR(__xludf.DUMMYFUNCTION("""COMPUTED_VALUE"""),135.0)</f>
        <v>135</v>
      </c>
      <c r="J76" s="6">
        <f>IFERROR(__xludf.DUMMYFUNCTION("""COMPUTED_VALUE"""),118.125)</f>
        <v>118.125</v>
      </c>
      <c r="K76" s="59">
        <f>IFERROR(__xludf.DUMMYFUNCTION("""COMPUTED_VALUE"""),1704898.125)</f>
        <v>1704898.125</v>
      </c>
      <c r="L76" s="6">
        <f>IFERROR(__xludf.DUMMYFUNCTION("""COMPUTED_VALUE"""),2006910.0)</f>
        <v>2006910</v>
      </c>
      <c r="M76" s="6">
        <f>IFERROR(__xludf.DUMMYFUNCTION("""COMPUTED_VALUE"""),74.03)</f>
        <v>74.03</v>
      </c>
      <c r="N76" s="6">
        <f>IFERROR(__xludf.DUMMYFUNCTION("""COMPUTED_VALUE"""),73.16)</f>
        <v>73.16</v>
      </c>
      <c r="O76" s="6">
        <f>IFERROR(__xludf.DUMMYFUNCTION("""COMPUTED_VALUE"""),1068474.99)</f>
        <v>1068474.99</v>
      </c>
      <c r="P76" s="6">
        <f>IFERROR(__xludf.DUMMYFUNCTION("""COMPUTED_VALUE"""),1087596.56)</f>
        <v>1087596.56</v>
      </c>
    </row>
    <row r="77" ht="15.75" customHeight="1">
      <c r="A77" s="6" t="str">
        <f>IFERROR(__xludf.DUMMYFUNCTION("""COMPUTED_VALUE"""),"Month3")</f>
        <v>Month3</v>
      </c>
      <c r="B77" s="6" t="str">
        <f>IFERROR(__xludf.DUMMYFUNCTION("""COMPUTED_VALUE"""),"March")</f>
        <v>March</v>
      </c>
      <c r="C77" s="6" t="str">
        <f>IFERROR(__xludf.DUMMYFUNCTION("""COMPUTED_VALUE"""),"East")</f>
        <v>East</v>
      </c>
      <c r="D77" s="6" t="str">
        <f>IFERROR(__xludf.DUMMYFUNCTION("""COMPUTED_VALUE"""),"Bhubaneswar")</f>
        <v>Bhubaneswar</v>
      </c>
      <c r="E77" s="6" t="str">
        <f>IFERROR(__xludf.DUMMYFUNCTION("""COMPUTED_VALUE"""),"NutriKid")</f>
        <v>NutriKid</v>
      </c>
      <c r="F77" s="6">
        <f>IFERROR(__xludf.DUMMYFUNCTION("""COMPUTED_VALUE"""),19294.0)</f>
        <v>19294</v>
      </c>
      <c r="G77" s="6">
        <f>IFERROR(__xludf.DUMMYFUNCTION("""COMPUTED_VALUE"""),19680.0)</f>
        <v>19680</v>
      </c>
      <c r="H77" s="39">
        <f>IFERROR(__xludf.DUMMYFUNCTION("""COMPUTED_VALUE"""),0.125)</f>
        <v>0.125</v>
      </c>
      <c r="I77" s="6">
        <f>IFERROR(__xludf.DUMMYFUNCTION("""COMPUTED_VALUE"""),60.0)</f>
        <v>60</v>
      </c>
      <c r="J77" s="6">
        <f>IFERROR(__xludf.DUMMYFUNCTION("""COMPUTED_VALUE"""),52.5)</f>
        <v>52.5</v>
      </c>
      <c r="K77" s="59">
        <f>IFERROR(__xludf.DUMMYFUNCTION("""COMPUTED_VALUE"""),1012935.0)</f>
        <v>1012935</v>
      </c>
      <c r="L77" s="6">
        <f>IFERROR(__xludf.DUMMYFUNCTION("""COMPUTED_VALUE"""),1180800.0)</f>
        <v>1180800</v>
      </c>
      <c r="M77" s="6">
        <f>IFERROR(__xludf.DUMMYFUNCTION("""COMPUTED_VALUE"""),33.75)</f>
        <v>33.75</v>
      </c>
      <c r="N77" s="6">
        <f>IFERROR(__xludf.DUMMYFUNCTION("""COMPUTED_VALUE"""),29.89)</f>
        <v>29.89</v>
      </c>
      <c r="O77" s="6">
        <f>IFERROR(__xludf.DUMMYFUNCTION("""COMPUTED_VALUE"""),651172.5)</f>
        <v>651172.5</v>
      </c>
      <c r="P77" s="6">
        <f>IFERROR(__xludf.DUMMYFUNCTION("""COMPUTED_VALUE"""),588235.2)</f>
        <v>588235.2</v>
      </c>
    </row>
    <row r="78" ht="15.75" customHeight="1">
      <c r="A78" s="6" t="str">
        <f>IFERROR(__xludf.DUMMYFUNCTION("""COMPUTED_VALUE"""),"Month3")</f>
        <v>Month3</v>
      </c>
      <c r="B78" s="6" t="str">
        <f>IFERROR(__xludf.DUMMYFUNCTION("""COMPUTED_VALUE"""),"March")</f>
        <v>March</v>
      </c>
      <c r="C78" s="6" t="str">
        <f>IFERROR(__xludf.DUMMYFUNCTION("""COMPUTED_VALUE"""),"West")</f>
        <v>West</v>
      </c>
      <c r="D78" s="6" t="str">
        <f>IFERROR(__xludf.DUMMYFUNCTION("""COMPUTED_VALUE"""),"Ahmedabad")</f>
        <v>Ahmedabad</v>
      </c>
      <c r="E78" s="6" t="str">
        <f>IFERROR(__xludf.DUMMYFUNCTION("""COMPUTED_VALUE"""),"ZestVita")</f>
        <v>ZestVita</v>
      </c>
      <c r="F78" s="6">
        <f>IFERROR(__xludf.DUMMYFUNCTION("""COMPUTED_VALUE"""),26741.0)</f>
        <v>26741</v>
      </c>
      <c r="G78" s="6">
        <f>IFERROR(__xludf.DUMMYFUNCTION("""COMPUTED_VALUE"""),32624.0)</f>
        <v>32624</v>
      </c>
      <c r="H78" s="39">
        <f>IFERROR(__xludf.DUMMYFUNCTION("""COMPUTED_VALUE"""),0.0)</f>
        <v>0</v>
      </c>
      <c r="I78" s="6">
        <f>IFERROR(__xludf.DUMMYFUNCTION("""COMPUTED_VALUE"""),135.0)</f>
        <v>135</v>
      </c>
      <c r="J78" s="6">
        <f>IFERROR(__xludf.DUMMYFUNCTION("""COMPUTED_VALUE"""),135.0)</f>
        <v>135</v>
      </c>
      <c r="K78" s="59">
        <f>IFERROR(__xludf.DUMMYFUNCTION("""COMPUTED_VALUE"""),3610035.0)</f>
        <v>3610035</v>
      </c>
      <c r="L78" s="6">
        <f>IFERROR(__xludf.DUMMYFUNCTION("""COMPUTED_VALUE"""),4404240.0)</f>
        <v>4404240</v>
      </c>
      <c r="M78" s="6">
        <f>IFERROR(__xludf.DUMMYFUNCTION("""COMPUTED_VALUE"""),74.03)</f>
        <v>74.03</v>
      </c>
      <c r="N78" s="6">
        <f>IFERROR(__xludf.DUMMYFUNCTION("""COMPUTED_VALUE"""),73.16)</f>
        <v>73.16</v>
      </c>
      <c r="O78" s="6">
        <f>IFERROR(__xludf.DUMMYFUNCTION("""COMPUTED_VALUE"""),1979636.23)</f>
        <v>1979636.23</v>
      </c>
      <c r="P78" s="6">
        <f>IFERROR(__xludf.DUMMYFUNCTION("""COMPUTED_VALUE"""),2386771.84)</f>
        <v>2386771.84</v>
      </c>
    </row>
    <row r="79" ht="15.75" customHeight="1">
      <c r="A79" s="6" t="str">
        <f>IFERROR(__xludf.DUMMYFUNCTION("""COMPUTED_VALUE"""),"Month3")</f>
        <v>Month3</v>
      </c>
      <c r="B79" s="6" t="str">
        <f>IFERROR(__xludf.DUMMYFUNCTION("""COMPUTED_VALUE"""),"March")</f>
        <v>March</v>
      </c>
      <c r="C79" s="6" t="str">
        <f>IFERROR(__xludf.DUMMYFUNCTION("""COMPUTED_VALUE"""),"West")</f>
        <v>West</v>
      </c>
      <c r="D79" s="6" t="str">
        <f>IFERROR(__xludf.DUMMYFUNCTION("""COMPUTED_VALUE"""),"Ahmedabad")</f>
        <v>Ahmedabad</v>
      </c>
      <c r="E79" s="6" t="str">
        <f>IFERROR(__xludf.DUMMYFUNCTION("""COMPUTED_VALUE"""),"NutriKid")</f>
        <v>NutriKid</v>
      </c>
      <c r="F79" s="6">
        <f>IFERROR(__xludf.DUMMYFUNCTION("""COMPUTED_VALUE"""),15153.0)</f>
        <v>15153</v>
      </c>
      <c r="G79" s="6">
        <f>IFERROR(__xludf.DUMMYFUNCTION("""COMPUTED_VALUE"""),18941.0)</f>
        <v>18941</v>
      </c>
      <c r="H79" s="39">
        <f>IFERROR(__xludf.DUMMYFUNCTION("""COMPUTED_VALUE"""),0.0)</f>
        <v>0</v>
      </c>
      <c r="I79" s="6">
        <f>IFERROR(__xludf.DUMMYFUNCTION("""COMPUTED_VALUE"""),60.0)</f>
        <v>60</v>
      </c>
      <c r="J79" s="6">
        <f>IFERROR(__xludf.DUMMYFUNCTION("""COMPUTED_VALUE"""),60.0)</f>
        <v>60</v>
      </c>
      <c r="K79" s="59">
        <f>IFERROR(__xludf.DUMMYFUNCTION("""COMPUTED_VALUE"""),909180.0)</f>
        <v>909180</v>
      </c>
      <c r="L79" s="6">
        <f>IFERROR(__xludf.DUMMYFUNCTION("""COMPUTED_VALUE"""),1136460.0)</f>
        <v>1136460</v>
      </c>
      <c r="M79" s="6">
        <f>IFERROR(__xludf.DUMMYFUNCTION("""COMPUTED_VALUE"""),33.75)</f>
        <v>33.75</v>
      </c>
      <c r="N79" s="6">
        <f>IFERROR(__xludf.DUMMYFUNCTION("""COMPUTED_VALUE"""),29.89)</f>
        <v>29.89</v>
      </c>
      <c r="O79" s="6">
        <f>IFERROR(__xludf.DUMMYFUNCTION("""COMPUTED_VALUE"""),511413.75)</f>
        <v>511413.75</v>
      </c>
      <c r="P79" s="6">
        <f>IFERROR(__xludf.DUMMYFUNCTION("""COMPUTED_VALUE"""),566146.49)</f>
        <v>566146.49</v>
      </c>
    </row>
    <row r="80" ht="15.75" customHeight="1">
      <c r="A80" s="6" t="str">
        <f>IFERROR(__xludf.DUMMYFUNCTION("""COMPUTED_VALUE"""),"Month3")</f>
        <v>Month3</v>
      </c>
      <c r="B80" s="6" t="str">
        <f>IFERROR(__xludf.DUMMYFUNCTION("""COMPUTED_VALUE"""),"March")</f>
        <v>March</v>
      </c>
      <c r="C80" s="6" t="str">
        <f>IFERROR(__xludf.DUMMYFUNCTION("""COMPUTED_VALUE"""),"South")</f>
        <v>South</v>
      </c>
      <c r="D80" s="6" t="str">
        <f>IFERROR(__xludf.DUMMYFUNCTION("""COMPUTED_VALUE"""),"Chennai")</f>
        <v>Chennai</v>
      </c>
      <c r="E80" s="6" t="str">
        <f>IFERROR(__xludf.DUMMYFUNCTION("""COMPUTED_VALUE"""),"ZestVita")</f>
        <v>ZestVita</v>
      </c>
      <c r="F80" s="6">
        <f>IFERROR(__xludf.DUMMYFUNCTION("""COMPUTED_VALUE"""),16653.0)</f>
        <v>16653</v>
      </c>
      <c r="G80" s="6">
        <f>IFERROR(__xludf.DUMMYFUNCTION("""COMPUTED_VALUE"""),19484.0)</f>
        <v>19484</v>
      </c>
      <c r="H80" s="39">
        <f>IFERROR(__xludf.DUMMYFUNCTION("""COMPUTED_VALUE"""),0.0)</f>
        <v>0</v>
      </c>
      <c r="I80" s="6">
        <f>IFERROR(__xludf.DUMMYFUNCTION("""COMPUTED_VALUE"""),135.0)</f>
        <v>135</v>
      </c>
      <c r="J80" s="6">
        <f>IFERROR(__xludf.DUMMYFUNCTION("""COMPUTED_VALUE"""),135.0)</f>
        <v>135</v>
      </c>
      <c r="K80" s="59">
        <f>IFERROR(__xludf.DUMMYFUNCTION("""COMPUTED_VALUE"""),2248155.0)</f>
        <v>2248155</v>
      </c>
      <c r="L80" s="6">
        <f>IFERROR(__xludf.DUMMYFUNCTION("""COMPUTED_VALUE"""),2630340.0)</f>
        <v>2630340</v>
      </c>
      <c r="M80" s="6">
        <f>IFERROR(__xludf.DUMMYFUNCTION("""COMPUTED_VALUE"""),74.03)</f>
        <v>74.03</v>
      </c>
      <c r="N80" s="6">
        <f>IFERROR(__xludf.DUMMYFUNCTION("""COMPUTED_VALUE"""),73.16)</f>
        <v>73.16</v>
      </c>
      <c r="O80" s="6">
        <f>IFERROR(__xludf.DUMMYFUNCTION("""COMPUTED_VALUE"""),1232821.59)</f>
        <v>1232821.59</v>
      </c>
      <c r="P80" s="6">
        <f>IFERROR(__xludf.DUMMYFUNCTION("""COMPUTED_VALUE"""),1425449.44)</f>
        <v>1425449.44</v>
      </c>
    </row>
    <row r="81" ht="15.75" customHeight="1">
      <c r="A81" s="6" t="str">
        <f>IFERROR(__xludf.DUMMYFUNCTION("""COMPUTED_VALUE"""),"Month3")</f>
        <v>Month3</v>
      </c>
      <c r="B81" s="6" t="str">
        <f>IFERROR(__xludf.DUMMYFUNCTION("""COMPUTED_VALUE"""),"March")</f>
        <v>March</v>
      </c>
      <c r="C81" s="6" t="str">
        <f>IFERROR(__xludf.DUMMYFUNCTION("""COMPUTED_VALUE"""),"South")</f>
        <v>South</v>
      </c>
      <c r="D81" s="6" t="str">
        <f>IFERROR(__xludf.DUMMYFUNCTION("""COMPUTED_VALUE"""),"Chennai")</f>
        <v>Chennai</v>
      </c>
      <c r="E81" s="6" t="str">
        <f>IFERROR(__xludf.DUMMYFUNCTION("""COMPUTED_VALUE"""),"NutriKid")</f>
        <v>NutriKid</v>
      </c>
      <c r="F81" s="6">
        <f>IFERROR(__xludf.DUMMYFUNCTION("""COMPUTED_VALUE"""),17958.0)</f>
        <v>17958</v>
      </c>
      <c r="G81" s="6">
        <f>IFERROR(__xludf.DUMMYFUNCTION("""COMPUTED_VALUE"""),20472.0)</f>
        <v>20472</v>
      </c>
      <c r="H81" s="39">
        <f>IFERROR(__xludf.DUMMYFUNCTION("""COMPUTED_VALUE"""),0.0)</f>
        <v>0</v>
      </c>
      <c r="I81" s="6">
        <f>IFERROR(__xludf.DUMMYFUNCTION("""COMPUTED_VALUE"""),60.0)</f>
        <v>60</v>
      </c>
      <c r="J81" s="6">
        <f>IFERROR(__xludf.DUMMYFUNCTION("""COMPUTED_VALUE"""),60.0)</f>
        <v>60</v>
      </c>
      <c r="K81" s="59">
        <f>IFERROR(__xludf.DUMMYFUNCTION("""COMPUTED_VALUE"""),1077480.0)</f>
        <v>1077480</v>
      </c>
      <c r="L81" s="6">
        <f>IFERROR(__xludf.DUMMYFUNCTION("""COMPUTED_VALUE"""),1228320.0)</f>
        <v>1228320</v>
      </c>
      <c r="M81" s="6">
        <f>IFERROR(__xludf.DUMMYFUNCTION("""COMPUTED_VALUE"""),33.75)</f>
        <v>33.75</v>
      </c>
      <c r="N81" s="6">
        <f>IFERROR(__xludf.DUMMYFUNCTION("""COMPUTED_VALUE"""),29.89)</f>
        <v>29.89</v>
      </c>
      <c r="O81" s="6">
        <f>IFERROR(__xludf.DUMMYFUNCTION("""COMPUTED_VALUE"""),606082.5)</f>
        <v>606082.5</v>
      </c>
      <c r="P81" s="6">
        <f>IFERROR(__xludf.DUMMYFUNCTION("""COMPUTED_VALUE"""),611908.08)</f>
        <v>611908.08</v>
      </c>
    </row>
    <row r="82" ht="15.75" customHeight="1">
      <c r="A82" s="6" t="str">
        <f>IFERROR(__xludf.DUMMYFUNCTION("""COMPUTED_VALUE"""),"Month3")</f>
        <v>Month3</v>
      </c>
      <c r="B82" s="6" t="str">
        <f>IFERROR(__xludf.DUMMYFUNCTION("""COMPUTED_VALUE"""),"March")</f>
        <v>March</v>
      </c>
      <c r="C82" s="6" t="str">
        <f>IFERROR(__xludf.DUMMYFUNCTION("""COMPUTED_VALUE"""),"North")</f>
        <v>North</v>
      </c>
      <c r="D82" s="6" t="str">
        <f>IFERROR(__xludf.DUMMYFUNCTION("""COMPUTED_VALUE"""),"Lucknow")</f>
        <v>Lucknow</v>
      </c>
      <c r="E82" s="6" t="str">
        <f>IFERROR(__xludf.DUMMYFUNCTION("""COMPUTED_VALUE"""),"ZestVita")</f>
        <v>ZestVita</v>
      </c>
      <c r="F82" s="6">
        <f>IFERROR(__xludf.DUMMYFUNCTION("""COMPUTED_VALUE"""),23930.0)</f>
        <v>23930</v>
      </c>
      <c r="G82" s="6">
        <f>IFERROR(__xludf.DUMMYFUNCTION("""COMPUTED_VALUE"""),29673.0)</f>
        <v>29673</v>
      </c>
      <c r="H82" s="39">
        <f>IFERROR(__xludf.DUMMYFUNCTION("""COMPUTED_VALUE"""),0.1)</f>
        <v>0.1</v>
      </c>
      <c r="I82" s="6">
        <f>IFERROR(__xludf.DUMMYFUNCTION("""COMPUTED_VALUE"""),135.0)</f>
        <v>135</v>
      </c>
      <c r="J82" s="6">
        <f>IFERROR(__xludf.DUMMYFUNCTION("""COMPUTED_VALUE"""),121.5)</f>
        <v>121.5</v>
      </c>
      <c r="K82" s="59">
        <f>IFERROR(__xludf.DUMMYFUNCTION("""COMPUTED_VALUE"""),2907495.0)</f>
        <v>2907495</v>
      </c>
      <c r="L82" s="6">
        <f>IFERROR(__xludf.DUMMYFUNCTION("""COMPUTED_VALUE"""),4005855.0)</f>
        <v>4005855</v>
      </c>
      <c r="M82" s="6">
        <f>IFERROR(__xludf.DUMMYFUNCTION("""COMPUTED_VALUE"""),74.03)</f>
        <v>74.03</v>
      </c>
      <c r="N82" s="6">
        <f>IFERROR(__xludf.DUMMYFUNCTION("""COMPUTED_VALUE"""),73.16)</f>
        <v>73.16</v>
      </c>
      <c r="O82" s="6">
        <f>IFERROR(__xludf.DUMMYFUNCTION("""COMPUTED_VALUE"""),1771537.9000000001)</f>
        <v>1771537.9</v>
      </c>
      <c r="P82" s="6">
        <f>IFERROR(__xludf.DUMMYFUNCTION("""COMPUTED_VALUE"""),2170876.6799999997)</f>
        <v>2170876.68</v>
      </c>
    </row>
    <row r="83" ht="15.75" customHeight="1">
      <c r="A83" s="6" t="str">
        <f>IFERROR(__xludf.DUMMYFUNCTION("""COMPUTED_VALUE"""),"Month3")</f>
        <v>Month3</v>
      </c>
      <c r="B83" s="6" t="str">
        <f>IFERROR(__xludf.DUMMYFUNCTION("""COMPUTED_VALUE"""),"March")</f>
        <v>March</v>
      </c>
      <c r="C83" s="6" t="str">
        <f>IFERROR(__xludf.DUMMYFUNCTION("""COMPUTED_VALUE"""),"North")</f>
        <v>North</v>
      </c>
      <c r="D83" s="6" t="str">
        <f>IFERROR(__xludf.DUMMYFUNCTION("""COMPUTED_VALUE"""),"Lucknow")</f>
        <v>Lucknow</v>
      </c>
      <c r="E83" s="6" t="str">
        <f>IFERROR(__xludf.DUMMYFUNCTION("""COMPUTED_VALUE"""),"NutriKid")</f>
        <v>NutriKid</v>
      </c>
      <c r="F83" s="6">
        <f>IFERROR(__xludf.DUMMYFUNCTION("""COMPUTED_VALUE"""),21340.0)</f>
        <v>21340</v>
      </c>
      <c r="G83" s="6">
        <f>IFERROR(__xludf.DUMMYFUNCTION("""COMPUTED_VALUE"""),25181.0)</f>
        <v>25181</v>
      </c>
      <c r="H83" s="39">
        <f>IFERROR(__xludf.DUMMYFUNCTION("""COMPUTED_VALUE"""),0.1)</f>
        <v>0.1</v>
      </c>
      <c r="I83" s="6">
        <f>IFERROR(__xludf.DUMMYFUNCTION("""COMPUTED_VALUE"""),60.0)</f>
        <v>60</v>
      </c>
      <c r="J83" s="6">
        <f>IFERROR(__xludf.DUMMYFUNCTION("""COMPUTED_VALUE"""),54.0)</f>
        <v>54</v>
      </c>
      <c r="K83" s="59">
        <f>IFERROR(__xludf.DUMMYFUNCTION("""COMPUTED_VALUE"""),1152360.0)</f>
        <v>1152360</v>
      </c>
      <c r="L83" s="6">
        <f>IFERROR(__xludf.DUMMYFUNCTION("""COMPUTED_VALUE"""),1510860.0)</f>
        <v>1510860</v>
      </c>
      <c r="M83" s="6">
        <f>IFERROR(__xludf.DUMMYFUNCTION("""COMPUTED_VALUE"""),33.75)</f>
        <v>33.75</v>
      </c>
      <c r="N83" s="6">
        <f>IFERROR(__xludf.DUMMYFUNCTION("""COMPUTED_VALUE"""),29.89)</f>
        <v>29.89</v>
      </c>
      <c r="O83" s="6">
        <f>IFERROR(__xludf.DUMMYFUNCTION("""COMPUTED_VALUE"""),720225.0)</f>
        <v>720225</v>
      </c>
      <c r="P83" s="6">
        <f>IFERROR(__xludf.DUMMYFUNCTION("""COMPUTED_VALUE"""),752660.09)</f>
        <v>752660.09</v>
      </c>
    </row>
    <row r="84" ht="15.75" customHeight="1">
      <c r="A84" s="6" t="str">
        <f>IFERROR(__xludf.DUMMYFUNCTION("""COMPUTED_VALUE"""),"Month3")</f>
        <v>Month3</v>
      </c>
      <c r="B84" s="6" t="str">
        <f>IFERROR(__xludf.DUMMYFUNCTION("""COMPUTED_VALUE"""),"March")</f>
        <v>March</v>
      </c>
      <c r="C84" s="6" t="str">
        <f>IFERROR(__xludf.DUMMYFUNCTION("""COMPUTED_VALUE"""),"East")</f>
        <v>East</v>
      </c>
      <c r="D84" s="6" t="str">
        <f>IFERROR(__xludf.DUMMYFUNCTION("""COMPUTED_VALUE"""),"Ranchi")</f>
        <v>Ranchi</v>
      </c>
      <c r="E84" s="6" t="str">
        <f>IFERROR(__xludf.DUMMYFUNCTION("""COMPUTED_VALUE"""),"ZestVita")</f>
        <v>ZestVita</v>
      </c>
      <c r="F84" s="6">
        <f>IFERROR(__xludf.DUMMYFUNCTION("""COMPUTED_VALUE"""),28364.0)</f>
        <v>28364</v>
      </c>
      <c r="G84" s="6">
        <f>IFERROR(__xludf.DUMMYFUNCTION("""COMPUTED_VALUE"""),30349.0)</f>
        <v>30349</v>
      </c>
      <c r="H84" s="39">
        <f>IFERROR(__xludf.DUMMYFUNCTION("""COMPUTED_VALUE"""),0.05)</f>
        <v>0.05</v>
      </c>
      <c r="I84" s="6">
        <f>IFERROR(__xludf.DUMMYFUNCTION("""COMPUTED_VALUE"""),135.0)</f>
        <v>135</v>
      </c>
      <c r="J84" s="6">
        <f>IFERROR(__xludf.DUMMYFUNCTION("""COMPUTED_VALUE"""),128.25)</f>
        <v>128.25</v>
      </c>
      <c r="K84" s="59">
        <f>IFERROR(__xludf.DUMMYFUNCTION("""COMPUTED_VALUE"""),3637683.0)</f>
        <v>3637683</v>
      </c>
      <c r="L84" s="6">
        <f>IFERROR(__xludf.DUMMYFUNCTION("""COMPUTED_VALUE"""),4097115.0)</f>
        <v>4097115</v>
      </c>
      <c r="M84" s="6">
        <f>IFERROR(__xludf.DUMMYFUNCTION("""COMPUTED_VALUE"""),74.03)</f>
        <v>74.03</v>
      </c>
      <c r="N84" s="6">
        <f>IFERROR(__xludf.DUMMYFUNCTION("""COMPUTED_VALUE"""),73.16)</f>
        <v>73.16</v>
      </c>
      <c r="O84" s="6">
        <f>IFERROR(__xludf.DUMMYFUNCTION("""COMPUTED_VALUE"""),2099786.92)</f>
        <v>2099786.92</v>
      </c>
      <c r="P84" s="6">
        <f>IFERROR(__xludf.DUMMYFUNCTION("""COMPUTED_VALUE"""),2220332.84)</f>
        <v>2220332.84</v>
      </c>
    </row>
    <row r="85" ht="15.75" customHeight="1">
      <c r="A85" s="6" t="str">
        <f>IFERROR(__xludf.DUMMYFUNCTION("""COMPUTED_VALUE"""),"Month3")</f>
        <v>Month3</v>
      </c>
      <c r="B85" s="6" t="str">
        <f>IFERROR(__xludf.DUMMYFUNCTION("""COMPUTED_VALUE"""),"March")</f>
        <v>March</v>
      </c>
      <c r="C85" s="6" t="str">
        <f>IFERROR(__xludf.DUMMYFUNCTION("""COMPUTED_VALUE"""),"East")</f>
        <v>East</v>
      </c>
      <c r="D85" s="6" t="str">
        <f>IFERROR(__xludf.DUMMYFUNCTION("""COMPUTED_VALUE"""),"Ranchi")</f>
        <v>Ranchi</v>
      </c>
      <c r="E85" s="6" t="str">
        <f>IFERROR(__xludf.DUMMYFUNCTION("""COMPUTED_VALUE"""),"NutriKid")</f>
        <v>NutriKid</v>
      </c>
      <c r="F85" s="6">
        <f>IFERROR(__xludf.DUMMYFUNCTION("""COMPUTED_VALUE"""),17848.0)</f>
        <v>17848</v>
      </c>
      <c r="G85" s="6">
        <f>IFERROR(__xludf.DUMMYFUNCTION("""COMPUTED_VALUE"""),18919.0)</f>
        <v>18919</v>
      </c>
      <c r="H85" s="39">
        <f>IFERROR(__xludf.DUMMYFUNCTION("""COMPUTED_VALUE"""),0.05)</f>
        <v>0.05</v>
      </c>
      <c r="I85" s="6">
        <f>IFERROR(__xludf.DUMMYFUNCTION("""COMPUTED_VALUE"""),60.0)</f>
        <v>60</v>
      </c>
      <c r="J85" s="6">
        <f>IFERROR(__xludf.DUMMYFUNCTION("""COMPUTED_VALUE"""),57.0)</f>
        <v>57</v>
      </c>
      <c r="K85" s="59">
        <f>IFERROR(__xludf.DUMMYFUNCTION("""COMPUTED_VALUE"""),1017336.0)</f>
        <v>1017336</v>
      </c>
      <c r="L85" s="6">
        <f>IFERROR(__xludf.DUMMYFUNCTION("""COMPUTED_VALUE"""),1135140.0)</f>
        <v>1135140</v>
      </c>
      <c r="M85" s="6">
        <f>IFERROR(__xludf.DUMMYFUNCTION("""COMPUTED_VALUE"""),33.75)</f>
        <v>33.75</v>
      </c>
      <c r="N85" s="6">
        <f>IFERROR(__xludf.DUMMYFUNCTION("""COMPUTED_VALUE"""),29.89)</f>
        <v>29.89</v>
      </c>
      <c r="O85" s="6">
        <f>IFERROR(__xludf.DUMMYFUNCTION("""COMPUTED_VALUE"""),602370.0)</f>
        <v>602370</v>
      </c>
      <c r="P85" s="6">
        <f>IFERROR(__xludf.DUMMYFUNCTION("""COMPUTED_VALUE"""),565488.91)</f>
        <v>565488.91</v>
      </c>
    </row>
    <row r="86" ht="15.75" customHeight="1">
      <c r="A86" s="6" t="str">
        <f>IFERROR(__xludf.DUMMYFUNCTION("""COMPUTED_VALUE"""),"Month3")</f>
        <v>Month3</v>
      </c>
      <c r="B86" s="6" t="str">
        <f>IFERROR(__xludf.DUMMYFUNCTION("""COMPUTED_VALUE"""),"March")</f>
        <v>March</v>
      </c>
      <c r="C86" s="6" t="str">
        <f>IFERROR(__xludf.DUMMYFUNCTION("""COMPUTED_VALUE"""),"West")</f>
        <v>West</v>
      </c>
      <c r="D86" s="6" t="str">
        <f>IFERROR(__xludf.DUMMYFUNCTION("""COMPUTED_VALUE"""),"Surat")</f>
        <v>Surat</v>
      </c>
      <c r="E86" s="6" t="str">
        <f>IFERROR(__xludf.DUMMYFUNCTION("""COMPUTED_VALUE"""),"ZestVita")</f>
        <v>ZestVita</v>
      </c>
      <c r="F86" s="6">
        <f>IFERROR(__xludf.DUMMYFUNCTION("""COMPUTED_VALUE"""),24205.0)</f>
        <v>24205</v>
      </c>
      <c r="G86" s="6">
        <f>IFERROR(__xludf.DUMMYFUNCTION("""COMPUTED_VALUE"""),25657.0)</f>
        <v>25657</v>
      </c>
      <c r="H86" s="39">
        <f>IFERROR(__xludf.DUMMYFUNCTION("""COMPUTED_VALUE"""),0.05)</f>
        <v>0.05</v>
      </c>
      <c r="I86" s="6">
        <f>IFERROR(__xludf.DUMMYFUNCTION("""COMPUTED_VALUE"""),135.0)</f>
        <v>135</v>
      </c>
      <c r="J86" s="6">
        <f>IFERROR(__xludf.DUMMYFUNCTION("""COMPUTED_VALUE"""),128.25)</f>
        <v>128.25</v>
      </c>
      <c r="K86" s="59">
        <f>IFERROR(__xludf.DUMMYFUNCTION("""COMPUTED_VALUE"""),3104291.25)</f>
        <v>3104291.25</v>
      </c>
      <c r="L86" s="6">
        <f>IFERROR(__xludf.DUMMYFUNCTION("""COMPUTED_VALUE"""),3463695.0)</f>
        <v>3463695</v>
      </c>
      <c r="M86" s="6">
        <f>IFERROR(__xludf.DUMMYFUNCTION("""COMPUTED_VALUE"""),74.03)</f>
        <v>74.03</v>
      </c>
      <c r="N86" s="6">
        <f>IFERROR(__xludf.DUMMYFUNCTION("""COMPUTED_VALUE"""),73.16)</f>
        <v>73.16</v>
      </c>
      <c r="O86" s="6">
        <f>IFERROR(__xludf.DUMMYFUNCTION("""COMPUTED_VALUE"""),1791896.1500000001)</f>
        <v>1791896.15</v>
      </c>
      <c r="P86" s="6">
        <f>IFERROR(__xludf.DUMMYFUNCTION("""COMPUTED_VALUE"""),1877066.1199999999)</f>
        <v>1877066.12</v>
      </c>
    </row>
    <row r="87" ht="15.75" customHeight="1">
      <c r="A87" s="6" t="str">
        <f>IFERROR(__xludf.DUMMYFUNCTION("""COMPUTED_VALUE"""),"Month3")</f>
        <v>Month3</v>
      </c>
      <c r="B87" s="6" t="str">
        <f>IFERROR(__xludf.DUMMYFUNCTION("""COMPUTED_VALUE"""),"March")</f>
        <v>March</v>
      </c>
      <c r="C87" s="6" t="str">
        <f>IFERROR(__xludf.DUMMYFUNCTION("""COMPUTED_VALUE"""),"West")</f>
        <v>West</v>
      </c>
      <c r="D87" s="6" t="str">
        <f>IFERROR(__xludf.DUMMYFUNCTION("""COMPUTED_VALUE"""),"Surat")</f>
        <v>Surat</v>
      </c>
      <c r="E87" s="6" t="str">
        <f>IFERROR(__xludf.DUMMYFUNCTION("""COMPUTED_VALUE"""),"NutriKid")</f>
        <v>NutriKid</v>
      </c>
      <c r="F87" s="6">
        <f>IFERROR(__xludf.DUMMYFUNCTION("""COMPUTED_VALUE"""),19132.0)</f>
        <v>19132</v>
      </c>
      <c r="G87" s="6">
        <f>IFERROR(__xludf.DUMMYFUNCTION("""COMPUTED_VALUE"""),20280.0)</f>
        <v>20280</v>
      </c>
      <c r="H87" s="39">
        <f>IFERROR(__xludf.DUMMYFUNCTION("""COMPUTED_VALUE"""),0.05)</f>
        <v>0.05</v>
      </c>
      <c r="I87" s="6">
        <f>IFERROR(__xludf.DUMMYFUNCTION("""COMPUTED_VALUE"""),60.0)</f>
        <v>60</v>
      </c>
      <c r="J87" s="6">
        <f>IFERROR(__xludf.DUMMYFUNCTION("""COMPUTED_VALUE"""),57.0)</f>
        <v>57</v>
      </c>
      <c r="K87" s="59">
        <f>IFERROR(__xludf.DUMMYFUNCTION("""COMPUTED_VALUE"""),1090524.0)</f>
        <v>1090524</v>
      </c>
      <c r="L87" s="6">
        <f>IFERROR(__xludf.DUMMYFUNCTION("""COMPUTED_VALUE"""),1216800.0)</f>
        <v>1216800</v>
      </c>
      <c r="M87" s="6">
        <f>IFERROR(__xludf.DUMMYFUNCTION("""COMPUTED_VALUE"""),33.75)</f>
        <v>33.75</v>
      </c>
      <c r="N87" s="6">
        <f>IFERROR(__xludf.DUMMYFUNCTION("""COMPUTED_VALUE"""),29.89)</f>
        <v>29.89</v>
      </c>
      <c r="O87" s="6">
        <f>IFERROR(__xludf.DUMMYFUNCTION("""COMPUTED_VALUE"""),645705.0)</f>
        <v>645705</v>
      </c>
      <c r="P87" s="6">
        <f>IFERROR(__xludf.DUMMYFUNCTION("""COMPUTED_VALUE"""),606169.2)</f>
        <v>606169.2</v>
      </c>
    </row>
    <row r="88" ht="15.75" customHeight="1">
      <c r="A88" s="6" t="str">
        <f>IFERROR(__xludf.DUMMYFUNCTION("""COMPUTED_VALUE"""),"Month3")</f>
        <v>Month3</v>
      </c>
      <c r="B88" s="6" t="str">
        <f>IFERROR(__xludf.DUMMYFUNCTION("""COMPUTED_VALUE"""),"March")</f>
        <v>March</v>
      </c>
      <c r="C88" s="6" t="str">
        <f>IFERROR(__xludf.DUMMYFUNCTION("""COMPUTED_VALUE"""),"South")</f>
        <v>South</v>
      </c>
      <c r="D88" s="6" t="str">
        <f>IFERROR(__xludf.DUMMYFUNCTION("""COMPUTED_VALUE"""),"Hyderabad")</f>
        <v>Hyderabad</v>
      </c>
      <c r="E88" s="6" t="str">
        <f>IFERROR(__xludf.DUMMYFUNCTION("""COMPUTED_VALUE"""),"ZestVita")</f>
        <v>ZestVita</v>
      </c>
      <c r="F88" s="6">
        <f>IFERROR(__xludf.DUMMYFUNCTION("""COMPUTED_VALUE"""),34021.0)</f>
        <v>34021</v>
      </c>
      <c r="G88" s="6">
        <f>IFERROR(__xludf.DUMMYFUNCTION("""COMPUTED_VALUE"""),40825.0)</f>
        <v>40825</v>
      </c>
      <c r="H88" s="39">
        <f>IFERROR(__xludf.DUMMYFUNCTION("""COMPUTED_VALUE"""),0.0)</f>
        <v>0</v>
      </c>
      <c r="I88" s="6">
        <f>IFERROR(__xludf.DUMMYFUNCTION("""COMPUTED_VALUE"""),135.0)</f>
        <v>135</v>
      </c>
      <c r="J88" s="6">
        <f>IFERROR(__xludf.DUMMYFUNCTION("""COMPUTED_VALUE"""),135.0)</f>
        <v>135</v>
      </c>
      <c r="K88" s="59">
        <f>IFERROR(__xludf.DUMMYFUNCTION("""COMPUTED_VALUE"""),4592835.0)</f>
        <v>4592835</v>
      </c>
      <c r="L88" s="6">
        <f>IFERROR(__xludf.DUMMYFUNCTION("""COMPUTED_VALUE"""),5511375.0)</f>
        <v>5511375</v>
      </c>
      <c r="M88" s="6">
        <f>IFERROR(__xludf.DUMMYFUNCTION("""COMPUTED_VALUE"""),74.03)</f>
        <v>74.03</v>
      </c>
      <c r="N88" s="6">
        <f>IFERROR(__xludf.DUMMYFUNCTION("""COMPUTED_VALUE"""),73.16)</f>
        <v>73.16</v>
      </c>
      <c r="O88" s="6">
        <f>IFERROR(__xludf.DUMMYFUNCTION("""COMPUTED_VALUE"""),2518574.63)</f>
        <v>2518574.63</v>
      </c>
      <c r="P88" s="6">
        <f>IFERROR(__xludf.DUMMYFUNCTION("""COMPUTED_VALUE"""),2986757.0)</f>
        <v>2986757</v>
      </c>
    </row>
    <row r="89" ht="15.75" customHeight="1">
      <c r="A89" s="6" t="str">
        <f>IFERROR(__xludf.DUMMYFUNCTION("""COMPUTED_VALUE"""),"Month3")</f>
        <v>Month3</v>
      </c>
      <c r="B89" s="6" t="str">
        <f>IFERROR(__xludf.DUMMYFUNCTION("""COMPUTED_VALUE"""),"March")</f>
        <v>March</v>
      </c>
      <c r="C89" s="6" t="str">
        <f>IFERROR(__xludf.DUMMYFUNCTION("""COMPUTED_VALUE"""),"South")</f>
        <v>South</v>
      </c>
      <c r="D89" s="6" t="str">
        <f>IFERROR(__xludf.DUMMYFUNCTION("""COMPUTED_VALUE"""),"Hyderabad")</f>
        <v>Hyderabad</v>
      </c>
      <c r="E89" s="6" t="str">
        <f>IFERROR(__xludf.DUMMYFUNCTION("""COMPUTED_VALUE"""),"NutriKid")</f>
        <v>NutriKid</v>
      </c>
      <c r="F89" s="6">
        <f>IFERROR(__xludf.DUMMYFUNCTION("""COMPUTED_VALUE"""),33168.0)</f>
        <v>33168</v>
      </c>
      <c r="G89" s="6">
        <f>IFERROR(__xludf.DUMMYFUNCTION("""COMPUTED_VALUE"""),41460.0)</f>
        <v>41460</v>
      </c>
      <c r="H89" s="39">
        <f>IFERROR(__xludf.DUMMYFUNCTION("""COMPUTED_VALUE"""),0.0)</f>
        <v>0</v>
      </c>
      <c r="I89" s="6">
        <f>IFERROR(__xludf.DUMMYFUNCTION("""COMPUTED_VALUE"""),60.0)</f>
        <v>60</v>
      </c>
      <c r="J89" s="6">
        <f>IFERROR(__xludf.DUMMYFUNCTION("""COMPUTED_VALUE"""),60.0)</f>
        <v>60</v>
      </c>
      <c r="K89" s="59">
        <f>IFERROR(__xludf.DUMMYFUNCTION("""COMPUTED_VALUE"""),1990080.0)</f>
        <v>1990080</v>
      </c>
      <c r="L89" s="6">
        <f>IFERROR(__xludf.DUMMYFUNCTION("""COMPUTED_VALUE"""),2487600.0)</f>
        <v>2487600</v>
      </c>
      <c r="M89" s="6">
        <f>IFERROR(__xludf.DUMMYFUNCTION("""COMPUTED_VALUE"""),33.75)</f>
        <v>33.75</v>
      </c>
      <c r="N89" s="6">
        <f>IFERROR(__xludf.DUMMYFUNCTION("""COMPUTED_VALUE"""),29.89)</f>
        <v>29.89</v>
      </c>
      <c r="O89" s="6">
        <f>IFERROR(__xludf.DUMMYFUNCTION("""COMPUTED_VALUE"""),1119420.0)</f>
        <v>1119420</v>
      </c>
      <c r="P89" s="6">
        <f>IFERROR(__xludf.DUMMYFUNCTION("""COMPUTED_VALUE"""),1239239.4000000001)</f>
        <v>1239239.4</v>
      </c>
    </row>
    <row r="90" ht="15.75" customHeight="1">
      <c r="A90" s="6" t="str">
        <f>IFERROR(__xludf.DUMMYFUNCTION("""COMPUTED_VALUE"""),"Month3")</f>
        <v>Month3</v>
      </c>
      <c r="B90" s="6" t="str">
        <f>IFERROR(__xludf.DUMMYFUNCTION("""COMPUTED_VALUE"""),"March")</f>
        <v>March</v>
      </c>
      <c r="C90" s="6" t="str">
        <f>IFERROR(__xludf.DUMMYFUNCTION("""COMPUTED_VALUE"""),"North")</f>
        <v>North</v>
      </c>
      <c r="D90" s="6" t="str">
        <f>IFERROR(__xludf.DUMMYFUNCTION("""COMPUTED_VALUE"""),"Dehradun")</f>
        <v>Dehradun</v>
      </c>
      <c r="E90" s="6" t="str">
        <f>IFERROR(__xludf.DUMMYFUNCTION("""COMPUTED_VALUE"""),"ZestVita")</f>
        <v>ZestVita</v>
      </c>
      <c r="F90" s="6">
        <f>IFERROR(__xludf.DUMMYFUNCTION("""COMPUTED_VALUE"""),22958.0)</f>
        <v>22958</v>
      </c>
      <c r="G90" s="6">
        <f>IFERROR(__xludf.DUMMYFUNCTION("""COMPUTED_VALUE"""),23647.0)</f>
        <v>23647</v>
      </c>
      <c r="H90" s="39">
        <f>IFERROR(__xludf.DUMMYFUNCTION("""COMPUTED_VALUE"""),0.125)</f>
        <v>0.125</v>
      </c>
      <c r="I90" s="6">
        <f>IFERROR(__xludf.DUMMYFUNCTION("""COMPUTED_VALUE"""),135.0)</f>
        <v>135</v>
      </c>
      <c r="J90" s="6">
        <f>IFERROR(__xludf.DUMMYFUNCTION("""COMPUTED_VALUE"""),118.125)</f>
        <v>118.125</v>
      </c>
      <c r="K90" s="59">
        <f>IFERROR(__xludf.DUMMYFUNCTION("""COMPUTED_VALUE"""),2711913.75)</f>
        <v>2711913.75</v>
      </c>
      <c r="L90" s="6">
        <f>IFERROR(__xludf.DUMMYFUNCTION("""COMPUTED_VALUE"""),3192345.0)</f>
        <v>3192345</v>
      </c>
      <c r="M90" s="6">
        <f>IFERROR(__xludf.DUMMYFUNCTION("""COMPUTED_VALUE"""),74.03)</f>
        <v>74.03</v>
      </c>
      <c r="N90" s="6">
        <f>IFERROR(__xludf.DUMMYFUNCTION("""COMPUTED_VALUE"""),73.16)</f>
        <v>73.16</v>
      </c>
      <c r="O90" s="6">
        <f>IFERROR(__xludf.DUMMYFUNCTION("""COMPUTED_VALUE"""),1699580.74)</f>
        <v>1699580.74</v>
      </c>
      <c r="P90" s="6">
        <f>IFERROR(__xludf.DUMMYFUNCTION("""COMPUTED_VALUE"""),1730014.52)</f>
        <v>1730014.52</v>
      </c>
    </row>
    <row r="91" ht="15.75" customHeight="1">
      <c r="A91" s="6" t="str">
        <f>IFERROR(__xludf.DUMMYFUNCTION("""COMPUTED_VALUE"""),"Month3")</f>
        <v>Month3</v>
      </c>
      <c r="B91" s="6" t="str">
        <f>IFERROR(__xludf.DUMMYFUNCTION("""COMPUTED_VALUE"""),"March")</f>
        <v>March</v>
      </c>
      <c r="C91" s="6" t="str">
        <f>IFERROR(__xludf.DUMMYFUNCTION("""COMPUTED_VALUE"""),"North")</f>
        <v>North</v>
      </c>
      <c r="D91" s="6" t="str">
        <f>IFERROR(__xludf.DUMMYFUNCTION("""COMPUTED_VALUE"""),"Dehradun")</f>
        <v>Dehradun</v>
      </c>
      <c r="E91" s="6" t="str">
        <f>IFERROR(__xludf.DUMMYFUNCTION("""COMPUTED_VALUE"""),"NutriKid")</f>
        <v>NutriKid</v>
      </c>
      <c r="F91" s="6">
        <f>IFERROR(__xludf.DUMMYFUNCTION("""COMPUTED_VALUE"""),14396.0)</f>
        <v>14396</v>
      </c>
      <c r="G91" s="6">
        <f>IFERROR(__xludf.DUMMYFUNCTION("""COMPUTED_VALUE"""),15548.0)</f>
        <v>15548</v>
      </c>
      <c r="H91" s="39">
        <f>IFERROR(__xludf.DUMMYFUNCTION("""COMPUTED_VALUE"""),0.125)</f>
        <v>0.125</v>
      </c>
      <c r="I91" s="6">
        <f>IFERROR(__xludf.DUMMYFUNCTION("""COMPUTED_VALUE"""),60.0)</f>
        <v>60</v>
      </c>
      <c r="J91" s="6">
        <f>IFERROR(__xludf.DUMMYFUNCTION("""COMPUTED_VALUE"""),52.5)</f>
        <v>52.5</v>
      </c>
      <c r="K91" s="59">
        <f>IFERROR(__xludf.DUMMYFUNCTION("""COMPUTED_VALUE"""),755790.0)</f>
        <v>755790</v>
      </c>
      <c r="L91" s="6">
        <f>IFERROR(__xludf.DUMMYFUNCTION("""COMPUTED_VALUE"""),932880.0)</f>
        <v>932880</v>
      </c>
      <c r="M91" s="6">
        <f>IFERROR(__xludf.DUMMYFUNCTION("""COMPUTED_VALUE"""),33.75)</f>
        <v>33.75</v>
      </c>
      <c r="N91" s="6">
        <f>IFERROR(__xludf.DUMMYFUNCTION("""COMPUTED_VALUE"""),29.89)</f>
        <v>29.89</v>
      </c>
      <c r="O91" s="6">
        <f>IFERROR(__xludf.DUMMYFUNCTION("""COMPUTED_VALUE"""),485865.0)</f>
        <v>485865</v>
      </c>
      <c r="P91" s="6">
        <f>IFERROR(__xludf.DUMMYFUNCTION("""COMPUTED_VALUE"""),464729.72000000003)</f>
        <v>464729.72</v>
      </c>
    </row>
    <row r="92" ht="15.75" customHeight="1">
      <c r="A92" s="6" t="str">
        <f>IFERROR(__xludf.DUMMYFUNCTION("""COMPUTED_VALUE"""),"Month3")</f>
        <v>Month3</v>
      </c>
      <c r="B92" s="6" t="str">
        <f>IFERROR(__xludf.DUMMYFUNCTION("""COMPUTED_VALUE"""),"March")</f>
        <v>March</v>
      </c>
      <c r="C92" s="6" t="str">
        <f>IFERROR(__xludf.DUMMYFUNCTION("""COMPUTED_VALUE"""),"South")</f>
        <v>South</v>
      </c>
      <c r="D92" s="6" t="str">
        <f>IFERROR(__xludf.DUMMYFUNCTION("""COMPUTED_VALUE"""),"Kochi")</f>
        <v>Kochi</v>
      </c>
      <c r="E92" s="6" t="str">
        <f>IFERROR(__xludf.DUMMYFUNCTION("""COMPUTED_VALUE"""),"ZestVita")</f>
        <v>ZestVita</v>
      </c>
      <c r="F92" s="6">
        <f>IFERROR(__xludf.DUMMYFUNCTION("""COMPUTED_VALUE"""),24721.0)</f>
        <v>24721</v>
      </c>
      <c r="G92" s="6">
        <f>IFERROR(__xludf.DUMMYFUNCTION("""COMPUTED_VALUE"""),25463.0)</f>
        <v>25463</v>
      </c>
      <c r="H92" s="39">
        <f>IFERROR(__xludf.DUMMYFUNCTION("""COMPUTED_VALUE"""),0.1)</f>
        <v>0.1</v>
      </c>
      <c r="I92" s="6">
        <f>IFERROR(__xludf.DUMMYFUNCTION("""COMPUTED_VALUE"""),135.0)</f>
        <v>135</v>
      </c>
      <c r="J92" s="6">
        <f>IFERROR(__xludf.DUMMYFUNCTION("""COMPUTED_VALUE"""),121.5)</f>
        <v>121.5</v>
      </c>
      <c r="K92" s="59">
        <f>IFERROR(__xludf.DUMMYFUNCTION("""COMPUTED_VALUE"""),3003601.5)</f>
        <v>3003601.5</v>
      </c>
      <c r="L92" s="6">
        <f>IFERROR(__xludf.DUMMYFUNCTION("""COMPUTED_VALUE"""),3437505.0)</f>
        <v>3437505</v>
      </c>
      <c r="M92" s="6">
        <f>IFERROR(__xludf.DUMMYFUNCTION("""COMPUTED_VALUE"""),74.03)</f>
        <v>74.03</v>
      </c>
      <c r="N92" s="6">
        <f>IFERROR(__xludf.DUMMYFUNCTION("""COMPUTED_VALUE"""),73.16)</f>
        <v>73.16</v>
      </c>
      <c r="O92" s="6">
        <f>IFERROR(__xludf.DUMMYFUNCTION("""COMPUTED_VALUE"""),1830095.6300000001)</f>
        <v>1830095.63</v>
      </c>
      <c r="P92" s="6">
        <f>IFERROR(__xludf.DUMMYFUNCTION("""COMPUTED_VALUE"""),1862873.0799999998)</f>
        <v>1862873.08</v>
      </c>
    </row>
    <row r="93" ht="15.75" customHeight="1">
      <c r="A93" s="6" t="str">
        <f>IFERROR(__xludf.DUMMYFUNCTION("""COMPUTED_VALUE"""),"Month3")</f>
        <v>Month3</v>
      </c>
      <c r="B93" s="6" t="str">
        <f>IFERROR(__xludf.DUMMYFUNCTION("""COMPUTED_VALUE"""),"March")</f>
        <v>March</v>
      </c>
      <c r="C93" s="6" t="str">
        <f>IFERROR(__xludf.DUMMYFUNCTION("""COMPUTED_VALUE"""),"South")</f>
        <v>South</v>
      </c>
      <c r="D93" s="6" t="str">
        <f>IFERROR(__xludf.DUMMYFUNCTION("""COMPUTED_VALUE"""),"Kochi")</f>
        <v>Kochi</v>
      </c>
      <c r="E93" s="6" t="str">
        <f>IFERROR(__xludf.DUMMYFUNCTION("""COMPUTED_VALUE"""),"NutriKid")</f>
        <v>NutriKid</v>
      </c>
      <c r="F93" s="6">
        <f>IFERROR(__xludf.DUMMYFUNCTION("""COMPUTED_VALUE"""),15270.0)</f>
        <v>15270</v>
      </c>
      <c r="G93" s="6">
        <f>IFERROR(__xludf.DUMMYFUNCTION("""COMPUTED_VALUE"""),16186.0)</f>
        <v>16186</v>
      </c>
      <c r="H93" s="39">
        <f>IFERROR(__xludf.DUMMYFUNCTION("""COMPUTED_VALUE"""),0.1)</f>
        <v>0.1</v>
      </c>
      <c r="I93" s="6">
        <f>IFERROR(__xludf.DUMMYFUNCTION("""COMPUTED_VALUE"""),60.0)</f>
        <v>60</v>
      </c>
      <c r="J93" s="6">
        <f>IFERROR(__xludf.DUMMYFUNCTION("""COMPUTED_VALUE"""),54.0)</f>
        <v>54</v>
      </c>
      <c r="K93" s="59">
        <f>IFERROR(__xludf.DUMMYFUNCTION("""COMPUTED_VALUE"""),824580.0)</f>
        <v>824580</v>
      </c>
      <c r="L93" s="6">
        <f>IFERROR(__xludf.DUMMYFUNCTION("""COMPUTED_VALUE"""),971160.0)</f>
        <v>971160</v>
      </c>
      <c r="M93" s="6">
        <f>IFERROR(__xludf.DUMMYFUNCTION("""COMPUTED_VALUE"""),33.75)</f>
        <v>33.75</v>
      </c>
      <c r="N93" s="6">
        <f>IFERROR(__xludf.DUMMYFUNCTION("""COMPUTED_VALUE"""),29.89)</f>
        <v>29.89</v>
      </c>
      <c r="O93" s="6">
        <f>IFERROR(__xludf.DUMMYFUNCTION("""COMPUTED_VALUE"""),515362.5)</f>
        <v>515362.5</v>
      </c>
      <c r="P93" s="6">
        <f>IFERROR(__xludf.DUMMYFUNCTION("""COMPUTED_VALUE"""),483799.54000000004)</f>
        <v>483799.54</v>
      </c>
    </row>
    <row r="94" ht="15.75" customHeight="1">
      <c r="A94" s="6" t="str">
        <f>IFERROR(__xludf.DUMMYFUNCTION("""COMPUTED_VALUE"""),"Month3")</f>
        <v>Month3</v>
      </c>
      <c r="B94" s="6" t="str">
        <f>IFERROR(__xludf.DUMMYFUNCTION("""COMPUTED_VALUE"""),"March")</f>
        <v>March</v>
      </c>
      <c r="C94" s="6" t="str">
        <f>IFERROR(__xludf.DUMMYFUNCTION("""COMPUTED_VALUE"""),"West")</f>
        <v>West</v>
      </c>
      <c r="D94" s="6" t="str">
        <f>IFERROR(__xludf.DUMMYFUNCTION("""COMPUTED_VALUE"""),"Jaipur")</f>
        <v>Jaipur</v>
      </c>
      <c r="E94" s="6" t="str">
        <f>IFERROR(__xludf.DUMMYFUNCTION("""COMPUTED_VALUE"""),"ZestVita")</f>
        <v>ZestVita</v>
      </c>
      <c r="F94" s="6">
        <f>IFERROR(__xludf.DUMMYFUNCTION("""COMPUTED_VALUE"""),27264.0)</f>
        <v>27264</v>
      </c>
      <c r="G94" s="6">
        <f>IFERROR(__xludf.DUMMYFUNCTION("""COMPUTED_VALUE"""),30263.0)</f>
        <v>30263</v>
      </c>
      <c r="H94" s="39">
        <f>IFERROR(__xludf.DUMMYFUNCTION("""COMPUTED_VALUE"""),0.0)</f>
        <v>0</v>
      </c>
      <c r="I94" s="6">
        <f>IFERROR(__xludf.DUMMYFUNCTION("""COMPUTED_VALUE"""),135.0)</f>
        <v>135</v>
      </c>
      <c r="J94" s="6">
        <f>IFERROR(__xludf.DUMMYFUNCTION("""COMPUTED_VALUE"""),135.0)</f>
        <v>135</v>
      </c>
      <c r="K94" s="59">
        <f>IFERROR(__xludf.DUMMYFUNCTION("""COMPUTED_VALUE"""),3680640.0)</f>
        <v>3680640</v>
      </c>
      <c r="L94" s="6">
        <f>IFERROR(__xludf.DUMMYFUNCTION("""COMPUTED_VALUE"""),4085505.0)</f>
        <v>4085505</v>
      </c>
      <c r="M94" s="6">
        <f>IFERROR(__xludf.DUMMYFUNCTION("""COMPUTED_VALUE"""),74.03)</f>
        <v>74.03</v>
      </c>
      <c r="N94" s="6">
        <f>IFERROR(__xludf.DUMMYFUNCTION("""COMPUTED_VALUE"""),73.16)</f>
        <v>73.16</v>
      </c>
      <c r="O94" s="6">
        <f>IFERROR(__xludf.DUMMYFUNCTION("""COMPUTED_VALUE"""),2018353.92)</f>
        <v>2018353.92</v>
      </c>
      <c r="P94" s="6">
        <f>IFERROR(__xludf.DUMMYFUNCTION("""COMPUTED_VALUE"""),2214041.08)</f>
        <v>2214041.08</v>
      </c>
    </row>
    <row r="95" ht="15.75" customHeight="1">
      <c r="A95" s="6" t="str">
        <f>IFERROR(__xludf.DUMMYFUNCTION("""COMPUTED_VALUE"""),"Month3")</f>
        <v>Month3</v>
      </c>
      <c r="B95" s="6" t="str">
        <f>IFERROR(__xludf.DUMMYFUNCTION("""COMPUTED_VALUE"""),"March")</f>
        <v>March</v>
      </c>
      <c r="C95" s="6" t="str">
        <f>IFERROR(__xludf.DUMMYFUNCTION("""COMPUTED_VALUE"""),"West")</f>
        <v>West</v>
      </c>
      <c r="D95" s="6" t="str">
        <f>IFERROR(__xludf.DUMMYFUNCTION("""COMPUTED_VALUE"""),"Jaipur")</f>
        <v>Jaipur</v>
      </c>
      <c r="E95" s="6" t="str">
        <f>IFERROR(__xludf.DUMMYFUNCTION("""COMPUTED_VALUE"""),"NutriKid")</f>
        <v>NutriKid</v>
      </c>
      <c r="F95" s="6">
        <f>IFERROR(__xludf.DUMMYFUNCTION("""COMPUTED_VALUE"""),20689.0)</f>
        <v>20689</v>
      </c>
      <c r="G95" s="6">
        <f>IFERROR(__xludf.DUMMYFUNCTION("""COMPUTED_VALUE"""),23379.0)</f>
        <v>23379</v>
      </c>
      <c r="H95" s="39">
        <f>IFERROR(__xludf.DUMMYFUNCTION("""COMPUTED_VALUE"""),0.0)</f>
        <v>0</v>
      </c>
      <c r="I95" s="6">
        <f>IFERROR(__xludf.DUMMYFUNCTION("""COMPUTED_VALUE"""),60.0)</f>
        <v>60</v>
      </c>
      <c r="J95" s="6">
        <f>IFERROR(__xludf.DUMMYFUNCTION("""COMPUTED_VALUE"""),60.0)</f>
        <v>60</v>
      </c>
      <c r="K95" s="59">
        <f>IFERROR(__xludf.DUMMYFUNCTION("""COMPUTED_VALUE"""),1241340.0)</f>
        <v>1241340</v>
      </c>
      <c r="L95" s="6">
        <f>IFERROR(__xludf.DUMMYFUNCTION("""COMPUTED_VALUE"""),1402740.0)</f>
        <v>1402740</v>
      </c>
      <c r="M95" s="6">
        <f>IFERROR(__xludf.DUMMYFUNCTION("""COMPUTED_VALUE"""),33.75)</f>
        <v>33.75</v>
      </c>
      <c r="N95" s="6">
        <f>IFERROR(__xludf.DUMMYFUNCTION("""COMPUTED_VALUE"""),29.89)</f>
        <v>29.89</v>
      </c>
      <c r="O95" s="6">
        <f>IFERROR(__xludf.DUMMYFUNCTION("""COMPUTED_VALUE"""),698253.75)</f>
        <v>698253.75</v>
      </c>
      <c r="P95" s="6">
        <f>IFERROR(__xludf.DUMMYFUNCTION("""COMPUTED_VALUE"""),698798.31)</f>
        <v>698798.31</v>
      </c>
    </row>
    <row r="96" ht="15.75" customHeight="1">
      <c r="A96" s="6" t="str">
        <f>IFERROR(__xludf.DUMMYFUNCTION("""COMPUTED_VALUE"""),"Month3")</f>
        <v>Month3</v>
      </c>
      <c r="B96" s="6" t="str">
        <f>IFERROR(__xludf.DUMMYFUNCTION("""COMPUTED_VALUE"""),"March")</f>
        <v>March</v>
      </c>
      <c r="C96" s="6" t="str">
        <f>IFERROR(__xludf.DUMMYFUNCTION("""COMPUTED_VALUE"""),"East")</f>
        <v>East</v>
      </c>
      <c r="D96" s="6" t="str">
        <f>IFERROR(__xludf.DUMMYFUNCTION("""COMPUTED_VALUE"""),"Patna")</f>
        <v>Patna</v>
      </c>
      <c r="E96" s="6" t="str">
        <f>IFERROR(__xludf.DUMMYFUNCTION("""COMPUTED_VALUE"""),"ZestVita")</f>
        <v>ZestVita</v>
      </c>
      <c r="F96" s="6">
        <f>IFERROR(__xludf.DUMMYFUNCTION("""COMPUTED_VALUE"""),23299.0)</f>
        <v>23299</v>
      </c>
      <c r="G96" s="6">
        <f>IFERROR(__xludf.DUMMYFUNCTION("""COMPUTED_VALUE"""),29124.0)</f>
        <v>29124</v>
      </c>
      <c r="H96" s="39">
        <f>IFERROR(__xludf.DUMMYFUNCTION("""COMPUTED_VALUE"""),0.05)</f>
        <v>0.05</v>
      </c>
      <c r="I96" s="6">
        <f>IFERROR(__xludf.DUMMYFUNCTION("""COMPUTED_VALUE"""),135.0)</f>
        <v>135</v>
      </c>
      <c r="J96" s="6">
        <f>IFERROR(__xludf.DUMMYFUNCTION("""COMPUTED_VALUE"""),128.25)</f>
        <v>128.25</v>
      </c>
      <c r="K96" s="59">
        <f>IFERROR(__xludf.DUMMYFUNCTION("""COMPUTED_VALUE"""),2988096.75)</f>
        <v>2988096.75</v>
      </c>
      <c r="L96" s="6">
        <f>IFERROR(__xludf.DUMMYFUNCTION("""COMPUTED_VALUE"""),3931740.0)</f>
        <v>3931740</v>
      </c>
      <c r="M96" s="6">
        <f>IFERROR(__xludf.DUMMYFUNCTION("""COMPUTED_VALUE"""),74.03)</f>
        <v>74.03</v>
      </c>
      <c r="N96" s="6">
        <f>IFERROR(__xludf.DUMMYFUNCTION("""COMPUTED_VALUE"""),73.16)</f>
        <v>73.16</v>
      </c>
      <c r="O96" s="6">
        <f>IFERROR(__xludf.DUMMYFUNCTION("""COMPUTED_VALUE"""),1724824.97)</f>
        <v>1724824.97</v>
      </c>
      <c r="P96" s="6">
        <f>IFERROR(__xludf.DUMMYFUNCTION("""COMPUTED_VALUE"""),2130711.84)</f>
        <v>2130711.84</v>
      </c>
    </row>
    <row r="97" ht="15.75" customHeight="1">
      <c r="A97" s="6" t="str">
        <f>IFERROR(__xludf.DUMMYFUNCTION("""COMPUTED_VALUE"""),"Month3")</f>
        <v>Month3</v>
      </c>
      <c r="B97" s="6" t="str">
        <f>IFERROR(__xludf.DUMMYFUNCTION("""COMPUTED_VALUE"""),"March")</f>
        <v>March</v>
      </c>
      <c r="C97" s="6" t="str">
        <f>IFERROR(__xludf.DUMMYFUNCTION("""COMPUTED_VALUE"""),"East")</f>
        <v>East</v>
      </c>
      <c r="D97" s="6" t="str">
        <f>IFERROR(__xludf.DUMMYFUNCTION("""COMPUTED_VALUE"""),"Patna")</f>
        <v>Patna</v>
      </c>
      <c r="E97" s="6" t="str">
        <f>IFERROR(__xludf.DUMMYFUNCTION("""COMPUTED_VALUE"""),"NutriKid")</f>
        <v>NutriKid</v>
      </c>
      <c r="F97" s="6">
        <f>IFERROR(__xludf.DUMMYFUNCTION("""COMPUTED_VALUE"""),30503.0)</f>
        <v>30503</v>
      </c>
      <c r="G97" s="6">
        <f>IFERROR(__xludf.DUMMYFUNCTION("""COMPUTED_VALUE"""),36909.0)</f>
        <v>36909</v>
      </c>
      <c r="H97" s="39">
        <f>IFERROR(__xludf.DUMMYFUNCTION("""COMPUTED_VALUE"""),0.05)</f>
        <v>0.05</v>
      </c>
      <c r="I97" s="6">
        <f>IFERROR(__xludf.DUMMYFUNCTION("""COMPUTED_VALUE"""),60.0)</f>
        <v>60</v>
      </c>
      <c r="J97" s="6">
        <f>IFERROR(__xludf.DUMMYFUNCTION("""COMPUTED_VALUE"""),57.0)</f>
        <v>57</v>
      </c>
      <c r="K97" s="59">
        <f>IFERROR(__xludf.DUMMYFUNCTION("""COMPUTED_VALUE"""),1738671.0)</f>
        <v>1738671</v>
      </c>
      <c r="L97" s="6">
        <f>IFERROR(__xludf.DUMMYFUNCTION("""COMPUTED_VALUE"""),2214540.0)</f>
        <v>2214540</v>
      </c>
      <c r="M97" s="6">
        <f>IFERROR(__xludf.DUMMYFUNCTION("""COMPUTED_VALUE"""),33.75)</f>
        <v>33.75</v>
      </c>
      <c r="N97" s="6">
        <f>IFERROR(__xludf.DUMMYFUNCTION("""COMPUTED_VALUE"""),29.89)</f>
        <v>29.89</v>
      </c>
      <c r="O97" s="6">
        <f>IFERROR(__xludf.DUMMYFUNCTION("""COMPUTED_VALUE"""),1029476.25)</f>
        <v>1029476.25</v>
      </c>
      <c r="P97" s="6">
        <f>IFERROR(__xludf.DUMMYFUNCTION("""COMPUTED_VALUE"""),1103210.01)</f>
        <v>1103210.01</v>
      </c>
    </row>
    <row r="98" ht="15.75" customHeight="1">
      <c r="A98" s="6" t="str">
        <f>IFERROR(__xludf.DUMMYFUNCTION("""COMPUTED_VALUE"""),"Month4")</f>
        <v>Month4</v>
      </c>
      <c r="B98" s="6" t="str">
        <f>IFERROR(__xludf.DUMMYFUNCTION("""COMPUTED_VALUE"""),"April")</f>
        <v>April</v>
      </c>
      <c r="C98" s="6" t="str">
        <f>IFERROR(__xludf.DUMMYFUNCTION("""COMPUTED_VALUE"""),"North")</f>
        <v>North</v>
      </c>
      <c r="D98" s="6" t="str">
        <f>IFERROR(__xludf.DUMMYFUNCTION("""COMPUTED_VALUE"""),"Delhi")</f>
        <v>Delhi</v>
      </c>
      <c r="E98" s="6" t="str">
        <f>IFERROR(__xludf.DUMMYFUNCTION("""COMPUTED_VALUE"""),"ZestVita")</f>
        <v>ZestVita</v>
      </c>
      <c r="F98" s="6">
        <f>IFERROR(__xludf.DUMMYFUNCTION("""COMPUTED_VALUE"""),32979.0)</f>
        <v>32979</v>
      </c>
      <c r="G98" s="6">
        <f>IFERROR(__xludf.DUMMYFUNCTION("""COMPUTED_VALUE"""),40234.0)</f>
        <v>40234</v>
      </c>
      <c r="H98" s="39">
        <f>IFERROR(__xludf.DUMMYFUNCTION("""COMPUTED_VALUE"""),0.0)</f>
        <v>0</v>
      </c>
      <c r="I98" s="6">
        <f>IFERROR(__xludf.DUMMYFUNCTION("""COMPUTED_VALUE"""),135.0)</f>
        <v>135</v>
      </c>
      <c r="J98" s="6">
        <f>IFERROR(__xludf.DUMMYFUNCTION("""COMPUTED_VALUE"""),135.0)</f>
        <v>135</v>
      </c>
      <c r="K98" s="59">
        <f>IFERROR(__xludf.DUMMYFUNCTION("""COMPUTED_VALUE"""),4452165.0)</f>
        <v>4452165</v>
      </c>
      <c r="L98" s="6">
        <f>IFERROR(__xludf.DUMMYFUNCTION("""COMPUTED_VALUE"""),5431590.0)</f>
        <v>5431590</v>
      </c>
      <c r="M98" s="6">
        <f>IFERROR(__xludf.DUMMYFUNCTION("""COMPUTED_VALUE"""),74.03)</f>
        <v>74.03</v>
      </c>
      <c r="N98" s="6">
        <f>IFERROR(__xludf.DUMMYFUNCTION("""COMPUTED_VALUE"""),73.16)</f>
        <v>73.16</v>
      </c>
      <c r="O98" s="6">
        <f>IFERROR(__xludf.DUMMYFUNCTION("""COMPUTED_VALUE"""),2441435.37)</f>
        <v>2441435.37</v>
      </c>
      <c r="P98" s="6">
        <f>IFERROR(__xludf.DUMMYFUNCTION("""COMPUTED_VALUE"""),2943519.44)</f>
        <v>2943519.44</v>
      </c>
    </row>
    <row r="99" ht="15.75" customHeight="1">
      <c r="A99" s="6" t="str">
        <f>IFERROR(__xludf.DUMMYFUNCTION("""COMPUTED_VALUE"""),"Month4")</f>
        <v>Month4</v>
      </c>
      <c r="B99" s="6" t="str">
        <f>IFERROR(__xludf.DUMMYFUNCTION("""COMPUTED_VALUE"""),"April")</f>
        <v>April</v>
      </c>
      <c r="C99" s="6" t="str">
        <f>IFERROR(__xludf.DUMMYFUNCTION("""COMPUTED_VALUE"""),"North")</f>
        <v>North</v>
      </c>
      <c r="D99" s="6" t="str">
        <f>IFERROR(__xludf.DUMMYFUNCTION("""COMPUTED_VALUE"""),"Delhi")</f>
        <v>Delhi</v>
      </c>
      <c r="E99" s="6" t="str">
        <f>IFERROR(__xludf.DUMMYFUNCTION("""COMPUTED_VALUE"""),"NutriKid")</f>
        <v>NutriKid</v>
      </c>
      <c r="F99" s="6">
        <f>IFERROR(__xludf.DUMMYFUNCTION("""COMPUTED_VALUE"""),25544.0)</f>
        <v>25544</v>
      </c>
      <c r="G99" s="6">
        <f>IFERROR(__xludf.DUMMYFUNCTION("""COMPUTED_VALUE"""),31930.0)</f>
        <v>31930</v>
      </c>
      <c r="H99" s="39">
        <f>IFERROR(__xludf.DUMMYFUNCTION("""COMPUTED_VALUE"""),0.0)</f>
        <v>0</v>
      </c>
      <c r="I99" s="6">
        <f>IFERROR(__xludf.DUMMYFUNCTION("""COMPUTED_VALUE"""),60.0)</f>
        <v>60</v>
      </c>
      <c r="J99" s="6">
        <f>IFERROR(__xludf.DUMMYFUNCTION("""COMPUTED_VALUE"""),60.0)</f>
        <v>60</v>
      </c>
      <c r="K99" s="59">
        <f>IFERROR(__xludf.DUMMYFUNCTION("""COMPUTED_VALUE"""),1532640.0)</f>
        <v>1532640</v>
      </c>
      <c r="L99" s="6">
        <f>IFERROR(__xludf.DUMMYFUNCTION("""COMPUTED_VALUE"""),1915800.0)</f>
        <v>1915800</v>
      </c>
      <c r="M99" s="6">
        <f>IFERROR(__xludf.DUMMYFUNCTION("""COMPUTED_VALUE"""),33.75)</f>
        <v>33.75</v>
      </c>
      <c r="N99" s="6">
        <f>IFERROR(__xludf.DUMMYFUNCTION("""COMPUTED_VALUE"""),29.89)</f>
        <v>29.89</v>
      </c>
      <c r="O99" s="6">
        <f>IFERROR(__xludf.DUMMYFUNCTION("""COMPUTED_VALUE"""),862110.0)</f>
        <v>862110</v>
      </c>
      <c r="P99" s="6">
        <f>IFERROR(__xludf.DUMMYFUNCTION("""COMPUTED_VALUE"""),954387.7000000001)</f>
        <v>954387.7</v>
      </c>
    </row>
    <row r="100" ht="15.75" customHeight="1">
      <c r="A100" s="6" t="str">
        <f>IFERROR(__xludf.DUMMYFUNCTION("""COMPUTED_VALUE"""),"Month4")</f>
        <v>Month4</v>
      </c>
      <c r="B100" s="6" t="str">
        <f>IFERROR(__xludf.DUMMYFUNCTION("""COMPUTED_VALUE"""),"April")</f>
        <v>April</v>
      </c>
      <c r="C100" s="6" t="str">
        <f>IFERROR(__xludf.DUMMYFUNCTION("""COMPUTED_VALUE"""),"East")</f>
        <v>East</v>
      </c>
      <c r="D100" s="6" t="str">
        <f>IFERROR(__xludf.DUMMYFUNCTION("""COMPUTED_VALUE"""),"Kolkata")</f>
        <v>Kolkata</v>
      </c>
      <c r="E100" s="6" t="str">
        <f>IFERROR(__xludf.DUMMYFUNCTION("""COMPUTED_VALUE"""),"ZestVita")</f>
        <v>ZestVita</v>
      </c>
      <c r="F100" s="6">
        <f>IFERROR(__xludf.DUMMYFUNCTION("""COMPUTED_VALUE"""),17900.0)</f>
        <v>17900</v>
      </c>
      <c r="G100" s="6">
        <f>IFERROR(__xludf.DUMMYFUNCTION("""COMPUTED_VALUE"""),20585.0)</f>
        <v>20585</v>
      </c>
      <c r="H100" s="39">
        <f>IFERROR(__xludf.DUMMYFUNCTION("""COMPUTED_VALUE"""),0.0)</f>
        <v>0</v>
      </c>
      <c r="I100" s="6">
        <f>IFERROR(__xludf.DUMMYFUNCTION("""COMPUTED_VALUE"""),135.0)</f>
        <v>135</v>
      </c>
      <c r="J100" s="6">
        <f>IFERROR(__xludf.DUMMYFUNCTION("""COMPUTED_VALUE"""),135.0)</f>
        <v>135</v>
      </c>
      <c r="K100" s="59">
        <f>IFERROR(__xludf.DUMMYFUNCTION("""COMPUTED_VALUE"""),2416500.0)</f>
        <v>2416500</v>
      </c>
      <c r="L100" s="6">
        <f>IFERROR(__xludf.DUMMYFUNCTION("""COMPUTED_VALUE"""),2778975.0)</f>
        <v>2778975</v>
      </c>
      <c r="M100" s="6">
        <f>IFERROR(__xludf.DUMMYFUNCTION("""COMPUTED_VALUE"""),74.03)</f>
        <v>74.03</v>
      </c>
      <c r="N100" s="6">
        <f>IFERROR(__xludf.DUMMYFUNCTION("""COMPUTED_VALUE"""),73.16)</f>
        <v>73.16</v>
      </c>
      <c r="O100" s="6">
        <f>IFERROR(__xludf.DUMMYFUNCTION("""COMPUTED_VALUE"""),1325137.0)</f>
        <v>1325137</v>
      </c>
      <c r="P100" s="6">
        <f>IFERROR(__xludf.DUMMYFUNCTION("""COMPUTED_VALUE"""),1505998.5999999999)</f>
        <v>1505998.6</v>
      </c>
    </row>
    <row r="101" ht="15.75" customHeight="1">
      <c r="A101" s="6" t="str">
        <f>IFERROR(__xludf.DUMMYFUNCTION("""COMPUTED_VALUE"""),"Month4")</f>
        <v>Month4</v>
      </c>
      <c r="B101" s="6" t="str">
        <f>IFERROR(__xludf.DUMMYFUNCTION("""COMPUTED_VALUE"""),"April")</f>
        <v>April</v>
      </c>
      <c r="C101" s="6" t="str">
        <f>IFERROR(__xludf.DUMMYFUNCTION("""COMPUTED_VALUE"""),"East")</f>
        <v>East</v>
      </c>
      <c r="D101" s="6" t="str">
        <f>IFERROR(__xludf.DUMMYFUNCTION("""COMPUTED_VALUE"""),"Kolkata")</f>
        <v>Kolkata</v>
      </c>
      <c r="E101" s="6" t="str">
        <f>IFERROR(__xludf.DUMMYFUNCTION("""COMPUTED_VALUE"""),"NutriKid")</f>
        <v>NutriKid</v>
      </c>
      <c r="F101" s="6">
        <f>IFERROR(__xludf.DUMMYFUNCTION("""COMPUTED_VALUE"""),35179.0)</f>
        <v>35179</v>
      </c>
      <c r="G101" s="6">
        <f>IFERROR(__xludf.DUMMYFUNCTION("""COMPUTED_VALUE"""),43622.0)</f>
        <v>43622</v>
      </c>
      <c r="H101" s="39">
        <f>IFERROR(__xludf.DUMMYFUNCTION("""COMPUTED_VALUE"""),0.0)</f>
        <v>0</v>
      </c>
      <c r="I101" s="6">
        <f>IFERROR(__xludf.DUMMYFUNCTION("""COMPUTED_VALUE"""),60.0)</f>
        <v>60</v>
      </c>
      <c r="J101" s="6">
        <f>IFERROR(__xludf.DUMMYFUNCTION("""COMPUTED_VALUE"""),60.0)</f>
        <v>60</v>
      </c>
      <c r="K101" s="59">
        <f>IFERROR(__xludf.DUMMYFUNCTION("""COMPUTED_VALUE"""),2110740.0)</f>
        <v>2110740</v>
      </c>
      <c r="L101" s="6">
        <f>IFERROR(__xludf.DUMMYFUNCTION("""COMPUTED_VALUE"""),2617320.0)</f>
        <v>2617320</v>
      </c>
      <c r="M101" s="6">
        <f>IFERROR(__xludf.DUMMYFUNCTION("""COMPUTED_VALUE"""),33.75)</f>
        <v>33.75</v>
      </c>
      <c r="N101" s="6">
        <f>IFERROR(__xludf.DUMMYFUNCTION("""COMPUTED_VALUE"""),29.89)</f>
        <v>29.89</v>
      </c>
      <c r="O101" s="6">
        <f>IFERROR(__xludf.DUMMYFUNCTION("""COMPUTED_VALUE"""),1187291.25)</f>
        <v>1187291.25</v>
      </c>
      <c r="P101" s="6">
        <f>IFERROR(__xludf.DUMMYFUNCTION("""COMPUTED_VALUE"""),1303861.58)</f>
        <v>1303861.58</v>
      </c>
    </row>
    <row r="102" ht="15.75" customHeight="1">
      <c r="A102" s="6" t="str">
        <f>IFERROR(__xludf.DUMMYFUNCTION("""COMPUTED_VALUE"""),"Month4")</f>
        <v>Month4</v>
      </c>
      <c r="B102" s="6" t="str">
        <f>IFERROR(__xludf.DUMMYFUNCTION("""COMPUTED_VALUE"""),"April")</f>
        <v>April</v>
      </c>
      <c r="C102" s="6" t="str">
        <f>IFERROR(__xludf.DUMMYFUNCTION("""COMPUTED_VALUE"""),"West")</f>
        <v>West</v>
      </c>
      <c r="D102" s="6" t="str">
        <f>IFERROR(__xludf.DUMMYFUNCTION("""COMPUTED_VALUE"""),"Pune")</f>
        <v>Pune</v>
      </c>
      <c r="E102" s="6" t="str">
        <f>IFERROR(__xludf.DUMMYFUNCTION("""COMPUTED_VALUE"""),"ZestVita")</f>
        <v>ZestVita</v>
      </c>
      <c r="F102" s="6">
        <f>IFERROR(__xludf.DUMMYFUNCTION("""COMPUTED_VALUE"""),21795.0)</f>
        <v>21795</v>
      </c>
      <c r="G102" s="6">
        <f>IFERROR(__xludf.DUMMYFUNCTION("""COMPUTED_VALUE"""),26590.0)</f>
        <v>26590</v>
      </c>
      <c r="H102" s="39">
        <f>IFERROR(__xludf.DUMMYFUNCTION("""COMPUTED_VALUE"""),0.0)</f>
        <v>0</v>
      </c>
      <c r="I102" s="6">
        <f>IFERROR(__xludf.DUMMYFUNCTION("""COMPUTED_VALUE"""),135.0)</f>
        <v>135</v>
      </c>
      <c r="J102" s="6">
        <f>IFERROR(__xludf.DUMMYFUNCTION("""COMPUTED_VALUE"""),135.0)</f>
        <v>135</v>
      </c>
      <c r="K102" s="59">
        <f>IFERROR(__xludf.DUMMYFUNCTION("""COMPUTED_VALUE"""),2942325.0)</f>
        <v>2942325</v>
      </c>
      <c r="L102" s="6">
        <f>IFERROR(__xludf.DUMMYFUNCTION("""COMPUTED_VALUE"""),3589650.0)</f>
        <v>3589650</v>
      </c>
      <c r="M102" s="6">
        <f>IFERROR(__xludf.DUMMYFUNCTION("""COMPUTED_VALUE"""),74.03)</f>
        <v>74.03</v>
      </c>
      <c r="N102" s="6">
        <f>IFERROR(__xludf.DUMMYFUNCTION("""COMPUTED_VALUE"""),73.16)</f>
        <v>73.16</v>
      </c>
      <c r="O102" s="6">
        <f>IFERROR(__xludf.DUMMYFUNCTION("""COMPUTED_VALUE"""),1613483.85)</f>
        <v>1613483.85</v>
      </c>
      <c r="P102" s="6">
        <f>IFERROR(__xludf.DUMMYFUNCTION("""COMPUTED_VALUE"""),1945324.4)</f>
        <v>1945324.4</v>
      </c>
    </row>
    <row r="103" ht="15.75" customHeight="1">
      <c r="A103" s="6" t="str">
        <f>IFERROR(__xludf.DUMMYFUNCTION("""COMPUTED_VALUE"""),"Month4")</f>
        <v>Month4</v>
      </c>
      <c r="B103" s="6" t="str">
        <f>IFERROR(__xludf.DUMMYFUNCTION("""COMPUTED_VALUE"""),"April")</f>
        <v>April</v>
      </c>
      <c r="C103" s="6" t="str">
        <f>IFERROR(__xludf.DUMMYFUNCTION("""COMPUTED_VALUE"""),"West")</f>
        <v>West</v>
      </c>
      <c r="D103" s="6" t="str">
        <f>IFERROR(__xludf.DUMMYFUNCTION("""COMPUTED_VALUE"""),"Pune")</f>
        <v>Pune</v>
      </c>
      <c r="E103" s="6" t="str">
        <f>IFERROR(__xludf.DUMMYFUNCTION("""COMPUTED_VALUE"""),"NutriKid")</f>
        <v>NutriKid</v>
      </c>
      <c r="F103" s="6">
        <f>IFERROR(__xludf.DUMMYFUNCTION("""COMPUTED_VALUE"""),25739.0)</f>
        <v>25739</v>
      </c>
      <c r="G103" s="6">
        <f>IFERROR(__xludf.DUMMYFUNCTION("""COMPUTED_VALUE"""),28570.0)</f>
        <v>28570</v>
      </c>
      <c r="H103" s="39">
        <f>IFERROR(__xludf.DUMMYFUNCTION("""COMPUTED_VALUE"""),0.0)</f>
        <v>0</v>
      </c>
      <c r="I103" s="6">
        <f>IFERROR(__xludf.DUMMYFUNCTION("""COMPUTED_VALUE"""),60.0)</f>
        <v>60</v>
      </c>
      <c r="J103" s="6">
        <f>IFERROR(__xludf.DUMMYFUNCTION("""COMPUTED_VALUE"""),60.0)</f>
        <v>60</v>
      </c>
      <c r="K103" s="59">
        <f>IFERROR(__xludf.DUMMYFUNCTION("""COMPUTED_VALUE"""),1544340.0)</f>
        <v>1544340</v>
      </c>
      <c r="L103" s="6">
        <f>IFERROR(__xludf.DUMMYFUNCTION("""COMPUTED_VALUE"""),1714200.0)</f>
        <v>1714200</v>
      </c>
      <c r="M103" s="6">
        <f>IFERROR(__xludf.DUMMYFUNCTION("""COMPUTED_VALUE"""),33.75)</f>
        <v>33.75</v>
      </c>
      <c r="N103" s="6">
        <f>IFERROR(__xludf.DUMMYFUNCTION("""COMPUTED_VALUE"""),29.89)</f>
        <v>29.89</v>
      </c>
      <c r="O103" s="6">
        <f>IFERROR(__xludf.DUMMYFUNCTION("""COMPUTED_VALUE"""),868691.25)</f>
        <v>868691.25</v>
      </c>
      <c r="P103" s="6">
        <f>IFERROR(__xludf.DUMMYFUNCTION("""COMPUTED_VALUE"""),853957.3)</f>
        <v>853957.3</v>
      </c>
    </row>
    <row r="104" ht="15.75" customHeight="1">
      <c r="A104" s="6" t="str">
        <f>IFERROR(__xludf.DUMMYFUNCTION("""COMPUTED_VALUE"""),"Month4")</f>
        <v>Month4</v>
      </c>
      <c r="B104" s="6" t="str">
        <f>IFERROR(__xludf.DUMMYFUNCTION("""COMPUTED_VALUE"""),"April")</f>
        <v>April</v>
      </c>
      <c r="C104" s="6" t="str">
        <f>IFERROR(__xludf.DUMMYFUNCTION("""COMPUTED_VALUE"""),"South")</f>
        <v>South</v>
      </c>
      <c r="D104" s="6" t="str">
        <f>IFERROR(__xludf.DUMMYFUNCTION("""COMPUTED_VALUE"""),"Bengaluru")</f>
        <v>Bengaluru</v>
      </c>
      <c r="E104" s="6" t="str">
        <f>IFERROR(__xludf.DUMMYFUNCTION("""COMPUTED_VALUE"""),"ZestVita")</f>
        <v>ZestVita</v>
      </c>
      <c r="F104" s="6">
        <f>IFERROR(__xludf.DUMMYFUNCTION("""COMPUTED_VALUE"""),40791.0)</f>
        <v>40791</v>
      </c>
      <c r="G104" s="6">
        <f>IFERROR(__xludf.DUMMYFUNCTION("""COMPUTED_VALUE"""),49765.0)</f>
        <v>49765</v>
      </c>
      <c r="H104" s="39">
        <f>IFERROR(__xludf.DUMMYFUNCTION("""COMPUTED_VALUE"""),0.0)</f>
        <v>0</v>
      </c>
      <c r="I104" s="6">
        <f>IFERROR(__xludf.DUMMYFUNCTION("""COMPUTED_VALUE"""),135.0)</f>
        <v>135</v>
      </c>
      <c r="J104" s="6">
        <f>IFERROR(__xludf.DUMMYFUNCTION("""COMPUTED_VALUE"""),135.0)</f>
        <v>135</v>
      </c>
      <c r="K104" s="59">
        <f>IFERROR(__xludf.DUMMYFUNCTION("""COMPUTED_VALUE"""),5506785.0)</f>
        <v>5506785</v>
      </c>
      <c r="L104" s="6">
        <f>IFERROR(__xludf.DUMMYFUNCTION("""COMPUTED_VALUE"""),6718275.0)</f>
        <v>6718275</v>
      </c>
      <c r="M104" s="6">
        <f>IFERROR(__xludf.DUMMYFUNCTION("""COMPUTED_VALUE"""),74.03)</f>
        <v>74.03</v>
      </c>
      <c r="N104" s="6">
        <f>IFERROR(__xludf.DUMMYFUNCTION("""COMPUTED_VALUE"""),73.16)</f>
        <v>73.16</v>
      </c>
      <c r="O104" s="6">
        <f>IFERROR(__xludf.DUMMYFUNCTION("""COMPUTED_VALUE"""),3019757.73)</f>
        <v>3019757.73</v>
      </c>
      <c r="P104" s="6">
        <f>IFERROR(__xludf.DUMMYFUNCTION("""COMPUTED_VALUE"""),3640807.4)</f>
        <v>3640807.4</v>
      </c>
    </row>
    <row r="105" ht="15.75" customHeight="1">
      <c r="A105" s="6" t="str">
        <f>IFERROR(__xludf.DUMMYFUNCTION("""COMPUTED_VALUE"""),"Month4")</f>
        <v>Month4</v>
      </c>
      <c r="B105" s="6" t="str">
        <f>IFERROR(__xludf.DUMMYFUNCTION("""COMPUTED_VALUE"""),"April")</f>
        <v>April</v>
      </c>
      <c r="C105" s="6" t="str">
        <f>IFERROR(__xludf.DUMMYFUNCTION("""COMPUTED_VALUE"""),"South")</f>
        <v>South</v>
      </c>
      <c r="D105" s="6" t="str">
        <f>IFERROR(__xludf.DUMMYFUNCTION("""COMPUTED_VALUE"""),"Bengaluru")</f>
        <v>Bengaluru</v>
      </c>
      <c r="E105" s="6" t="str">
        <f>IFERROR(__xludf.DUMMYFUNCTION("""COMPUTED_VALUE"""),"NutriKid")</f>
        <v>NutriKid</v>
      </c>
      <c r="F105" s="6">
        <f>IFERROR(__xludf.DUMMYFUNCTION("""COMPUTED_VALUE"""),21753.0)</f>
        <v>21753</v>
      </c>
      <c r="G105" s="6">
        <f>IFERROR(__xludf.DUMMYFUNCTION("""COMPUTED_VALUE"""),26321.0)</f>
        <v>26321</v>
      </c>
      <c r="H105" s="39">
        <f>IFERROR(__xludf.DUMMYFUNCTION("""COMPUTED_VALUE"""),0.0)</f>
        <v>0</v>
      </c>
      <c r="I105" s="6">
        <f>IFERROR(__xludf.DUMMYFUNCTION("""COMPUTED_VALUE"""),60.0)</f>
        <v>60</v>
      </c>
      <c r="J105" s="6">
        <f>IFERROR(__xludf.DUMMYFUNCTION("""COMPUTED_VALUE"""),60.0)</f>
        <v>60</v>
      </c>
      <c r="K105" s="59">
        <f>IFERROR(__xludf.DUMMYFUNCTION("""COMPUTED_VALUE"""),1305180.0)</f>
        <v>1305180</v>
      </c>
      <c r="L105" s="6">
        <f>IFERROR(__xludf.DUMMYFUNCTION("""COMPUTED_VALUE"""),1579260.0)</f>
        <v>1579260</v>
      </c>
      <c r="M105" s="6">
        <f>IFERROR(__xludf.DUMMYFUNCTION("""COMPUTED_VALUE"""),33.75)</f>
        <v>33.75</v>
      </c>
      <c r="N105" s="6">
        <f>IFERROR(__xludf.DUMMYFUNCTION("""COMPUTED_VALUE"""),29.89)</f>
        <v>29.89</v>
      </c>
      <c r="O105" s="6">
        <f>IFERROR(__xludf.DUMMYFUNCTION("""COMPUTED_VALUE"""),734163.75)</f>
        <v>734163.75</v>
      </c>
      <c r="P105" s="6">
        <f>IFERROR(__xludf.DUMMYFUNCTION("""COMPUTED_VALUE"""),786734.6900000001)</f>
        <v>786734.69</v>
      </c>
    </row>
    <row r="106" ht="15.75" customHeight="1">
      <c r="A106" s="6" t="str">
        <f>IFERROR(__xludf.DUMMYFUNCTION("""COMPUTED_VALUE"""),"Month4")</f>
        <v>Month4</v>
      </c>
      <c r="B106" s="6" t="str">
        <f>IFERROR(__xludf.DUMMYFUNCTION("""COMPUTED_VALUE"""),"April")</f>
        <v>April</v>
      </c>
      <c r="C106" s="6" t="str">
        <f>IFERROR(__xludf.DUMMYFUNCTION("""COMPUTED_VALUE"""),"North")</f>
        <v>North</v>
      </c>
      <c r="D106" s="6" t="str">
        <f>IFERROR(__xludf.DUMMYFUNCTION("""COMPUTED_VALUE"""),"Chandigarh")</f>
        <v>Chandigarh</v>
      </c>
      <c r="E106" s="6" t="str">
        <f>IFERROR(__xludf.DUMMYFUNCTION("""COMPUTED_VALUE"""),"ZestVita")</f>
        <v>ZestVita</v>
      </c>
      <c r="F106" s="6">
        <f>IFERROR(__xludf.DUMMYFUNCTION("""COMPUTED_VALUE"""),35006.0)</f>
        <v>35006</v>
      </c>
      <c r="G106" s="6">
        <f>IFERROR(__xludf.DUMMYFUNCTION("""COMPUTED_VALUE"""),42007.0)</f>
        <v>42007</v>
      </c>
      <c r="H106" s="39">
        <f>IFERROR(__xludf.DUMMYFUNCTION("""COMPUTED_VALUE"""),0.0)</f>
        <v>0</v>
      </c>
      <c r="I106" s="6">
        <f>IFERROR(__xludf.DUMMYFUNCTION("""COMPUTED_VALUE"""),135.0)</f>
        <v>135</v>
      </c>
      <c r="J106" s="6">
        <f>IFERROR(__xludf.DUMMYFUNCTION("""COMPUTED_VALUE"""),135.0)</f>
        <v>135</v>
      </c>
      <c r="K106" s="59">
        <f>IFERROR(__xludf.DUMMYFUNCTION("""COMPUTED_VALUE"""),4725810.0)</f>
        <v>4725810</v>
      </c>
      <c r="L106" s="6">
        <f>IFERROR(__xludf.DUMMYFUNCTION("""COMPUTED_VALUE"""),5670945.0)</f>
        <v>5670945</v>
      </c>
      <c r="M106" s="6">
        <f>IFERROR(__xludf.DUMMYFUNCTION("""COMPUTED_VALUE"""),74.03)</f>
        <v>74.03</v>
      </c>
      <c r="N106" s="6">
        <f>IFERROR(__xludf.DUMMYFUNCTION("""COMPUTED_VALUE"""),73.16)</f>
        <v>73.16</v>
      </c>
      <c r="O106" s="6">
        <f>IFERROR(__xludf.DUMMYFUNCTION("""COMPUTED_VALUE"""),2591494.18)</f>
        <v>2591494.18</v>
      </c>
      <c r="P106" s="6">
        <f>IFERROR(__xludf.DUMMYFUNCTION("""COMPUTED_VALUE"""),3073232.1199999996)</f>
        <v>3073232.12</v>
      </c>
    </row>
    <row r="107" ht="15.75" customHeight="1">
      <c r="A107" s="6" t="str">
        <f>IFERROR(__xludf.DUMMYFUNCTION("""COMPUTED_VALUE"""),"Month4")</f>
        <v>Month4</v>
      </c>
      <c r="B107" s="6" t="str">
        <f>IFERROR(__xludf.DUMMYFUNCTION("""COMPUTED_VALUE"""),"April")</f>
        <v>April</v>
      </c>
      <c r="C107" s="6" t="str">
        <f>IFERROR(__xludf.DUMMYFUNCTION("""COMPUTED_VALUE"""),"North")</f>
        <v>North</v>
      </c>
      <c r="D107" s="6" t="str">
        <f>IFERROR(__xludf.DUMMYFUNCTION("""COMPUTED_VALUE"""),"Chandigarh")</f>
        <v>Chandigarh</v>
      </c>
      <c r="E107" s="6" t="str">
        <f>IFERROR(__xludf.DUMMYFUNCTION("""COMPUTED_VALUE"""),"NutriKid")</f>
        <v>NutriKid</v>
      </c>
      <c r="F107" s="6">
        <f>IFERROR(__xludf.DUMMYFUNCTION("""COMPUTED_VALUE"""),37186.0)</f>
        <v>37186</v>
      </c>
      <c r="G107" s="6">
        <f>IFERROR(__xludf.DUMMYFUNCTION("""COMPUTED_VALUE"""),44995.0)</f>
        <v>44995</v>
      </c>
      <c r="H107" s="39">
        <f>IFERROR(__xludf.DUMMYFUNCTION("""COMPUTED_VALUE"""),0.0)</f>
        <v>0</v>
      </c>
      <c r="I107" s="6">
        <f>IFERROR(__xludf.DUMMYFUNCTION("""COMPUTED_VALUE"""),60.0)</f>
        <v>60</v>
      </c>
      <c r="J107" s="6">
        <f>IFERROR(__xludf.DUMMYFUNCTION("""COMPUTED_VALUE"""),60.0)</f>
        <v>60</v>
      </c>
      <c r="K107" s="59">
        <f>IFERROR(__xludf.DUMMYFUNCTION("""COMPUTED_VALUE"""),2231160.0)</f>
        <v>2231160</v>
      </c>
      <c r="L107" s="6">
        <f>IFERROR(__xludf.DUMMYFUNCTION("""COMPUTED_VALUE"""),2699700.0)</f>
        <v>2699700</v>
      </c>
      <c r="M107" s="6">
        <f>IFERROR(__xludf.DUMMYFUNCTION("""COMPUTED_VALUE"""),33.75)</f>
        <v>33.75</v>
      </c>
      <c r="N107" s="6">
        <f>IFERROR(__xludf.DUMMYFUNCTION("""COMPUTED_VALUE"""),29.89)</f>
        <v>29.89</v>
      </c>
      <c r="O107" s="6">
        <f>IFERROR(__xludf.DUMMYFUNCTION("""COMPUTED_VALUE"""),1255027.5)</f>
        <v>1255027.5</v>
      </c>
      <c r="P107" s="6">
        <f>IFERROR(__xludf.DUMMYFUNCTION("""COMPUTED_VALUE"""),1344900.55)</f>
        <v>1344900.55</v>
      </c>
    </row>
    <row r="108" ht="15.75" customHeight="1">
      <c r="A108" s="6" t="str">
        <f>IFERROR(__xludf.DUMMYFUNCTION("""COMPUTED_VALUE"""),"Month4")</f>
        <v>Month4</v>
      </c>
      <c r="B108" s="6" t="str">
        <f>IFERROR(__xludf.DUMMYFUNCTION("""COMPUTED_VALUE"""),"April")</f>
        <v>April</v>
      </c>
      <c r="C108" s="6" t="str">
        <f>IFERROR(__xludf.DUMMYFUNCTION("""COMPUTED_VALUE"""),"East")</f>
        <v>East</v>
      </c>
      <c r="D108" s="6" t="str">
        <f>IFERROR(__xludf.DUMMYFUNCTION("""COMPUTED_VALUE"""),"Bhubaneswar")</f>
        <v>Bhubaneswar</v>
      </c>
      <c r="E108" s="6" t="str">
        <f>IFERROR(__xludf.DUMMYFUNCTION("""COMPUTED_VALUE"""),"ZestVita")</f>
        <v>ZestVita</v>
      </c>
      <c r="F108" s="6">
        <f>IFERROR(__xludf.DUMMYFUNCTION("""COMPUTED_VALUE"""),14722.0)</f>
        <v>14722</v>
      </c>
      <c r="G108" s="6">
        <f>IFERROR(__xludf.DUMMYFUNCTION("""COMPUTED_VALUE"""),15164.0)</f>
        <v>15164</v>
      </c>
      <c r="H108" s="39">
        <f>IFERROR(__xludf.DUMMYFUNCTION("""COMPUTED_VALUE"""),0.125)</f>
        <v>0.125</v>
      </c>
      <c r="I108" s="6">
        <f>IFERROR(__xludf.DUMMYFUNCTION("""COMPUTED_VALUE"""),135.0)</f>
        <v>135</v>
      </c>
      <c r="J108" s="6">
        <f>IFERROR(__xludf.DUMMYFUNCTION("""COMPUTED_VALUE"""),118.125)</f>
        <v>118.125</v>
      </c>
      <c r="K108" s="59">
        <f>IFERROR(__xludf.DUMMYFUNCTION("""COMPUTED_VALUE"""),1739036.25)</f>
        <v>1739036.25</v>
      </c>
      <c r="L108" s="6">
        <f>IFERROR(__xludf.DUMMYFUNCTION("""COMPUTED_VALUE"""),2047140.0)</f>
        <v>2047140</v>
      </c>
      <c r="M108" s="6">
        <f>IFERROR(__xludf.DUMMYFUNCTION("""COMPUTED_VALUE"""),74.03)</f>
        <v>74.03</v>
      </c>
      <c r="N108" s="6">
        <f>IFERROR(__xludf.DUMMYFUNCTION("""COMPUTED_VALUE"""),73.16)</f>
        <v>73.16</v>
      </c>
      <c r="O108" s="6">
        <f>IFERROR(__xludf.DUMMYFUNCTION("""COMPUTED_VALUE"""),1089869.66)</f>
        <v>1089869.66</v>
      </c>
      <c r="P108" s="6">
        <f>IFERROR(__xludf.DUMMYFUNCTION("""COMPUTED_VALUE"""),1109398.24)</f>
        <v>1109398.24</v>
      </c>
    </row>
    <row r="109" ht="15.75" customHeight="1">
      <c r="A109" s="6" t="str">
        <f>IFERROR(__xludf.DUMMYFUNCTION("""COMPUTED_VALUE"""),"Month4")</f>
        <v>Month4</v>
      </c>
      <c r="B109" s="6" t="str">
        <f>IFERROR(__xludf.DUMMYFUNCTION("""COMPUTED_VALUE"""),"April")</f>
        <v>April</v>
      </c>
      <c r="C109" s="6" t="str">
        <f>IFERROR(__xludf.DUMMYFUNCTION("""COMPUTED_VALUE"""),"East")</f>
        <v>East</v>
      </c>
      <c r="D109" s="6" t="str">
        <f>IFERROR(__xludf.DUMMYFUNCTION("""COMPUTED_VALUE"""),"Bhubaneswar")</f>
        <v>Bhubaneswar</v>
      </c>
      <c r="E109" s="6" t="str">
        <f>IFERROR(__xludf.DUMMYFUNCTION("""COMPUTED_VALUE"""),"NutriKid")</f>
        <v>NutriKid</v>
      </c>
      <c r="F109" s="6">
        <f>IFERROR(__xludf.DUMMYFUNCTION("""COMPUTED_VALUE"""),19873.0)</f>
        <v>19873</v>
      </c>
      <c r="G109" s="6">
        <f>IFERROR(__xludf.DUMMYFUNCTION("""COMPUTED_VALUE"""),20469.0)</f>
        <v>20469</v>
      </c>
      <c r="H109" s="39">
        <f>IFERROR(__xludf.DUMMYFUNCTION("""COMPUTED_VALUE"""),0.125)</f>
        <v>0.125</v>
      </c>
      <c r="I109" s="6">
        <f>IFERROR(__xludf.DUMMYFUNCTION("""COMPUTED_VALUE"""),60.0)</f>
        <v>60</v>
      </c>
      <c r="J109" s="6">
        <f>IFERROR(__xludf.DUMMYFUNCTION("""COMPUTED_VALUE"""),52.5)</f>
        <v>52.5</v>
      </c>
      <c r="K109" s="59">
        <f>IFERROR(__xludf.DUMMYFUNCTION("""COMPUTED_VALUE"""),1043332.5)</f>
        <v>1043332.5</v>
      </c>
      <c r="L109" s="6">
        <f>IFERROR(__xludf.DUMMYFUNCTION("""COMPUTED_VALUE"""),1228140.0)</f>
        <v>1228140</v>
      </c>
      <c r="M109" s="6">
        <f>IFERROR(__xludf.DUMMYFUNCTION("""COMPUTED_VALUE"""),33.75)</f>
        <v>33.75</v>
      </c>
      <c r="N109" s="6">
        <f>IFERROR(__xludf.DUMMYFUNCTION("""COMPUTED_VALUE"""),29.89)</f>
        <v>29.89</v>
      </c>
      <c r="O109" s="6">
        <f>IFERROR(__xludf.DUMMYFUNCTION("""COMPUTED_VALUE"""),670713.75)</f>
        <v>670713.75</v>
      </c>
      <c r="P109" s="6">
        <f>IFERROR(__xludf.DUMMYFUNCTION("""COMPUTED_VALUE"""),611818.41)</f>
        <v>611818.41</v>
      </c>
    </row>
    <row r="110" ht="15.75" customHeight="1">
      <c r="A110" s="6" t="str">
        <f>IFERROR(__xludf.DUMMYFUNCTION("""COMPUTED_VALUE"""),"Month4")</f>
        <v>Month4</v>
      </c>
      <c r="B110" s="6" t="str">
        <f>IFERROR(__xludf.DUMMYFUNCTION("""COMPUTED_VALUE"""),"April")</f>
        <v>April</v>
      </c>
      <c r="C110" s="6" t="str">
        <f>IFERROR(__xludf.DUMMYFUNCTION("""COMPUTED_VALUE"""),"West")</f>
        <v>West</v>
      </c>
      <c r="D110" s="6" t="str">
        <f>IFERROR(__xludf.DUMMYFUNCTION("""COMPUTED_VALUE"""),"Ahmedabad")</f>
        <v>Ahmedabad</v>
      </c>
      <c r="E110" s="6" t="str">
        <f>IFERROR(__xludf.DUMMYFUNCTION("""COMPUTED_VALUE"""),"ZestVita")</f>
        <v>ZestVita</v>
      </c>
      <c r="F110" s="6">
        <f>IFERROR(__xludf.DUMMYFUNCTION("""COMPUTED_VALUE"""),30752.0)</f>
        <v>30752</v>
      </c>
      <c r="G110" s="6">
        <f>IFERROR(__xludf.DUMMYFUNCTION("""COMPUTED_VALUE"""),36902.0)</f>
        <v>36902</v>
      </c>
      <c r="H110" s="39">
        <f>IFERROR(__xludf.DUMMYFUNCTION("""COMPUTED_VALUE"""),0.0)</f>
        <v>0</v>
      </c>
      <c r="I110" s="6">
        <f>IFERROR(__xludf.DUMMYFUNCTION("""COMPUTED_VALUE"""),135.0)</f>
        <v>135</v>
      </c>
      <c r="J110" s="6">
        <f>IFERROR(__xludf.DUMMYFUNCTION("""COMPUTED_VALUE"""),135.0)</f>
        <v>135</v>
      </c>
      <c r="K110" s="59">
        <f>IFERROR(__xludf.DUMMYFUNCTION("""COMPUTED_VALUE"""),4151520.0)</f>
        <v>4151520</v>
      </c>
      <c r="L110" s="6">
        <f>IFERROR(__xludf.DUMMYFUNCTION("""COMPUTED_VALUE"""),4981770.0)</f>
        <v>4981770</v>
      </c>
      <c r="M110" s="6">
        <f>IFERROR(__xludf.DUMMYFUNCTION("""COMPUTED_VALUE"""),74.03)</f>
        <v>74.03</v>
      </c>
      <c r="N110" s="6">
        <f>IFERROR(__xludf.DUMMYFUNCTION("""COMPUTED_VALUE"""),73.16)</f>
        <v>73.16</v>
      </c>
      <c r="O110" s="6">
        <f>IFERROR(__xludf.DUMMYFUNCTION("""COMPUTED_VALUE"""),2276570.56)</f>
        <v>2276570.56</v>
      </c>
      <c r="P110" s="6">
        <f>IFERROR(__xludf.DUMMYFUNCTION("""COMPUTED_VALUE"""),2699750.32)</f>
        <v>2699750.32</v>
      </c>
    </row>
    <row r="111" ht="15.75" customHeight="1">
      <c r="A111" s="6" t="str">
        <f>IFERROR(__xludf.DUMMYFUNCTION("""COMPUTED_VALUE"""),"Month4")</f>
        <v>Month4</v>
      </c>
      <c r="B111" s="6" t="str">
        <f>IFERROR(__xludf.DUMMYFUNCTION("""COMPUTED_VALUE"""),"April")</f>
        <v>April</v>
      </c>
      <c r="C111" s="6" t="str">
        <f>IFERROR(__xludf.DUMMYFUNCTION("""COMPUTED_VALUE"""),"West")</f>
        <v>West</v>
      </c>
      <c r="D111" s="6" t="str">
        <f>IFERROR(__xludf.DUMMYFUNCTION("""COMPUTED_VALUE"""),"Ahmedabad")</f>
        <v>Ahmedabad</v>
      </c>
      <c r="E111" s="6" t="str">
        <f>IFERROR(__xludf.DUMMYFUNCTION("""COMPUTED_VALUE"""),"NutriKid")</f>
        <v>NutriKid</v>
      </c>
      <c r="F111" s="6">
        <f>IFERROR(__xludf.DUMMYFUNCTION("""COMPUTED_VALUE"""),17729.0)</f>
        <v>17729</v>
      </c>
      <c r="G111" s="6">
        <f>IFERROR(__xludf.DUMMYFUNCTION("""COMPUTED_VALUE"""),19502.0)</f>
        <v>19502</v>
      </c>
      <c r="H111" s="39">
        <f>IFERROR(__xludf.DUMMYFUNCTION("""COMPUTED_VALUE"""),0.0)</f>
        <v>0</v>
      </c>
      <c r="I111" s="6">
        <f>IFERROR(__xludf.DUMMYFUNCTION("""COMPUTED_VALUE"""),60.0)</f>
        <v>60</v>
      </c>
      <c r="J111" s="6">
        <f>IFERROR(__xludf.DUMMYFUNCTION("""COMPUTED_VALUE"""),60.0)</f>
        <v>60</v>
      </c>
      <c r="K111" s="59">
        <f>IFERROR(__xludf.DUMMYFUNCTION("""COMPUTED_VALUE"""),1063740.0)</f>
        <v>1063740</v>
      </c>
      <c r="L111" s="6">
        <f>IFERROR(__xludf.DUMMYFUNCTION("""COMPUTED_VALUE"""),1170120.0)</f>
        <v>1170120</v>
      </c>
      <c r="M111" s="6">
        <f>IFERROR(__xludf.DUMMYFUNCTION("""COMPUTED_VALUE"""),33.75)</f>
        <v>33.75</v>
      </c>
      <c r="N111" s="6">
        <f>IFERROR(__xludf.DUMMYFUNCTION("""COMPUTED_VALUE"""),29.89)</f>
        <v>29.89</v>
      </c>
      <c r="O111" s="6">
        <f>IFERROR(__xludf.DUMMYFUNCTION("""COMPUTED_VALUE"""),598353.75)</f>
        <v>598353.75</v>
      </c>
      <c r="P111" s="6">
        <f>IFERROR(__xludf.DUMMYFUNCTION("""COMPUTED_VALUE"""),582914.78)</f>
        <v>582914.78</v>
      </c>
    </row>
    <row r="112" ht="15.75" customHeight="1">
      <c r="A112" s="6" t="str">
        <f>IFERROR(__xludf.DUMMYFUNCTION("""COMPUTED_VALUE"""),"Month4")</f>
        <v>Month4</v>
      </c>
      <c r="B112" s="6" t="str">
        <f>IFERROR(__xludf.DUMMYFUNCTION("""COMPUTED_VALUE"""),"April")</f>
        <v>April</v>
      </c>
      <c r="C112" s="6" t="str">
        <f>IFERROR(__xludf.DUMMYFUNCTION("""COMPUTED_VALUE"""),"South")</f>
        <v>South</v>
      </c>
      <c r="D112" s="6" t="str">
        <f>IFERROR(__xludf.DUMMYFUNCTION("""COMPUTED_VALUE"""),"Chennai")</f>
        <v>Chennai</v>
      </c>
      <c r="E112" s="6" t="str">
        <f>IFERROR(__xludf.DUMMYFUNCTION("""COMPUTED_VALUE"""),"ZestVita")</f>
        <v>ZestVita</v>
      </c>
      <c r="F112" s="6">
        <f>IFERROR(__xludf.DUMMYFUNCTION("""COMPUTED_VALUE"""),19317.0)</f>
        <v>19317</v>
      </c>
      <c r="G112" s="6">
        <f>IFERROR(__xludf.DUMMYFUNCTION("""COMPUTED_VALUE"""),22021.0)</f>
        <v>22021</v>
      </c>
      <c r="H112" s="39">
        <f>IFERROR(__xludf.DUMMYFUNCTION("""COMPUTED_VALUE"""),0.0)</f>
        <v>0</v>
      </c>
      <c r="I112" s="6">
        <f>IFERROR(__xludf.DUMMYFUNCTION("""COMPUTED_VALUE"""),135.0)</f>
        <v>135</v>
      </c>
      <c r="J112" s="6">
        <f>IFERROR(__xludf.DUMMYFUNCTION("""COMPUTED_VALUE"""),135.0)</f>
        <v>135</v>
      </c>
      <c r="K112" s="59">
        <f>IFERROR(__xludf.DUMMYFUNCTION("""COMPUTED_VALUE"""),2607795.0)</f>
        <v>2607795</v>
      </c>
      <c r="L112" s="6">
        <f>IFERROR(__xludf.DUMMYFUNCTION("""COMPUTED_VALUE"""),2972835.0)</f>
        <v>2972835</v>
      </c>
      <c r="M112" s="6">
        <f>IFERROR(__xludf.DUMMYFUNCTION("""COMPUTED_VALUE"""),74.03)</f>
        <v>74.03</v>
      </c>
      <c r="N112" s="6">
        <f>IFERROR(__xludf.DUMMYFUNCTION("""COMPUTED_VALUE"""),73.16)</f>
        <v>73.16</v>
      </c>
      <c r="O112" s="6">
        <f>IFERROR(__xludf.DUMMYFUNCTION("""COMPUTED_VALUE"""),1430037.51)</f>
        <v>1430037.51</v>
      </c>
      <c r="P112" s="6">
        <f>IFERROR(__xludf.DUMMYFUNCTION("""COMPUTED_VALUE"""),1611056.3599999999)</f>
        <v>1611056.36</v>
      </c>
    </row>
    <row r="113" ht="15.75" customHeight="1">
      <c r="A113" s="6" t="str">
        <f>IFERROR(__xludf.DUMMYFUNCTION("""COMPUTED_VALUE"""),"Month4")</f>
        <v>Month4</v>
      </c>
      <c r="B113" s="6" t="str">
        <f>IFERROR(__xludf.DUMMYFUNCTION("""COMPUTED_VALUE"""),"April")</f>
        <v>April</v>
      </c>
      <c r="C113" s="6" t="str">
        <f>IFERROR(__xludf.DUMMYFUNCTION("""COMPUTED_VALUE"""),"South")</f>
        <v>South</v>
      </c>
      <c r="D113" s="6" t="str">
        <f>IFERROR(__xludf.DUMMYFUNCTION("""COMPUTED_VALUE"""),"Chennai")</f>
        <v>Chennai</v>
      </c>
      <c r="E113" s="6" t="str">
        <f>IFERROR(__xludf.DUMMYFUNCTION("""COMPUTED_VALUE"""),"NutriKid")</f>
        <v>NutriKid</v>
      </c>
      <c r="F113" s="6">
        <f>IFERROR(__xludf.DUMMYFUNCTION("""COMPUTED_VALUE"""),21190.0)</f>
        <v>21190</v>
      </c>
      <c r="G113" s="6">
        <f>IFERROR(__xludf.DUMMYFUNCTION("""COMPUTED_VALUE"""),26276.0)</f>
        <v>26276</v>
      </c>
      <c r="H113" s="39">
        <f>IFERROR(__xludf.DUMMYFUNCTION("""COMPUTED_VALUE"""),0.0)</f>
        <v>0</v>
      </c>
      <c r="I113" s="6">
        <f>IFERROR(__xludf.DUMMYFUNCTION("""COMPUTED_VALUE"""),60.0)</f>
        <v>60</v>
      </c>
      <c r="J113" s="6">
        <f>IFERROR(__xludf.DUMMYFUNCTION("""COMPUTED_VALUE"""),60.0)</f>
        <v>60</v>
      </c>
      <c r="K113" s="59">
        <f>IFERROR(__xludf.DUMMYFUNCTION("""COMPUTED_VALUE"""),1271400.0)</f>
        <v>1271400</v>
      </c>
      <c r="L113" s="6">
        <f>IFERROR(__xludf.DUMMYFUNCTION("""COMPUTED_VALUE"""),1576560.0)</f>
        <v>1576560</v>
      </c>
      <c r="M113" s="6">
        <f>IFERROR(__xludf.DUMMYFUNCTION("""COMPUTED_VALUE"""),33.75)</f>
        <v>33.75</v>
      </c>
      <c r="N113" s="6">
        <f>IFERROR(__xludf.DUMMYFUNCTION("""COMPUTED_VALUE"""),29.89)</f>
        <v>29.89</v>
      </c>
      <c r="O113" s="6">
        <f>IFERROR(__xludf.DUMMYFUNCTION("""COMPUTED_VALUE"""),715162.5)</f>
        <v>715162.5</v>
      </c>
      <c r="P113" s="6">
        <f>IFERROR(__xludf.DUMMYFUNCTION("""COMPUTED_VALUE"""),785389.64)</f>
        <v>785389.64</v>
      </c>
    </row>
    <row r="114" ht="15.75" customHeight="1">
      <c r="A114" s="6" t="str">
        <f>IFERROR(__xludf.DUMMYFUNCTION("""COMPUTED_VALUE"""),"Month4")</f>
        <v>Month4</v>
      </c>
      <c r="B114" s="6" t="str">
        <f>IFERROR(__xludf.DUMMYFUNCTION("""COMPUTED_VALUE"""),"April")</f>
        <v>April</v>
      </c>
      <c r="C114" s="6" t="str">
        <f>IFERROR(__xludf.DUMMYFUNCTION("""COMPUTED_VALUE"""),"North")</f>
        <v>North</v>
      </c>
      <c r="D114" s="6" t="str">
        <f>IFERROR(__xludf.DUMMYFUNCTION("""COMPUTED_VALUE"""),"Lucknow")</f>
        <v>Lucknow</v>
      </c>
      <c r="E114" s="6" t="str">
        <f>IFERROR(__xludf.DUMMYFUNCTION("""COMPUTED_VALUE"""),"ZestVita")</f>
        <v>ZestVita</v>
      </c>
      <c r="F114" s="6">
        <f>IFERROR(__xludf.DUMMYFUNCTION("""COMPUTED_VALUE"""),24409.0)</f>
        <v>24409</v>
      </c>
      <c r="G114" s="6">
        <f>IFERROR(__xludf.DUMMYFUNCTION("""COMPUTED_VALUE"""),27826.0)</f>
        <v>27826</v>
      </c>
      <c r="H114" s="39">
        <f>IFERROR(__xludf.DUMMYFUNCTION("""COMPUTED_VALUE"""),0.1)</f>
        <v>0.1</v>
      </c>
      <c r="I114" s="6">
        <f>IFERROR(__xludf.DUMMYFUNCTION("""COMPUTED_VALUE"""),135.0)</f>
        <v>135</v>
      </c>
      <c r="J114" s="6">
        <f>IFERROR(__xludf.DUMMYFUNCTION("""COMPUTED_VALUE"""),121.5)</f>
        <v>121.5</v>
      </c>
      <c r="K114" s="59">
        <f>IFERROR(__xludf.DUMMYFUNCTION("""COMPUTED_VALUE"""),2965693.5)</f>
        <v>2965693.5</v>
      </c>
      <c r="L114" s="6">
        <f>IFERROR(__xludf.DUMMYFUNCTION("""COMPUTED_VALUE"""),3756510.0)</f>
        <v>3756510</v>
      </c>
      <c r="M114" s="6">
        <f>IFERROR(__xludf.DUMMYFUNCTION("""COMPUTED_VALUE"""),74.03)</f>
        <v>74.03</v>
      </c>
      <c r="N114" s="6">
        <f>IFERROR(__xludf.DUMMYFUNCTION("""COMPUTED_VALUE"""),73.16)</f>
        <v>73.16</v>
      </c>
      <c r="O114" s="6">
        <f>IFERROR(__xludf.DUMMYFUNCTION("""COMPUTED_VALUE"""),1806998.27)</f>
        <v>1806998.27</v>
      </c>
      <c r="P114" s="6">
        <f>IFERROR(__xludf.DUMMYFUNCTION("""COMPUTED_VALUE"""),2035750.16)</f>
        <v>2035750.16</v>
      </c>
    </row>
    <row r="115" ht="15.75" customHeight="1">
      <c r="A115" s="6" t="str">
        <f>IFERROR(__xludf.DUMMYFUNCTION("""COMPUTED_VALUE"""),"Month4")</f>
        <v>Month4</v>
      </c>
      <c r="B115" s="6" t="str">
        <f>IFERROR(__xludf.DUMMYFUNCTION("""COMPUTED_VALUE"""),"April")</f>
        <v>April</v>
      </c>
      <c r="C115" s="6" t="str">
        <f>IFERROR(__xludf.DUMMYFUNCTION("""COMPUTED_VALUE"""),"North")</f>
        <v>North</v>
      </c>
      <c r="D115" s="6" t="str">
        <f>IFERROR(__xludf.DUMMYFUNCTION("""COMPUTED_VALUE"""),"Lucknow")</f>
        <v>Lucknow</v>
      </c>
      <c r="E115" s="6" t="str">
        <f>IFERROR(__xludf.DUMMYFUNCTION("""COMPUTED_VALUE"""),"NutriKid")</f>
        <v>NutriKid</v>
      </c>
      <c r="F115" s="6">
        <f>IFERROR(__xludf.DUMMYFUNCTION("""COMPUTED_VALUE"""),22620.0)</f>
        <v>22620</v>
      </c>
      <c r="G115" s="6">
        <f>IFERROR(__xludf.DUMMYFUNCTION("""COMPUTED_VALUE"""),25108.0)</f>
        <v>25108</v>
      </c>
      <c r="H115" s="39">
        <f>IFERROR(__xludf.DUMMYFUNCTION("""COMPUTED_VALUE"""),0.1)</f>
        <v>0.1</v>
      </c>
      <c r="I115" s="6">
        <f>IFERROR(__xludf.DUMMYFUNCTION("""COMPUTED_VALUE"""),60.0)</f>
        <v>60</v>
      </c>
      <c r="J115" s="6">
        <f>IFERROR(__xludf.DUMMYFUNCTION("""COMPUTED_VALUE"""),54.0)</f>
        <v>54</v>
      </c>
      <c r="K115" s="59">
        <f>IFERROR(__xludf.DUMMYFUNCTION("""COMPUTED_VALUE"""),1221480.0)</f>
        <v>1221480</v>
      </c>
      <c r="L115" s="6">
        <f>IFERROR(__xludf.DUMMYFUNCTION("""COMPUTED_VALUE"""),1506480.0)</f>
        <v>1506480</v>
      </c>
      <c r="M115" s="6">
        <f>IFERROR(__xludf.DUMMYFUNCTION("""COMPUTED_VALUE"""),33.75)</f>
        <v>33.75</v>
      </c>
      <c r="N115" s="6">
        <f>IFERROR(__xludf.DUMMYFUNCTION("""COMPUTED_VALUE"""),29.89)</f>
        <v>29.89</v>
      </c>
      <c r="O115" s="6">
        <f>IFERROR(__xludf.DUMMYFUNCTION("""COMPUTED_VALUE"""),763425.0)</f>
        <v>763425</v>
      </c>
      <c r="P115" s="6">
        <f>IFERROR(__xludf.DUMMYFUNCTION("""COMPUTED_VALUE"""),750478.12)</f>
        <v>750478.12</v>
      </c>
    </row>
    <row r="116" ht="15.75" customHeight="1">
      <c r="A116" s="6" t="str">
        <f>IFERROR(__xludf.DUMMYFUNCTION("""COMPUTED_VALUE"""),"Month4")</f>
        <v>Month4</v>
      </c>
      <c r="B116" s="6" t="str">
        <f>IFERROR(__xludf.DUMMYFUNCTION("""COMPUTED_VALUE"""),"April")</f>
        <v>April</v>
      </c>
      <c r="C116" s="6" t="str">
        <f>IFERROR(__xludf.DUMMYFUNCTION("""COMPUTED_VALUE"""),"East")</f>
        <v>East</v>
      </c>
      <c r="D116" s="6" t="str">
        <f>IFERROR(__xludf.DUMMYFUNCTION("""COMPUTED_VALUE"""),"Ranchi")</f>
        <v>Ranchi</v>
      </c>
      <c r="E116" s="6" t="str">
        <f>IFERROR(__xludf.DUMMYFUNCTION("""COMPUTED_VALUE"""),"ZestVita")</f>
        <v>ZestVita</v>
      </c>
      <c r="F116" s="6">
        <f>IFERROR(__xludf.DUMMYFUNCTION("""COMPUTED_VALUE"""),29782.0)</f>
        <v>29782</v>
      </c>
      <c r="G116" s="6">
        <f>IFERROR(__xludf.DUMMYFUNCTION("""COMPUTED_VALUE"""),30378.0)</f>
        <v>30378</v>
      </c>
      <c r="H116" s="39">
        <f>IFERROR(__xludf.DUMMYFUNCTION("""COMPUTED_VALUE"""),0.05)</f>
        <v>0.05</v>
      </c>
      <c r="I116" s="6">
        <f>IFERROR(__xludf.DUMMYFUNCTION("""COMPUTED_VALUE"""),135.0)</f>
        <v>135</v>
      </c>
      <c r="J116" s="6">
        <f>IFERROR(__xludf.DUMMYFUNCTION("""COMPUTED_VALUE"""),128.25)</f>
        <v>128.25</v>
      </c>
      <c r="K116" s="59">
        <f>IFERROR(__xludf.DUMMYFUNCTION("""COMPUTED_VALUE"""),3819541.5)</f>
        <v>3819541.5</v>
      </c>
      <c r="L116" s="6">
        <f>IFERROR(__xludf.DUMMYFUNCTION("""COMPUTED_VALUE"""),4101030.0)</f>
        <v>4101030</v>
      </c>
      <c r="M116" s="6">
        <f>IFERROR(__xludf.DUMMYFUNCTION("""COMPUTED_VALUE"""),74.03)</f>
        <v>74.03</v>
      </c>
      <c r="N116" s="6">
        <f>IFERROR(__xludf.DUMMYFUNCTION("""COMPUTED_VALUE"""),73.16)</f>
        <v>73.16</v>
      </c>
      <c r="O116" s="6">
        <f>IFERROR(__xludf.DUMMYFUNCTION("""COMPUTED_VALUE"""),2204761.46)</f>
        <v>2204761.46</v>
      </c>
      <c r="P116" s="6">
        <f>IFERROR(__xludf.DUMMYFUNCTION("""COMPUTED_VALUE"""),2222454.48)</f>
        <v>2222454.48</v>
      </c>
    </row>
    <row r="117" ht="15.75" customHeight="1">
      <c r="A117" s="6" t="str">
        <f>IFERROR(__xludf.DUMMYFUNCTION("""COMPUTED_VALUE"""),"Month4")</f>
        <v>Month4</v>
      </c>
      <c r="B117" s="6" t="str">
        <f>IFERROR(__xludf.DUMMYFUNCTION("""COMPUTED_VALUE"""),"April")</f>
        <v>April</v>
      </c>
      <c r="C117" s="6" t="str">
        <f>IFERROR(__xludf.DUMMYFUNCTION("""COMPUTED_VALUE"""),"East")</f>
        <v>East</v>
      </c>
      <c r="D117" s="6" t="str">
        <f>IFERROR(__xludf.DUMMYFUNCTION("""COMPUTED_VALUE"""),"Ranchi")</f>
        <v>Ranchi</v>
      </c>
      <c r="E117" s="6" t="str">
        <f>IFERROR(__xludf.DUMMYFUNCTION("""COMPUTED_VALUE"""),"NutriKid")</f>
        <v>NutriKid</v>
      </c>
      <c r="F117" s="6">
        <f>IFERROR(__xludf.DUMMYFUNCTION("""COMPUTED_VALUE"""),19097.0)</f>
        <v>19097</v>
      </c>
      <c r="G117" s="6">
        <f>IFERROR(__xludf.DUMMYFUNCTION("""COMPUTED_VALUE"""),20052.0)</f>
        <v>20052</v>
      </c>
      <c r="H117" s="39">
        <f>IFERROR(__xludf.DUMMYFUNCTION("""COMPUTED_VALUE"""),0.05)</f>
        <v>0.05</v>
      </c>
      <c r="I117" s="6">
        <f>IFERROR(__xludf.DUMMYFUNCTION("""COMPUTED_VALUE"""),60.0)</f>
        <v>60</v>
      </c>
      <c r="J117" s="6">
        <f>IFERROR(__xludf.DUMMYFUNCTION("""COMPUTED_VALUE"""),57.0)</f>
        <v>57</v>
      </c>
      <c r="K117" s="59">
        <f>IFERROR(__xludf.DUMMYFUNCTION("""COMPUTED_VALUE"""),1088529.0)</f>
        <v>1088529</v>
      </c>
      <c r="L117" s="6">
        <f>IFERROR(__xludf.DUMMYFUNCTION("""COMPUTED_VALUE"""),1203120.0)</f>
        <v>1203120</v>
      </c>
      <c r="M117" s="6">
        <f>IFERROR(__xludf.DUMMYFUNCTION("""COMPUTED_VALUE"""),33.75)</f>
        <v>33.75</v>
      </c>
      <c r="N117" s="6">
        <f>IFERROR(__xludf.DUMMYFUNCTION("""COMPUTED_VALUE"""),29.89)</f>
        <v>29.89</v>
      </c>
      <c r="O117" s="6">
        <f>IFERROR(__xludf.DUMMYFUNCTION("""COMPUTED_VALUE"""),644523.75)</f>
        <v>644523.75</v>
      </c>
      <c r="P117" s="6">
        <f>IFERROR(__xludf.DUMMYFUNCTION("""COMPUTED_VALUE"""),599354.28)</f>
        <v>599354.28</v>
      </c>
    </row>
    <row r="118" ht="15.75" customHeight="1">
      <c r="A118" s="6" t="str">
        <f>IFERROR(__xludf.DUMMYFUNCTION("""COMPUTED_VALUE"""),"Month4")</f>
        <v>Month4</v>
      </c>
      <c r="B118" s="6" t="str">
        <f>IFERROR(__xludf.DUMMYFUNCTION("""COMPUTED_VALUE"""),"April")</f>
        <v>April</v>
      </c>
      <c r="C118" s="6" t="str">
        <f>IFERROR(__xludf.DUMMYFUNCTION("""COMPUTED_VALUE"""),"West")</f>
        <v>West</v>
      </c>
      <c r="D118" s="6" t="str">
        <f>IFERROR(__xludf.DUMMYFUNCTION("""COMPUTED_VALUE"""),"Surat")</f>
        <v>Surat</v>
      </c>
      <c r="E118" s="6" t="str">
        <f>IFERROR(__xludf.DUMMYFUNCTION("""COMPUTED_VALUE"""),"ZestVita")</f>
        <v>ZestVita</v>
      </c>
      <c r="F118" s="6">
        <f>IFERROR(__xludf.DUMMYFUNCTION("""COMPUTED_VALUE"""),28078.0)</f>
        <v>28078</v>
      </c>
      <c r="G118" s="6">
        <f>IFERROR(__xludf.DUMMYFUNCTION("""COMPUTED_VALUE"""),30043.0)</f>
        <v>30043</v>
      </c>
      <c r="H118" s="39">
        <f>IFERROR(__xludf.DUMMYFUNCTION("""COMPUTED_VALUE"""),0.05)</f>
        <v>0.05</v>
      </c>
      <c r="I118" s="6">
        <f>IFERROR(__xludf.DUMMYFUNCTION("""COMPUTED_VALUE"""),135.0)</f>
        <v>135</v>
      </c>
      <c r="J118" s="6">
        <f>IFERROR(__xludf.DUMMYFUNCTION("""COMPUTED_VALUE"""),128.25)</f>
        <v>128.25</v>
      </c>
      <c r="K118" s="59">
        <f>IFERROR(__xludf.DUMMYFUNCTION("""COMPUTED_VALUE"""),3601003.5)</f>
        <v>3601003.5</v>
      </c>
      <c r="L118" s="6">
        <f>IFERROR(__xludf.DUMMYFUNCTION("""COMPUTED_VALUE"""),4055805.0)</f>
        <v>4055805</v>
      </c>
      <c r="M118" s="6">
        <f>IFERROR(__xludf.DUMMYFUNCTION("""COMPUTED_VALUE"""),74.03)</f>
        <v>74.03</v>
      </c>
      <c r="N118" s="6">
        <f>IFERROR(__xludf.DUMMYFUNCTION("""COMPUTED_VALUE"""),73.16)</f>
        <v>73.16</v>
      </c>
      <c r="O118" s="6">
        <f>IFERROR(__xludf.DUMMYFUNCTION("""COMPUTED_VALUE"""),2078614.34)</f>
        <v>2078614.34</v>
      </c>
      <c r="P118" s="6">
        <f>IFERROR(__xludf.DUMMYFUNCTION("""COMPUTED_VALUE"""),2197945.88)</f>
        <v>2197945.88</v>
      </c>
    </row>
    <row r="119" ht="15.75" customHeight="1">
      <c r="A119" s="6" t="str">
        <f>IFERROR(__xludf.DUMMYFUNCTION("""COMPUTED_VALUE"""),"Month4")</f>
        <v>Month4</v>
      </c>
      <c r="B119" s="6" t="str">
        <f>IFERROR(__xludf.DUMMYFUNCTION("""COMPUTED_VALUE"""),"April")</f>
        <v>April</v>
      </c>
      <c r="C119" s="6" t="str">
        <f>IFERROR(__xludf.DUMMYFUNCTION("""COMPUTED_VALUE"""),"West")</f>
        <v>West</v>
      </c>
      <c r="D119" s="6" t="str">
        <f>IFERROR(__xludf.DUMMYFUNCTION("""COMPUTED_VALUE"""),"Surat")</f>
        <v>Surat</v>
      </c>
      <c r="E119" s="6" t="str">
        <f>IFERROR(__xludf.DUMMYFUNCTION("""COMPUTED_VALUE"""),"NutriKid")</f>
        <v>NutriKid</v>
      </c>
      <c r="F119" s="6">
        <f>IFERROR(__xludf.DUMMYFUNCTION("""COMPUTED_VALUE"""),22384.0)</f>
        <v>22384</v>
      </c>
      <c r="G119" s="6">
        <f>IFERROR(__xludf.DUMMYFUNCTION("""COMPUTED_VALUE"""),22832.0)</f>
        <v>22832</v>
      </c>
      <c r="H119" s="39">
        <f>IFERROR(__xludf.DUMMYFUNCTION("""COMPUTED_VALUE"""),0.05)</f>
        <v>0.05</v>
      </c>
      <c r="I119" s="6">
        <f>IFERROR(__xludf.DUMMYFUNCTION("""COMPUTED_VALUE"""),60.0)</f>
        <v>60</v>
      </c>
      <c r="J119" s="6">
        <f>IFERROR(__xludf.DUMMYFUNCTION("""COMPUTED_VALUE"""),57.0)</f>
        <v>57</v>
      </c>
      <c r="K119" s="59">
        <f>IFERROR(__xludf.DUMMYFUNCTION("""COMPUTED_VALUE"""),1275888.0)</f>
        <v>1275888</v>
      </c>
      <c r="L119" s="6">
        <f>IFERROR(__xludf.DUMMYFUNCTION("""COMPUTED_VALUE"""),1369920.0)</f>
        <v>1369920</v>
      </c>
      <c r="M119" s="6">
        <f>IFERROR(__xludf.DUMMYFUNCTION("""COMPUTED_VALUE"""),33.75)</f>
        <v>33.75</v>
      </c>
      <c r="N119" s="6">
        <f>IFERROR(__xludf.DUMMYFUNCTION("""COMPUTED_VALUE"""),29.89)</f>
        <v>29.89</v>
      </c>
      <c r="O119" s="6">
        <f>IFERROR(__xludf.DUMMYFUNCTION("""COMPUTED_VALUE"""),755460.0)</f>
        <v>755460</v>
      </c>
      <c r="P119" s="6">
        <f>IFERROR(__xludf.DUMMYFUNCTION("""COMPUTED_VALUE"""),682448.48)</f>
        <v>682448.48</v>
      </c>
    </row>
    <row r="120" ht="15.75" customHeight="1">
      <c r="A120" s="6" t="str">
        <f>IFERROR(__xludf.DUMMYFUNCTION("""COMPUTED_VALUE"""),"Month4")</f>
        <v>Month4</v>
      </c>
      <c r="B120" s="6" t="str">
        <f>IFERROR(__xludf.DUMMYFUNCTION("""COMPUTED_VALUE"""),"April")</f>
        <v>April</v>
      </c>
      <c r="C120" s="6" t="str">
        <f>IFERROR(__xludf.DUMMYFUNCTION("""COMPUTED_VALUE"""),"South")</f>
        <v>South</v>
      </c>
      <c r="D120" s="6" t="str">
        <f>IFERROR(__xludf.DUMMYFUNCTION("""COMPUTED_VALUE"""),"Hyderabad")</f>
        <v>Hyderabad</v>
      </c>
      <c r="E120" s="6" t="str">
        <f>IFERROR(__xludf.DUMMYFUNCTION("""COMPUTED_VALUE"""),"ZestVita")</f>
        <v>ZestVita</v>
      </c>
      <c r="F120" s="6">
        <f>IFERROR(__xludf.DUMMYFUNCTION("""COMPUTED_VALUE"""),39124.0)</f>
        <v>39124</v>
      </c>
      <c r="G120" s="6">
        <f>IFERROR(__xludf.DUMMYFUNCTION("""COMPUTED_VALUE"""),48123.0)</f>
        <v>48123</v>
      </c>
      <c r="H120" s="39">
        <f>IFERROR(__xludf.DUMMYFUNCTION("""COMPUTED_VALUE"""),0.0)</f>
        <v>0</v>
      </c>
      <c r="I120" s="6">
        <f>IFERROR(__xludf.DUMMYFUNCTION("""COMPUTED_VALUE"""),135.0)</f>
        <v>135</v>
      </c>
      <c r="J120" s="6">
        <f>IFERROR(__xludf.DUMMYFUNCTION("""COMPUTED_VALUE"""),135.0)</f>
        <v>135</v>
      </c>
      <c r="K120" s="59">
        <f>IFERROR(__xludf.DUMMYFUNCTION("""COMPUTED_VALUE"""),5281740.0)</f>
        <v>5281740</v>
      </c>
      <c r="L120" s="6">
        <f>IFERROR(__xludf.DUMMYFUNCTION("""COMPUTED_VALUE"""),6496605.0)</f>
        <v>6496605</v>
      </c>
      <c r="M120" s="6">
        <f>IFERROR(__xludf.DUMMYFUNCTION("""COMPUTED_VALUE"""),74.03)</f>
        <v>74.03</v>
      </c>
      <c r="N120" s="6">
        <f>IFERROR(__xludf.DUMMYFUNCTION("""COMPUTED_VALUE"""),73.16)</f>
        <v>73.16</v>
      </c>
      <c r="O120" s="6">
        <f>IFERROR(__xludf.DUMMYFUNCTION("""COMPUTED_VALUE"""),2896349.72)</f>
        <v>2896349.72</v>
      </c>
      <c r="P120" s="6">
        <f>IFERROR(__xludf.DUMMYFUNCTION("""COMPUTED_VALUE"""),3520678.6799999997)</f>
        <v>3520678.68</v>
      </c>
    </row>
    <row r="121" ht="15.75" customHeight="1">
      <c r="A121" s="6" t="str">
        <f>IFERROR(__xludf.DUMMYFUNCTION("""COMPUTED_VALUE"""),"Month4")</f>
        <v>Month4</v>
      </c>
      <c r="B121" s="6" t="str">
        <f>IFERROR(__xludf.DUMMYFUNCTION("""COMPUTED_VALUE"""),"April")</f>
        <v>April</v>
      </c>
      <c r="C121" s="6" t="str">
        <f>IFERROR(__xludf.DUMMYFUNCTION("""COMPUTED_VALUE"""),"South")</f>
        <v>South</v>
      </c>
      <c r="D121" s="6" t="str">
        <f>IFERROR(__xludf.DUMMYFUNCTION("""COMPUTED_VALUE"""),"Hyderabad")</f>
        <v>Hyderabad</v>
      </c>
      <c r="E121" s="6" t="str">
        <f>IFERROR(__xludf.DUMMYFUNCTION("""COMPUTED_VALUE"""),"NutriKid")</f>
        <v>NutriKid</v>
      </c>
      <c r="F121" s="6">
        <f>IFERROR(__xludf.DUMMYFUNCTION("""COMPUTED_VALUE"""),38143.0)</f>
        <v>38143</v>
      </c>
      <c r="G121" s="6">
        <f>IFERROR(__xludf.DUMMYFUNCTION("""COMPUTED_VALUE"""),45772.0)</f>
        <v>45772</v>
      </c>
      <c r="H121" s="39">
        <f>IFERROR(__xludf.DUMMYFUNCTION("""COMPUTED_VALUE"""),0.0)</f>
        <v>0</v>
      </c>
      <c r="I121" s="6">
        <f>IFERROR(__xludf.DUMMYFUNCTION("""COMPUTED_VALUE"""),60.0)</f>
        <v>60</v>
      </c>
      <c r="J121" s="6">
        <f>IFERROR(__xludf.DUMMYFUNCTION("""COMPUTED_VALUE"""),60.0)</f>
        <v>60</v>
      </c>
      <c r="K121" s="59">
        <f>IFERROR(__xludf.DUMMYFUNCTION("""COMPUTED_VALUE"""),2288580.0)</f>
        <v>2288580</v>
      </c>
      <c r="L121" s="6">
        <f>IFERROR(__xludf.DUMMYFUNCTION("""COMPUTED_VALUE"""),2746320.0)</f>
        <v>2746320</v>
      </c>
      <c r="M121" s="6">
        <f>IFERROR(__xludf.DUMMYFUNCTION("""COMPUTED_VALUE"""),33.75)</f>
        <v>33.75</v>
      </c>
      <c r="N121" s="6">
        <f>IFERROR(__xludf.DUMMYFUNCTION("""COMPUTED_VALUE"""),29.89)</f>
        <v>29.89</v>
      </c>
      <c r="O121" s="6">
        <f>IFERROR(__xludf.DUMMYFUNCTION("""COMPUTED_VALUE"""),1287326.25)</f>
        <v>1287326.25</v>
      </c>
      <c r="P121" s="6">
        <f>IFERROR(__xludf.DUMMYFUNCTION("""COMPUTED_VALUE"""),1368125.08)</f>
        <v>1368125.08</v>
      </c>
    </row>
    <row r="122" ht="15.75" customHeight="1">
      <c r="A122" s="6" t="str">
        <f>IFERROR(__xludf.DUMMYFUNCTION("""COMPUTED_VALUE"""),"Month4")</f>
        <v>Month4</v>
      </c>
      <c r="B122" s="6" t="str">
        <f>IFERROR(__xludf.DUMMYFUNCTION("""COMPUTED_VALUE"""),"April")</f>
        <v>April</v>
      </c>
      <c r="C122" s="6" t="str">
        <f>IFERROR(__xludf.DUMMYFUNCTION("""COMPUTED_VALUE"""),"North")</f>
        <v>North</v>
      </c>
      <c r="D122" s="6" t="str">
        <f>IFERROR(__xludf.DUMMYFUNCTION("""COMPUTED_VALUE"""),"Dehradun")</f>
        <v>Dehradun</v>
      </c>
      <c r="E122" s="6" t="str">
        <f>IFERROR(__xludf.DUMMYFUNCTION("""COMPUTED_VALUE"""),"ZestVita")</f>
        <v>ZestVita</v>
      </c>
      <c r="F122" s="6">
        <f>IFERROR(__xludf.DUMMYFUNCTION("""COMPUTED_VALUE"""),23876.0)</f>
        <v>23876</v>
      </c>
      <c r="G122" s="6">
        <f>IFERROR(__xludf.DUMMYFUNCTION("""COMPUTED_VALUE"""),24592.0)</f>
        <v>24592</v>
      </c>
      <c r="H122" s="39">
        <f>IFERROR(__xludf.DUMMYFUNCTION("""COMPUTED_VALUE"""),0.125)</f>
        <v>0.125</v>
      </c>
      <c r="I122" s="6">
        <f>IFERROR(__xludf.DUMMYFUNCTION("""COMPUTED_VALUE"""),135.0)</f>
        <v>135</v>
      </c>
      <c r="J122" s="6">
        <f>IFERROR(__xludf.DUMMYFUNCTION("""COMPUTED_VALUE"""),118.125)</f>
        <v>118.125</v>
      </c>
      <c r="K122" s="59">
        <f>IFERROR(__xludf.DUMMYFUNCTION("""COMPUTED_VALUE"""),2820352.5)</f>
        <v>2820352.5</v>
      </c>
      <c r="L122" s="6">
        <f>IFERROR(__xludf.DUMMYFUNCTION("""COMPUTED_VALUE"""),3319920.0)</f>
        <v>3319920</v>
      </c>
      <c r="M122" s="6">
        <f>IFERROR(__xludf.DUMMYFUNCTION("""COMPUTED_VALUE"""),74.03)</f>
        <v>74.03</v>
      </c>
      <c r="N122" s="6">
        <f>IFERROR(__xludf.DUMMYFUNCTION("""COMPUTED_VALUE"""),73.16)</f>
        <v>73.16</v>
      </c>
      <c r="O122" s="6">
        <f>IFERROR(__xludf.DUMMYFUNCTION("""COMPUTED_VALUE"""),1767540.28)</f>
        <v>1767540.28</v>
      </c>
      <c r="P122" s="6">
        <f>IFERROR(__xludf.DUMMYFUNCTION("""COMPUTED_VALUE"""),1799150.72)</f>
        <v>1799150.72</v>
      </c>
    </row>
    <row r="123" ht="15.75" customHeight="1">
      <c r="A123" s="6" t="str">
        <f>IFERROR(__xludf.DUMMYFUNCTION("""COMPUTED_VALUE"""),"Month4")</f>
        <v>Month4</v>
      </c>
      <c r="B123" s="6" t="str">
        <f>IFERROR(__xludf.DUMMYFUNCTION("""COMPUTED_VALUE"""),"April")</f>
        <v>April</v>
      </c>
      <c r="C123" s="6" t="str">
        <f>IFERROR(__xludf.DUMMYFUNCTION("""COMPUTED_VALUE"""),"North")</f>
        <v>North</v>
      </c>
      <c r="D123" s="6" t="str">
        <f>IFERROR(__xludf.DUMMYFUNCTION("""COMPUTED_VALUE"""),"Dehradun")</f>
        <v>Dehradun</v>
      </c>
      <c r="E123" s="6" t="str">
        <f>IFERROR(__xludf.DUMMYFUNCTION("""COMPUTED_VALUE"""),"NutriKid")</f>
        <v>NutriKid</v>
      </c>
      <c r="F123" s="6">
        <f>IFERROR(__xludf.DUMMYFUNCTION("""COMPUTED_VALUE"""),14828.0)</f>
        <v>14828</v>
      </c>
      <c r="G123" s="6">
        <f>IFERROR(__xludf.DUMMYFUNCTION("""COMPUTED_VALUE"""),16014.0)</f>
        <v>16014</v>
      </c>
      <c r="H123" s="39">
        <f>IFERROR(__xludf.DUMMYFUNCTION("""COMPUTED_VALUE"""),0.125)</f>
        <v>0.125</v>
      </c>
      <c r="I123" s="6">
        <f>IFERROR(__xludf.DUMMYFUNCTION("""COMPUTED_VALUE"""),60.0)</f>
        <v>60</v>
      </c>
      <c r="J123" s="6">
        <f>IFERROR(__xludf.DUMMYFUNCTION("""COMPUTED_VALUE"""),52.5)</f>
        <v>52.5</v>
      </c>
      <c r="K123" s="59">
        <f>IFERROR(__xludf.DUMMYFUNCTION("""COMPUTED_VALUE"""),778470.0)</f>
        <v>778470</v>
      </c>
      <c r="L123" s="6">
        <f>IFERROR(__xludf.DUMMYFUNCTION("""COMPUTED_VALUE"""),960840.0)</f>
        <v>960840</v>
      </c>
      <c r="M123" s="6">
        <f>IFERROR(__xludf.DUMMYFUNCTION("""COMPUTED_VALUE"""),33.75)</f>
        <v>33.75</v>
      </c>
      <c r="N123" s="6">
        <f>IFERROR(__xludf.DUMMYFUNCTION("""COMPUTED_VALUE"""),29.89)</f>
        <v>29.89</v>
      </c>
      <c r="O123" s="6">
        <f>IFERROR(__xludf.DUMMYFUNCTION("""COMPUTED_VALUE"""),500445.0)</f>
        <v>500445</v>
      </c>
      <c r="P123" s="6">
        <f>IFERROR(__xludf.DUMMYFUNCTION("""COMPUTED_VALUE"""),478658.46)</f>
        <v>478658.46</v>
      </c>
    </row>
    <row r="124" ht="15.75" customHeight="1">
      <c r="A124" s="6" t="str">
        <f>IFERROR(__xludf.DUMMYFUNCTION("""COMPUTED_VALUE"""),"Month4")</f>
        <v>Month4</v>
      </c>
      <c r="B124" s="6" t="str">
        <f>IFERROR(__xludf.DUMMYFUNCTION("""COMPUTED_VALUE"""),"April")</f>
        <v>April</v>
      </c>
      <c r="C124" s="6" t="str">
        <f>IFERROR(__xludf.DUMMYFUNCTION("""COMPUTED_VALUE"""),"South")</f>
        <v>South</v>
      </c>
      <c r="D124" s="6" t="str">
        <f>IFERROR(__xludf.DUMMYFUNCTION("""COMPUTED_VALUE"""),"Kochi")</f>
        <v>Kochi</v>
      </c>
      <c r="E124" s="6" t="str">
        <f>IFERROR(__xludf.DUMMYFUNCTION("""COMPUTED_VALUE"""),"ZestVita")</f>
        <v>ZestVita</v>
      </c>
      <c r="F124" s="6">
        <f>IFERROR(__xludf.DUMMYFUNCTION("""COMPUTED_VALUE"""),25957.0)</f>
        <v>25957</v>
      </c>
      <c r="G124" s="6">
        <f>IFERROR(__xludf.DUMMYFUNCTION("""COMPUTED_VALUE"""),26995.0)</f>
        <v>26995</v>
      </c>
      <c r="H124" s="39">
        <f>IFERROR(__xludf.DUMMYFUNCTION("""COMPUTED_VALUE"""),0.1)</f>
        <v>0.1</v>
      </c>
      <c r="I124" s="6">
        <f>IFERROR(__xludf.DUMMYFUNCTION("""COMPUTED_VALUE"""),135.0)</f>
        <v>135</v>
      </c>
      <c r="J124" s="6">
        <f>IFERROR(__xludf.DUMMYFUNCTION("""COMPUTED_VALUE"""),121.5)</f>
        <v>121.5</v>
      </c>
      <c r="K124" s="59">
        <f>IFERROR(__xludf.DUMMYFUNCTION("""COMPUTED_VALUE"""),3153775.5)</f>
        <v>3153775.5</v>
      </c>
      <c r="L124" s="6">
        <f>IFERROR(__xludf.DUMMYFUNCTION("""COMPUTED_VALUE"""),3644325.0)</f>
        <v>3644325</v>
      </c>
      <c r="M124" s="6">
        <f>IFERROR(__xludf.DUMMYFUNCTION("""COMPUTED_VALUE"""),74.03)</f>
        <v>74.03</v>
      </c>
      <c r="N124" s="6">
        <f>IFERROR(__xludf.DUMMYFUNCTION("""COMPUTED_VALUE"""),73.16)</f>
        <v>73.16</v>
      </c>
      <c r="O124" s="6">
        <f>IFERROR(__xludf.DUMMYFUNCTION("""COMPUTED_VALUE"""),1921596.71)</f>
        <v>1921596.71</v>
      </c>
      <c r="P124" s="6">
        <f>IFERROR(__xludf.DUMMYFUNCTION("""COMPUTED_VALUE"""),1974954.2)</f>
        <v>1974954.2</v>
      </c>
    </row>
    <row r="125" ht="15.75" customHeight="1">
      <c r="A125" s="6" t="str">
        <f>IFERROR(__xludf.DUMMYFUNCTION("""COMPUTED_VALUE"""),"Month4")</f>
        <v>Month4</v>
      </c>
      <c r="B125" s="6" t="str">
        <f>IFERROR(__xludf.DUMMYFUNCTION("""COMPUTED_VALUE"""),"April")</f>
        <v>April</v>
      </c>
      <c r="C125" s="6" t="str">
        <f>IFERROR(__xludf.DUMMYFUNCTION("""COMPUTED_VALUE"""),"South")</f>
        <v>South</v>
      </c>
      <c r="D125" s="6" t="str">
        <f>IFERROR(__xludf.DUMMYFUNCTION("""COMPUTED_VALUE"""),"Kochi")</f>
        <v>Kochi</v>
      </c>
      <c r="E125" s="6" t="str">
        <f>IFERROR(__xludf.DUMMYFUNCTION("""COMPUTED_VALUE"""),"NutriKid")</f>
        <v>NutriKid</v>
      </c>
      <c r="F125" s="6">
        <f>IFERROR(__xludf.DUMMYFUNCTION("""COMPUTED_VALUE"""),16492.0)</f>
        <v>16492</v>
      </c>
      <c r="G125" s="6">
        <f>IFERROR(__xludf.DUMMYFUNCTION("""COMPUTED_VALUE"""),17646.0)</f>
        <v>17646</v>
      </c>
      <c r="H125" s="39">
        <f>IFERROR(__xludf.DUMMYFUNCTION("""COMPUTED_VALUE"""),0.1)</f>
        <v>0.1</v>
      </c>
      <c r="I125" s="6">
        <f>IFERROR(__xludf.DUMMYFUNCTION("""COMPUTED_VALUE"""),60.0)</f>
        <v>60</v>
      </c>
      <c r="J125" s="6">
        <f>IFERROR(__xludf.DUMMYFUNCTION("""COMPUTED_VALUE"""),54.0)</f>
        <v>54</v>
      </c>
      <c r="K125" s="59">
        <f>IFERROR(__xludf.DUMMYFUNCTION("""COMPUTED_VALUE"""),890568.0)</f>
        <v>890568</v>
      </c>
      <c r="L125" s="6">
        <f>IFERROR(__xludf.DUMMYFUNCTION("""COMPUTED_VALUE"""),1058760.0)</f>
        <v>1058760</v>
      </c>
      <c r="M125" s="6">
        <f>IFERROR(__xludf.DUMMYFUNCTION("""COMPUTED_VALUE"""),33.75)</f>
        <v>33.75</v>
      </c>
      <c r="N125" s="6">
        <f>IFERROR(__xludf.DUMMYFUNCTION("""COMPUTED_VALUE"""),29.89)</f>
        <v>29.89</v>
      </c>
      <c r="O125" s="6">
        <f>IFERROR(__xludf.DUMMYFUNCTION("""COMPUTED_VALUE"""),556605.0)</f>
        <v>556605</v>
      </c>
      <c r="P125" s="6">
        <f>IFERROR(__xludf.DUMMYFUNCTION("""COMPUTED_VALUE"""),527438.9400000001)</f>
        <v>527438.94</v>
      </c>
    </row>
    <row r="126" ht="15.75" customHeight="1">
      <c r="A126" s="6" t="str">
        <f>IFERROR(__xludf.DUMMYFUNCTION("""COMPUTED_VALUE"""),"Month4")</f>
        <v>Month4</v>
      </c>
      <c r="B126" s="6" t="str">
        <f>IFERROR(__xludf.DUMMYFUNCTION("""COMPUTED_VALUE"""),"April")</f>
        <v>April</v>
      </c>
      <c r="C126" s="6" t="str">
        <f>IFERROR(__xludf.DUMMYFUNCTION("""COMPUTED_VALUE"""),"West")</f>
        <v>West</v>
      </c>
      <c r="D126" s="6" t="str">
        <f>IFERROR(__xludf.DUMMYFUNCTION("""COMPUTED_VALUE"""),"Jaipur")</f>
        <v>Jaipur</v>
      </c>
      <c r="E126" s="6" t="str">
        <f>IFERROR(__xludf.DUMMYFUNCTION("""COMPUTED_VALUE"""),"ZestVita")</f>
        <v>ZestVita</v>
      </c>
      <c r="F126" s="6">
        <f>IFERROR(__xludf.DUMMYFUNCTION("""COMPUTED_VALUE"""),31626.0)</f>
        <v>31626</v>
      </c>
      <c r="G126" s="6">
        <f>IFERROR(__xludf.DUMMYFUNCTION("""COMPUTED_VALUE"""),38267.0)</f>
        <v>38267</v>
      </c>
      <c r="H126" s="39">
        <f>IFERROR(__xludf.DUMMYFUNCTION("""COMPUTED_VALUE"""),0.0)</f>
        <v>0</v>
      </c>
      <c r="I126" s="6">
        <f>IFERROR(__xludf.DUMMYFUNCTION("""COMPUTED_VALUE"""),135.0)</f>
        <v>135</v>
      </c>
      <c r="J126" s="6">
        <f>IFERROR(__xludf.DUMMYFUNCTION("""COMPUTED_VALUE"""),135.0)</f>
        <v>135</v>
      </c>
      <c r="K126" s="59">
        <f>IFERROR(__xludf.DUMMYFUNCTION("""COMPUTED_VALUE"""),4269510.0)</f>
        <v>4269510</v>
      </c>
      <c r="L126" s="6">
        <f>IFERROR(__xludf.DUMMYFUNCTION("""COMPUTED_VALUE"""),5166045.0)</f>
        <v>5166045</v>
      </c>
      <c r="M126" s="6">
        <f>IFERROR(__xludf.DUMMYFUNCTION("""COMPUTED_VALUE"""),74.03)</f>
        <v>74.03</v>
      </c>
      <c r="N126" s="6">
        <f>IFERROR(__xludf.DUMMYFUNCTION("""COMPUTED_VALUE"""),73.16)</f>
        <v>73.16</v>
      </c>
      <c r="O126" s="6">
        <f>IFERROR(__xludf.DUMMYFUNCTION("""COMPUTED_VALUE"""),2341272.7800000003)</f>
        <v>2341272.78</v>
      </c>
      <c r="P126" s="6">
        <f>IFERROR(__xludf.DUMMYFUNCTION("""COMPUTED_VALUE"""),2799613.7199999997)</f>
        <v>2799613.72</v>
      </c>
    </row>
    <row r="127" ht="15.75" customHeight="1">
      <c r="A127" s="6" t="str">
        <f>IFERROR(__xludf.DUMMYFUNCTION("""COMPUTED_VALUE"""),"Month4")</f>
        <v>Month4</v>
      </c>
      <c r="B127" s="6" t="str">
        <f>IFERROR(__xludf.DUMMYFUNCTION("""COMPUTED_VALUE"""),"April")</f>
        <v>April</v>
      </c>
      <c r="C127" s="6" t="str">
        <f>IFERROR(__xludf.DUMMYFUNCTION("""COMPUTED_VALUE"""),"West")</f>
        <v>West</v>
      </c>
      <c r="D127" s="6" t="str">
        <f>IFERROR(__xludf.DUMMYFUNCTION("""COMPUTED_VALUE"""),"Jaipur")</f>
        <v>Jaipur</v>
      </c>
      <c r="E127" s="6" t="str">
        <f>IFERROR(__xludf.DUMMYFUNCTION("""COMPUTED_VALUE"""),"NutriKid")</f>
        <v>NutriKid</v>
      </c>
      <c r="F127" s="6">
        <f>IFERROR(__xludf.DUMMYFUNCTION("""COMPUTED_VALUE"""),24413.0)</f>
        <v>24413</v>
      </c>
      <c r="G127" s="6">
        <f>IFERROR(__xludf.DUMMYFUNCTION("""COMPUTED_VALUE"""),30516.0)</f>
        <v>30516</v>
      </c>
      <c r="H127" s="39">
        <f>IFERROR(__xludf.DUMMYFUNCTION("""COMPUTED_VALUE"""),0.0)</f>
        <v>0</v>
      </c>
      <c r="I127" s="6">
        <f>IFERROR(__xludf.DUMMYFUNCTION("""COMPUTED_VALUE"""),60.0)</f>
        <v>60</v>
      </c>
      <c r="J127" s="6">
        <f>IFERROR(__xludf.DUMMYFUNCTION("""COMPUTED_VALUE"""),60.0)</f>
        <v>60</v>
      </c>
      <c r="K127" s="59">
        <f>IFERROR(__xludf.DUMMYFUNCTION("""COMPUTED_VALUE"""),1464780.0)</f>
        <v>1464780</v>
      </c>
      <c r="L127" s="6">
        <f>IFERROR(__xludf.DUMMYFUNCTION("""COMPUTED_VALUE"""),1830960.0)</f>
        <v>1830960</v>
      </c>
      <c r="M127" s="6">
        <f>IFERROR(__xludf.DUMMYFUNCTION("""COMPUTED_VALUE"""),33.75)</f>
        <v>33.75</v>
      </c>
      <c r="N127" s="6">
        <f>IFERROR(__xludf.DUMMYFUNCTION("""COMPUTED_VALUE"""),29.89)</f>
        <v>29.89</v>
      </c>
      <c r="O127" s="6">
        <f>IFERROR(__xludf.DUMMYFUNCTION("""COMPUTED_VALUE"""),823938.75)</f>
        <v>823938.75</v>
      </c>
      <c r="P127" s="6">
        <f>IFERROR(__xludf.DUMMYFUNCTION("""COMPUTED_VALUE"""),912123.24)</f>
        <v>912123.24</v>
      </c>
    </row>
    <row r="128" ht="15.75" customHeight="1">
      <c r="A128" s="6" t="str">
        <f>IFERROR(__xludf.DUMMYFUNCTION("""COMPUTED_VALUE"""),"Month4")</f>
        <v>Month4</v>
      </c>
      <c r="B128" s="6" t="str">
        <f>IFERROR(__xludf.DUMMYFUNCTION("""COMPUTED_VALUE"""),"April")</f>
        <v>April</v>
      </c>
      <c r="C128" s="6" t="str">
        <f>IFERROR(__xludf.DUMMYFUNCTION("""COMPUTED_VALUE"""),"East")</f>
        <v>East</v>
      </c>
      <c r="D128" s="6" t="str">
        <f>IFERROR(__xludf.DUMMYFUNCTION("""COMPUTED_VALUE"""),"Patna")</f>
        <v>Patna</v>
      </c>
      <c r="E128" s="6" t="str">
        <f>IFERROR(__xludf.DUMMYFUNCTION("""COMPUTED_VALUE"""),"ZestVita")</f>
        <v>ZestVita</v>
      </c>
      <c r="F128" s="6">
        <f>IFERROR(__xludf.DUMMYFUNCTION("""COMPUTED_VALUE"""),26794.0)</f>
        <v>26794</v>
      </c>
      <c r="G128" s="6">
        <f>IFERROR(__xludf.DUMMYFUNCTION("""COMPUTED_VALUE"""),30545.0)</f>
        <v>30545</v>
      </c>
      <c r="H128" s="39">
        <f>IFERROR(__xludf.DUMMYFUNCTION("""COMPUTED_VALUE"""),0.05)</f>
        <v>0.05</v>
      </c>
      <c r="I128" s="6">
        <f>IFERROR(__xludf.DUMMYFUNCTION("""COMPUTED_VALUE"""),135.0)</f>
        <v>135</v>
      </c>
      <c r="J128" s="6">
        <f>IFERROR(__xludf.DUMMYFUNCTION("""COMPUTED_VALUE"""),128.25)</f>
        <v>128.25</v>
      </c>
      <c r="K128" s="59">
        <f>IFERROR(__xludf.DUMMYFUNCTION("""COMPUTED_VALUE"""),3436330.5)</f>
        <v>3436330.5</v>
      </c>
      <c r="L128" s="6">
        <f>IFERROR(__xludf.DUMMYFUNCTION("""COMPUTED_VALUE"""),4123575.0)</f>
        <v>4123575</v>
      </c>
      <c r="M128" s="6">
        <f>IFERROR(__xludf.DUMMYFUNCTION("""COMPUTED_VALUE"""),74.03)</f>
        <v>74.03</v>
      </c>
      <c r="N128" s="6">
        <f>IFERROR(__xludf.DUMMYFUNCTION("""COMPUTED_VALUE"""),73.16)</f>
        <v>73.16</v>
      </c>
      <c r="O128" s="6">
        <f>IFERROR(__xludf.DUMMYFUNCTION("""COMPUTED_VALUE"""),1983559.82)</f>
        <v>1983559.82</v>
      </c>
      <c r="P128" s="6">
        <f>IFERROR(__xludf.DUMMYFUNCTION("""COMPUTED_VALUE"""),2234672.1999999997)</f>
        <v>2234672.2</v>
      </c>
    </row>
    <row r="129" ht="15.75" customHeight="1">
      <c r="A129" s="6" t="str">
        <f>IFERROR(__xludf.DUMMYFUNCTION("""COMPUTED_VALUE"""),"Month4")</f>
        <v>Month4</v>
      </c>
      <c r="B129" s="6" t="str">
        <f>IFERROR(__xludf.DUMMYFUNCTION("""COMPUTED_VALUE"""),"April")</f>
        <v>April</v>
      </c>
      <c r="C129" s="6" t="str">
        <f>IFERROR(__xludf.DUMMYFUNCTION("""COMPUTED_VALUE"""),"East")</f>
        <v>East</v>
      </c>
      <c r="D129" s="6" t="str">
        <f>IFERROR(__xludf.DUMMYFUNCTION("""COMPUTED_VALUE"""),"Patna")</f>
        <v>Patna</v>
      </c>
      <c r="E129" s="6" t="str">
        <f>IFERROR(__xludf.DUMMYFUNCTION("""COMPUTED_VALUE"""),"NutriKid")</f>
        <v>NutriKid</v>
      </c>
      <c r="F129" s="6">
        <f>IFERROR(__xludf.DUMMYFUNCTION("""COMPUTED_VALUE"""),35383.0)</f>
        <v>35383</v>
      </c>
      <c r="G129" s="6">
        <f>IFERROR(__xludf.DUMMYFUNCTION("""COMPUTED_VALUE"""),42460.0)</f>
        <v>42460</v>
      </c>
      <c r="H129" s="39">
        <f>IFERROR(__xludf.DUMMYFUNCTION("""COMPUTED_VALUE"""),0.05)</f>
        <v>0.05</v>
      </c>
      <c r="I129" s="6">
        <f>IFERROR(__xludf.DUMMYFUNCTION("""COMPUTED_VALUE"""),60.0)</f>
        <v>60</v>
      </c>
      <c r="J129" s="6">
        <f>IFERROR(__xludf.DUMMYFUNCTION("""COMPUTED_VALUE"""),57.0)</f>
        <v>57</v>
      </c>
      <c r="K129" s="59">
        <f>IFERROR(__xludf.DUMMYFUNCTION("""COMPUTED_VALUE"""),2016831.0)</f>
        <v>2016831</v>
      </c>
      <c r="L129" s="6">
        <f>IFERROR(__xludf.DUMMYFUNCTION("""COMPUTED_VALUE"""),2547600.0)</f>
        <v>2547600</v>
      </c>
      <c r="M129" s="6">
        <f>IFERROR(__xludf.DUMMYFUNCTION("""COMPUTED_VALUE"""),33.75)</f>
        <v>33.75</v>
      </c>
      <c r="N129" s="6">
        <f>IFERROR(__xludf.DUMMYFUNCTION("""COMPUTED_VALUE"""),29.89)</f>
        <v>29.89</v>
      </c>
      <c r="O129" s="6">
        <f>IFERROR(__xludf.DUMMYFUNCTION("""COMPUTED_VALUE"""),1194176.25)</f>
        <v>1194176.25</v>
      </c>
      <c r="P129" s="6">
        <f>IFERROR(__xludf.DUMMYFUNCTION("""COMPUTED_VALUE"""),1269129.4000000001)</f>
        <v>1269129.4</v>
      </c>
    </row>
    <row r="130" ht="15.75" customHeight="1">
      <c r="A130" s="6" t="str">
        <f>IFERROR(__xludf.DUMMYFUNCTION("""COMPUTED_VALUE"""),"Month5")</f>
        <v>Month5</v>
      </c>
      <c r="B130" s="6" t="str">
        <f>IFERROR(__xludf.DUMMYFUNCTION("""COMPUTED_VALUE"""),"May")</f>
        <v>May</v>
      </c>
      <c r="C130" s="6" t="str">
        <f>IFERROR(__xludf.DUMMYFUNCTION("""COMPUTED_VALUE"""),"#ERROR!")</f>
        <v>#ERROR!</v>
      </c>
      <c r="D130" s="6" t="str">
        <f>IFERROR(__xludf.DUMMYFUNCTION("""COMPUTED_VALUE"""),"Delhi")</f>
        <v>Delhi</v>
      </c>
      <c r="E130" s="6" t="str">
        <f>IFERROR(__xludf.DUMMYFUNCTION("""COMPUTED_VALUE"""),"ZestVita")</f>
        <v>ZestVita</v>
      </c>
      <c r="F130" s="6">
        <f>IFERROR(__xludf.DUMMYFUNCTION("""COMPUTED_VALUE"""),38585.0)</f>
        <v>38585</v>
      </c>
      <c r="G130" s="6">
        <f>IFERROR(__xludf.DUMMYFUNCTION("""COMPUTED_VALUE"""),45916.0)</f>
        <v>45916</v>
      </c>
      <c r="H130" s="39">
        <f>IFERROR(__xludf.DUMMYFUNCTION("""COMPUTED_VALUE"""),0.0)</f>
        <v>0</v>
      </c>
      <c r="I130" s="6">
        <f>IFERROR(__xludf.DUMMYFUNCTION("""COMPUTED_VALUE"""),135.0)</f>
        <v>135</v>
      </c>
      <c r="J130" s="6">
        <f>IFERROR(__xludf.DUMMYFUNCTION("""COMPUTED_VALUE"""),135.0)</f>
        <v>135</v>
      </c>
      <c r="K130" s="59">
        <f>IFERROR(__xludf.DUMMYFUNCTION("""COMPUTED_VALUE"""),5208975.0)</f>
        <v>5208975</v>
      </c>
      <c r="L130" s="6">
        <f>IFERROR(__xludf.DUMMYFUNCTION("""COMPUTED_VALUE"""),6198660.0)</f>
        <v>6198660</v>
      </c>
      <c r="M130" s="6">
        <f>IFERROR(__xludf.DUMMYFUNCTION("""COMPUTED_VALUE"""),74.03)</f>
        <v>74.03</v>
      </c>
      <c r="N130" s="6">
        <f>IFERROR(__xludf.DUMMYFUNCTION("""COMPUTED_VALUE"""),73.16)</f>
        <v>73.16</v>
      </c>
      <c r="O130" s="6">
        <f>IFERROR(__xludf.DUMMYFUNCTION("""COMPUTED_VALUE"""),2856447.55)</f>
        <v>2856447.55</v>
      </c>
      <c r="P130" s="6">
        <f>IFERROR(__xludf.DUMMYFUNCTION("""COMPUTED_VALUE"""),3359214.56)</f>
        <v>3359214.56</v>
      </c>
    </row>
    <row r="131" ht="15.75" customHeight="1">
      <c r="A131" s="6" t="str">
        <f>IFERROR(__xludf.DUMMYFUNCTION("""COMPUTED_VALUE"""),"Month5")</f>
        <v>Month5</v>
      </c>
      <c r="B131" s="6" t="str">
        <f>IFERROR(__xludf.DUMMYFUNCTION("""COMPUTED_VALUE"""),"May")</f>
        <v>May</v>
      </c>
      <c r="C131" s="6" t="str">
        <f>IFERROR(__xludf.DUMMYFUNCTION("""COMPUTED_VALUE"""),"North")</f>
        <v>North</v>
      </c>
      <c r="D131" s="6" t="str">
        <f>IFERROR(__xludf.DUMMYFUNCTION("""COMPUTED_VALUE"""),"Delhi")</f>
        <v>Delhi</v>
      </c>
      <c r="E131" s="6" t="str">
        <f>IFERROR(__xludf.DUMMYFUNCTION("""COMPUTED_VALUE"""),"NutriKid")</f>
        <v>NutriKid</v>
      </c>
      <c r="F131" s="6">
        <f>IFERROR(__xludf.DUMMYFUNCTION("""COMPUTED_VALUE"""),29886.0)</f>
        <v>29886</v>
      </c>
      <c r="G131" s="6">
        <f>IFERROR(__xludf.DUMMYFUNCTION("""COMPUTED_VALUE"""),34668.0)</f>
        <v>34668</v>
      </c>
      <c r="H131" s="39">
        <f>IFERROR(__xludf.DUMMYFUNCTION("""COMPUTED_VALUE"""),0.0)</f>
        <v>0</v>
      </c>
      <c r="I131" s="6">
        <f>IFERROR(__xludf.DUMMYFUNCTION("""COMPUTED_VALUE"""),60.0)</f>
        <v>60</v>
      </c>
      <c r="J131" s="6">
        <f>IFERROR(__xludf.DUMMYFUNCTION("""COMPUTED_VALUE"""),60.0)</f>
        <v>60</v>
      </c>
      <c r="K131" s="59">
        <f>IFERROR(__xludf.DUMMYFUNCTION("""COMPUTED_VALUE"""),1793160.0)</f>
        <v>1793160</v>
      </c>
      <c r="L131" s="6">
        <f>IFERROR(__xludf.DUMMYFUNCTION("""COMPUTED_VALUE"""),2080080.0)</f>
        <v>2080080</v>
      </c>
      <c r="M131" s="6">
        <f>IFERROR(__xludf.DUMMYFUNCTION("""COMPUTED_VALUE"""),33.75)</f>
        <v>33.75</v>
      </c>
      <c r="N131" s="6">
        <f>IFERROR(__xludf.DUMMYFUNCTION("""COMPUTED_VALUE"""),29.89)</f>
        <v>29.89</v>
      </c>
      <c r="O131" s="6">
        <f>IFERROR(__xludf.DUMMYFUNCTION("""COMPUTED_VALUE"""),1008652.5)</f>
        <v>1008652.5</v>
      </c>
      <c r="P131" s="6">
        <f>IFERROR(__xludf.DUMMYFUNCTION("""COMPUTED_VALUE"""),1036226.52)</f>
        <v>1036226.52</v>
      </c>
    </row>
    <row r="132" ht="15.75" customHeight="1">
      <c r="A132" s="6" t="str">
        <f>IFERROR(__xludf.DUMMYFUNCTION("""COMPUTED_VALUE"""),"Month5")</f>
        <v>Month5</v>
      </c>
      <c r="B132" s="6" t="str">
        <f>IFERROR(__xludf.DUMMYFUNCTION("""COMPUTED_VALUE"""),"May")</f>
        <v>May</v>
      </c>
      <c r="C132" s="6" t="str">
        <f>IFERROR(__xludf.DUMMYFUNCTION("""COMPUTED_VALUE"""),"East")</f>
        <v>East</v>
      </c>
      <c r="D132" s="6" t="str">
        <f>IFERROR(__xludf.DUMMYFUNCTION("""COMPUTED_VALUE"""),"Kolkata")</f>
        <v>Kolkata</v>
      </c>
      <c r="E132" s="6" t="str">
        <f>IFERROR(__xludf.DUMMYFUNCTION("""COMPUTED_VALUE"""),"ZestVita")</f>
        <v>ZestVita</v>
      </c>
      <c r="F132" s="6">
        <f>IFERROR(__xludf.DUMMYFUNCTION("""COMPUTED_VALUE"""),20585.0)</f>
        <v>20585</v>
      </c>
      <c r="G132" s="6">
        <f>IFERROR(__xludf.DUMMYFUNCTION("""COMPUTED_VALUE"""),23879.0)</f>
        <v>23879</v>
      </c>
      <c r="H132" s="39">
        <f>IFERROR(__xludf.DUMMYFUNCTION("""COMPUTED_VALUE"""),0.0)</f>
        <v>0</v>
      </c>
      <c r="I132" s="6">
        <f>IFERROR(__xludf.DUMMYFUNCTION("""COMPUTED_VALUE"""),135.0)</f>
        <v>135</v>
      </c>
      <c r="J132" s="6">
        <f>IFERROR(__xludf.DUMMYFUNCTION("""COMPUTED_VALUE"""),135.0)</f>
        <v>135</v>
      </c>
      <c r="K132" s="59">
        <f>IFERROR(__xludf.DUMMYFUNCTION("""COMPUTED_VALUE"""),2778975.0)</f>
        <v>2778975</v>
      </c>
      <c r="L132" s="6">
        <f>IFERROR(__xludf.DUMMYFUNCTION("""COMPUTED_VALUE"""),3223665.0)</f>
        <v>3223665</v>
      </c>
      <c r="M132" s="6">
        <f>IFERROR(__xludf.DUMMYFUNCTION("""COMPUTED_VALUE"""),74.03)</f>
        <v>74.03</v>
      </c>
      <c r="N132" s="6">
        <f>IFERROR(__xludf.DUMMYFUNCTION("""COMPUTED_VALUE"""),73.16)</f>
        <v>73.16</v>
      </c>
      <c r="O132" s="6">
        <f>IFERROR(__xludf.DUMMYFUNCTION("""COMPUTED_VALUE"""),1523907.55)</f>
        <v>1523907.55</v>
      </c>
      <c r="P132" s="6">
        <f>IFERROR(__xludf.DUMMYFUNCTION("""COMPUTED_VALUE"""),1746987.64)</f>
        <v>1746987.64</v>
      </c>
    </row>
    <row r="133" ht="15.75" customHeight="1">
      <c r="A133" s="6" t="str">
        <f>IFERROR(__xludf.DUMMYFUNCTION("""COMPUTED_VALUE"""),"Month5")</f>
        <v>Month5</v>
      </c>
      <c r="B133" s="6" t="str">
        <f>IFERROR(__xludf.DUMMYFUNCTION("""COMPUTED_VALUE"""),"May")</f>
        <v>May</v>
      </c>
      <c r="C133" s="6" t="str">
        <f>IFERROR(__xludf.DUMMYFUNCTION("""COMPUTED_VALUE"""),"East")</f>
        <v>East</v>
      </c>
      <c r="D133" s="6" t="str">
        <f>IFERROR(__xludf.DUMMYFUNCTION("""COMPUTED_VALUE"""),"Kolkata")</f>
        <v>Kolkata</v>
      </c>
      <c r="E133" s="6" t="str">
        <f>IFERROR(__xludf.DUMMYFUNCTION("""COMPUTED_VALUE"""),"NutriKid")</f>
        <v>NutriKid</v>
      </c>
      <c r="F133" s="6">
        <f>IFERROR(__xludf.DUMMYFUNCTION("""COMPUTED_VALUE"""),41511.0)</f>
        <v>41511</v>
      </c>
      <c r="G133" s="6">
        <f>IFERROR(__xludf.DUMMYFUNCTION("""COMPUTED_VALUE"""),48983.0)</f>
        <v>48983</v>
      </c>
      <c r="H133" s="39">
        <f>IFERROR(__xludf.DUMMYFUNCTION("""COMPUTED_VALUE"""),0.0)</f>
        <v>0</v>
      </c>
      <c r="I133" s="6">
        <f>IFERROR(__xludf.DUMMYFUNCTION("""COMPUTED_VALUE"""),60.0)</f>
        <v>60</v>
      </c>
      <c r="J133" s="6">
        <f>IFERROR(__xludf.DUMMYFUNCTION("""COMPUTED_VALUE"""),60.0)</f>
        <v>60</v>
      </c>
      <c r="K133" s="59">
        <f>IFERROR(__xludf.DUMMYFUNCTION("""COMPUTED_VALUE"""),2490660.0)</f>
        <v>2490660</v>
      </c>
      <c r="L133" s="6">
        <f>IFERROR(__xludf.DUMMYFUNCTION("""COMPUTED_VALUE"""),2938980.0)</f>
        <v>2938980</v>
      </c>
      <c r="M133" s="6">
        <f>IFERROR(__xludf.DUMMYFUNCTION("""COMPUTED_VALUE"""),33.75)</f>
        <v>33.75</v>
      </c>
      <c r="N133" s="6">
        <f>IFERROR(__xludf.DUMMYFUNCTION("""COMPUTED_VALUE"""),29.89)</f>
        <v>29.89</v>
      </c>
      <c r="O133" s="6">
        <f>IFERROR(__xludf.DUMMYFUNCTION("""COMPUTED_VALUE"""),1400996.25)</f>
        <v>1400996.25</v>
      </c>
      <c r="P133" s="6">
        <f>IFERROR(__xludf.DUMMYFUNCTION("""COMPUTED_VALUE"""),1464101.87)</f>
        <v>1464101.87</v>
      </c>
    </row>
    <row r="134" ht="15.75" customHeight="1">
      <c r="A134" s="6" t="str">
        <f>IFERROR(__xludf.DUMMYFUNCTION("""COMPUTED_VALUE"""),"Month5")</f>
        <v>Month5</v>
      </c>
      <c r="B134" s="6" t="str">
        <f>IFERROR(__xludf.DUMMYFUNCTION("""COMPUTED_VALUE"""),"May")</f>
        <v>May</v>
      </c>
      <c r="C134" s="6" t="str">
        <f>IFERROR(__xludf.DUMMYFUNCTION("""COMPUTED_VALUE"""),"West")</f>
        <v>West</v>
      </c>
      <c r="D134" s="6" t="str">
        <f>IFERROR(__xludf.DUMMYFUNCTION("""COMPUTED_VALUE"""),"Pune")</f>
        <v>Pune</v>
      </c>
      <c r="E134" s="6" t="str">
        <f>IFERROR(__xludf.DUMMYFUNCTION("""COMPUTED_VALUE"""),"ZestVita")</f>
        <v>ZestVita</v>
      </c>
      <c r="F134" s="6">
        <f>IFERROR(__xludf.DUMMYFUNCTION("""COMPUTED_VALUE"""),25282.0)</f>
        <v>25282</v>
      </c>
      <c r="G134" s="6">
        <f>IFERROR(__xludf.DUMMYFUNCTION("""COMPUTED_VALUE"""),31097.0)</f>
        <v>31097</v>
      </c>
      <c r="H134" s="39">
        <f>IFERROR(__xludf.DUMMYFUNCTION("""COMPUTED_VALUE"""),0.0)</f>
        <v>0</v>
      </c>
      <c r="I134" s="6">
        <f>IFERROR(__xludf.DUMMYFUNCTION("""COMPUTED_VALUE"""),135.0)</f>
        <v>135</v>
      </c>
      <c r="J134" s="6">
        <f>IFERROR(__xludf.DUMMYFUNCTION("""COMPUTED_VALUE"""),135.0)</f>
        <v>135</v>
      </c>
      <c r="K134" s="59">
        <f>IFERROR(__xludf.DUMMYFUNCTION("""COMPUTED_VALUE"""),3413070.0)</f>
        <v>3413070</v>
      </c>
      <c r="L134" s="6">
        <f>IFERROR(__xludf.DUMMYFUNCTION("""COMPUTED_VALUE"""),4198095.0)</f>
        <v>4198095</v>
      </c>
      <c r="M134" s="6">
        <f>IFERROR(__xludf.DUMMYFUNCTION("""COMPUTED_VALUE"""),74.03)</f>
        <v>74.03</v>
      </c>
      <c r="N134" s="6">
        <f>IFERROR(__xludf.DUMMYFUNCTION("""COMPUTED_VALUE"""),73.16)</f>
        <v>73.16</v>
      </c>
      <c r="O134" s="6">
        <f>IFERROR(__xludf.DUMMYFUNCTION("""COMPUTED_VALUE"""),1871626.46)</f>
        <v>1871626.46</v>
      </c>
      <c r="P134" s="6">
        <f>IFERROR(__xludf.DUMMYFUNCTION("""COMPUTED_VALUE"""),2275056.52)</f>
        <v>2275056.52</v>
      </c>
    </row>
    <row r="135" ht="15.75" customHeight="1">
      <c r="A135" s="6" t="str">
        <f>IFERROR(__xludf.DUMMYFUNCTION("""COMPUTED_VALUE"""),"Month5")</f>
        <v>Month5</v>
      </c>
      <c r="B135" s="6" t="str">
        <f>IFERROR(__xludf.DUMMYFUNCTION("""COMPUTED_VALUE"""),"May")</f>
        <v>May</v>
      </c>
      <c r="C135" s="6" t="str">
        <f>IFERROR(__xludf.DUMMYFUNCTION("""COMPUTED_VALUE"""),"West")</f>
        <v>West</v>
      </c>
      <c r="D135" s="6" t="str">
        <f>IFERROR(__xludf.DUMMYFUNCTION("""COMPUTED_VALUE"""),"Pune")</f>
        <v>Pune</v>
      </c>
      <c r="E135" s="6" t="str">
        <f>IFERROR(__xludf.DUMMYFUNCTION("""COMPUTED_VALUE"""),"NutriKid")</f>
        <v>NutriKid</v>
      </c>
      <c r="F135" s="6">
        <f>IFERROR(__xludf.DUMMYFUNCTION("""COMPUTED_VALUE"""),29857.0)</f>
        <v>29857</v>
      </c>
      <c r="G135" s="6">
        <f>IFERROR(__xludf.DUMMYFUNCTION("""COMPUTED_VALUE"""),34933.0)</f>
        <v>34933</v>
      </c>
      <c r="H135" s="39">
        <f>IFERROR(__xludf.DUMMYFUNCTION("""COMPUTED_VALUE"""),0.0)</f>
        <v>0</v>
      </c>
      <c r="I135" s="6">
        <f>IFERROR(__xludf.DUMMYFUNCTION("""COMPUTED_VALUE"""),60.0)</f>
        <v>60</v>
      </c>
      <c r="J135" s="6">
        <f>IFERROR(__xludf.DUMMYFUNCTION("""COMPUTED_VALUE"""),60.0)</f>
        <v>60</v>
      </c>
      <c r="K135" s="59">
        <f>IFERROR(__xludf.DUMMYFUNCTION("""COMPUTED_VALUE"""),1791420.0)</f>
        <v>1791420</v>
      </c>
      <c r="L135" s="6">
        <f>IFERROR(__xludf.DUMMYFUNCTION("""COMPUTED_VALUE"""),2095980.0)</f>
        <v>2095980</v>
      </c>
      <c r="M135" s="6">
        <f>IFERROR(__xludf.DUMMYFUNCTION("""COMPUTED_VALUE"""),33.75)</f>
        <v>33.75</v>
      </c>
      <c r="N135" s="6">
        <f>IFERROR(__xludf.DUMMYFUNCTION("""COMPUTED_VALUE"""),29.89)</f>
        <v>29.89</v>
      </c>
      <c r="O135" s="6">
        <f>IFERROR(__xludf.DUMMYFUNCTION("""COMPUTED_VALUE"""),1007673.75)</f>
        <v>1007673.75</v>
      </c>
      <c r="P135" s="6">
        <f>IFERROR(__xludf.DUMMYFUNCTION("""COMPUTED_VALUE"""),1044147.37)</f>
        <v>1044147.37</v>
      </c>
    </row>
    <row r="136" ht="15.75" customHeight="1">
      <c r="A136" s="6" t="str">
        <f>IFERROR(__xludf.DUMMYFUNCTION("""COMPUTED_VALUE"""),"Month5")</f>
        <v>Month5</v>
      </c>
      <c r="B136" s="6" t="str">
        <f>IFERROR(__xludf.DUMMYFUNCTION("""COMPUTED_VALUE"""),"May")</f>
        <v>May</v>
      </c>
      <c r="C136" s="6" t="str">
        <f>IFERROR(__xludf.DUMMYFUNCTION("""COMPUTED_VALUE"""),"South")</f>
        <v>South</v>
      </c>
      <c r="D136" s="6" t="str">
        <f>IFERROR(__xludf.DUMMYFUNCTION("""COMPUTED_VALUE"""),"Bengaluru")</f>
        <v>Bengaluru</v>
      </c>
      <c r="E136" s="6" t="str">
        <f>IFERROR(__xludf.DUMMYFUNCTION("""COMPUTED_VALUE"""),"ZestVita")</f>
        <v>ZestVita</v>
      </c>
      <c r="F136" s="6">
        <f>IFERROR(__xludf.DUMMYFUNCTION("""COMPUTED_VALUE"""),47725.0)</f>
        <v>47725</v>
      </c>
      <c r="G136" s="6">
        <f>IFERROR(__xludf.DUMMYFUNCTION("""COMPUTED_VALUE"""),52975.0)</f>
        <v>52975</v>
      </c>
      <c r="H136" s="39">
        <f>IFERROR(__xludf.DUMMYFUNCTION("""COMPUTED_VALUE"""),0.0)</f>
        <v>0</v>
      </c>
      <c r="I136" s="6">
        <f>IFERROR(__xludf.DUMMYFUNCTION("""COMPUTED_VALUE"""),135.0)</f>
        <v>135</v>
      </c>
      <c r="J136" s="6">
        <f>IFERROR(__xludf.DUMMYFUNCTION("""COMPUTED_VALUE"""),135.0)</f>
        <v>135</v>
      </c>
      <c r="K136" s="59">
        <f>IFERROR(__xludf.DUMMYFUNCTION("""COMPUTED_VALUE"""),6442875.0)</f>
        <v>6442875</v>
      </c>
      <c r="L136" s="6">
        <f>IFERROR(__xludf.DUMMYFUNCTION("""COMPUTED_VALUE"""),7151625.0)</f>
        <v>7151625</v>
      </c>
      <c r="M136" s="6">
        <f>IFERROR(__xludf.DUMMYFUNCTION("""COMPUTED_VALUE"""),74.03)</f>
        <v>74.03</v>
      </c>
      <c r="N136" s="6">
        <f>IFERROR(__xludf.DUMMYFUNCTION("""COMPUTED_VALUE"""),73.16)</f>
        <v>73.16</v>
      </c>
      <c r="O136" s="6">
        <f>IFERROR(__xludf.DUMMYFUNCTION("""COMPUTED_VALUE"""),3533081.75)</f>
        <v>3533081.75</v>
      </c>
      <c r="P136" s="6">
        <f>IFERROR(__xludf.DUMMYFUNCTION("""COMPUTED_VALUE"""),3875651.0)</f>
        <v>3875651</v>
      </c>
    </row>
    <row r="137" ht="15.75" customHeight="1">
      <c r="A137" s="6" t="str">
        <f>IFERROR(__xludf.DUMMYFUNCTION("""COMPUTED_VALUE"""),"Month5")</f>
        <v>Month5</v>
      </c>
      <c r="B137" s="6" t="str">
        <f>IFERROR(__xludf.DUMMYFUNCTION("""COMPUTED_VALUE"""),"May")</f>
        <v>May</v>
      </c>
      <c r="C137" s="6" t="str">
        <f>IFERROR(__xludf.DUMMYFUNCTION("""COMPUTED_VALUE"""),"South")</f>
        <v>South</v>
      </c>
      <c r="D137" s="6" t="str">
        <f>IFERROR(__xludf.DUMMYFUNCTION("""COMPUTED_VALUE"""),"Bengaluru")</f>
        <v>Bengaluru</v>
      </c>
      <c r="E137" s="6" t="str">
        <f>IFERROR(__xludf.DUMMYFUNCTION("""COMPUTED_VALUE"""),"NutriKid")</f>
        <v>NutriKid</v>
      </c>
      <c r="F137" s="6">
        <f>IFERROR(__xludf.DUMMYFUNCTION("""COMPUTED_VALUE"""),25451.0)</f>
        <v>25451</v>
      </c>
      <c r="G137" s="6">
        <f>IFERROR(__xludf.DUMMYFUNCTION("""COMPUTED_VALUE"""),28505.0)</f>
        <v>28505</v>
      </c>
      <c r="H137" s="39">
        <f>IFERROR(__xludf.DUMMYFUNCTION("""COMPUTED_VALUE"""),0.0)</f>
        <v>0</v>
      </c>
      <c r="I137" s="6">
        <f>IFERROR(__xludf.DUMMYFUNCTION("""COMPUTED_VALUE"""),60.0)</f>
        <v>60</v>
      </c>
      <c r="J137" s="6">
        <f>IFERROR(__xludf.DUMMYFUNCTION("""COMPUTED_VALUE"""),60.0)</f>
        <v>60</v>
      </c>
      <c r="K137" s="59">
        <f>IFERROR(__xludf.DUMMYFUNCTION("""COMPUTED_VALUE"""),1527060.0)</f>
        <v>1527060</v>
      </c>
      <c r="L137" s="6">
        <f>IFERROR(__xludf.DUMMYFUNCTION("""COMPUTED_VALUE"""),1710300.0)</f>
        <v>1710300</v>
      </c>
      <c r="M137" s="6">
        <f>IFERROR(__xludf.DUMMYFUNCTION("""COMPUTED_VALUE"""),33.75)</f>
        <v>33.75</v>
      </c>
      <c r="N137" s="6">
        <f>IFERROR(__xludf.DUMMYFUNCTION("""COMPUTED_VALUE"""),29.89)</f>
        <v>29.89</v>
      </c>
      <c r="O137" s="6">
        <f>IFERROR(__xludf.DUMMYFUNCTION("""COMPUTED_VALUE"""),858971.25)</f>
        <v>858971.25</v>
      </c>
      <c r="P137" s="6">
        <f>IFERROR(__xludf.DUMMYFUNCTION("""COMPUTED_VALUE"""),852014.4500000001)</f>
        <v>852014.45</v>
      </c>
    </row>
    <row r="138" ht="15.75" customHeight="1">
      <c r="A138" s="6" t="str">
        <f>IFERROR(__xludf.DUMMYFUNCTION("""COMPUTED_VALUE"""),"Month5")</f>
        <v>Month5</v>
      </c>
      <c r="B138" s="6" t="str">
        <f>IFERROR(__xludf.DUMMYFUNCTION("""COMPUTED_VALUE"""),"May")</f>
        <v>May</v>
      </c>
      <c r="C138" s="6" t="str">
        <f>IFERROR(__xludf.DUMMYFUNCTION("""COMPUTED_VALUE"""),"North")</f>
        <v>North</v>
      </c>
      <c r="D138" s="6" t="str">
        <f>IFERROR(__xludf.DUMMYFUNCTION("""COMPUTED_VALUE"""),"Chandigarh")</f>
        <v>Chandigarh</v>
      </c>
      <c r="E138" s="6" t="str">
        <f>IFERROR(__xludf.DUMMYFUNCTION("""COMPUTED_VALUE"""),"ZestVita")</f>
        <v>ZestVita</v>
      </c>
      <c r="F138" s="6">
        <f>IFERROR(__xludf.DUMMYFUNCTION("""COMPUTED_VALUE"""),41307.0)</f>
        <v>41307</v>
      </c>
      <c r="G138" s="6">
        <f>IFERROR(__xludf.DUMMYFUNCTION("""COMPUTED_VALUE"""),46677.0)</f>
        <v>46677</v>
      </c>
      <c r="H138" s="39">
        <f>IFERROR(__xludf.DUMMYFUNCTION("""COMPUTED_VALUE"""),0.0)</f>
        <v>0</v>
      </c>
      <c r="I138" s="6">
        <f>IFERROR(__xludf.DUMMYFUNCTION("""COMPUTED_VALUE"""),135.0)</f>
        <v>135</v>
      </c>
      <c r="J138" s="6">
        <f>IFERROR(__xludf.DUMMYFUNCTION("""COMPUTED_VALUE"""),135.0)</f>
        <v>135</v>
      </c>
      <c r="K138" s="59">
        <f>IFERROR(__xludf.DUMMYFUNCTION("""COMPUTED_VALUE"""),5576445.0)</f>
        <v>5576445</v>
      </c>
      <c r="L138" s="6">
        <f>IFERROR(__xludf.DUMMYFUNCTION("""COMPUTED_VALUE"""),6301395.0)</f>
        <v>6301395</v>
      </c>
      <c r="M138" s="6">
        <f>IFERROR(__xludf.DUMMYFUNCTION("""COMPUTED_VALUE"""),74.03)</f>
        <v>74.03</v>
      </c>
      <c r="N138" s="6">
        <f>IFERROR(__xludf.DUMMYFUNCTION("""COMPUTED_VALUE"""),73.16)</f>
        <v>73.16</v>
      </c>
      <c r="O138" s="6">
        <f>IFERROR(__xludf.DUMMYFUNCTION("""COMPUTED_VALUE"""),3057957.21)</f>
        <v>3057957.21</v>
      </c>
      <c r="P138" s="6">
        <f>IFERROR(__xludf.DUMMYFUNCTION("""COMPUTED_VALUE"""),3414889.32)</f>
        <v>3414889.32</v>
      </c>
    </row>
    <row r="139" ht="15.75" customHeight="1">
      <c r="A139" s="6" t="str">
        <f>IFERROR(__xludf.DUMMYFUNCTION("""COMPUTED_VALUE"""),"Month5")</f>
        <v>Month5</v>
      </c>
      <c r="B139" s="6" t="str">
        <f>IFERROR(__xludf.DUMMYFUNCTION("""COMPUTED_VALUE"""),"May")</f>
        <v>May</v>
      </c>
      <c r="C139" s="6" t="str">
        <f>IFERROR(__xludf.DUMMYFUNCTION("""COMPUTED_VALUE"""),"North")</f>
        <v>North</v>
      </c>
      <c r="D139" s="6" t="str">
        <f>IFERROR(__xludf.DUMMYFUNCTION("""COMPUTED_VALUE"""),"Chandigarh")</f>
        <v>Chandigarh</v>
      </c>
      <c r="E139" s="6" t="str">
        <f>IFERROR(__xludf.DUMMYFUNCTION("""COMPUTED_VALUE"""),"NutriKid")</f>
        <v>NutriKid</v>
      </c>
      <c r="F139" s="6">
        <f>IFERROR(__xludf.DUMMYFUNCTION("""COMPUTED_VALUE"""),42764.0)</f>
        <v>42764</v>
      </c>
      <c r="G139" s="6">
        <f>IFERROR(__xludf.DUMMYFUNCTION("""COMPUTED_VALUE"""),50889.0)</f>
        <v>50889</v>
      </c>
      <c r="H139" s="39">
        <f>IFERROR(__xludf.DUMMYFUNCTION("""COMPUTED_VALUE"""),0.0)</f>
        <v>0</v>
      </c>
      <c r="I139" s="6">
        <f>IFERROR(__xludf.DUMMYFUNCTION("""COMPUTED_VALUE"""),60.0)</f>
        <v>60</v>
      </c>
      <c r="J139" s="6">
        <f>IFERROR(__xludf.DUMMYFUNCTION("""COMPUTED_VALUE"""),60.0)</f>
        <v>60</v>
      </c>
      <c r="K139" s="59">
        <f>IFERROR(__xludf.DUMMYFUNCTION("""COMPUTED_VALUE"""),2565840.0)</f>
        <v>2565840</v>
      </c>
      <c r="L139" s="6">
        <f>IFERROR(__xludf.DUMMYFUNCTION("""COMPUTED_VALUE"""),3053340.0)</f>
        <v>3053340</v>
      </c>
      <c r="M139" s="6">
        <f>IFERROR(__xludf.DUMMYFUNCTION("""COMPUTED_VALUE"""),33.75)</f>
        <v>33.75</v>
      </c>
      <c r="N139" s="6">
        <f>IFERROR(__xludf.DUMMYFUNCTION("""COMPUTED_VALUE"""),29.89)</f>
        <v>29.89</v>
      </c>
      <c r="O139" s="6">
        <f>IFERROR(__xludf.DUMMYFUNCTION("""COMPUTED_VALUE"""),1443285.0)</f>
        <v>1443285</v>
      </c>
      <c r="P139" s="6">
        <f>IFERROR(__xludf.DUMMYFUNCTION("""COMPUTED_VALUE"""),1521072.21)</f>
        <v>1521072.21</v>
      </c>
    </row>
    <row r="140" ht="15.75" customHeight="1">
      <c r="A140" s="6" t="str">
        <f>IFERROR(__xludf.DUMMYFUNCTION("""COMPUTED_VALUE"""),"Month5")</f>
        <v>Month5</v>
      </c>
      <c r="B140" s="6" t="str">
        <f>IFERROR(__xludf.DUMMYFUNCTION("""COMPUTED_VALUE"""),"May")</f>
        <v>May</v>
      </c>
      <c r="C140" s="6" t="str">
        <f>IFERROR(__xludf.DUMMYFUNCTION("""COMPUTED_VALUE"""),"East")</f>
        <v>East</v>
      </c>
      <c r="D140" s="6" t="str">
        <f>IFERROR(__xludf.DUMMYFUNCTION("""COMPUTED_VALUE"""),"Bhubaneswar")</f>
        <v>Bhubaneswar</v>
      </c>
      <c r="E140" s="6" t="str">
        <f>IFERROR(__xludf.DUMMYFUNCTION("""COMPUTED_VALUE"""),"ZestVita")</f>
        <v>ZestVita</v>
      </c>
      <c r="F140" s="6">
        <f>IFERROR(__xludf.DUMMYFUNCTION("""COMPUTED_VALUE"""),15016.0)</f>
        <v>15016</v>
      </c>
      <c r="G140" s="6">
        <f>IFERROR(__xludf.DUMMYFUNCTION("""COMPUTED_VALUE"""),15917.0)</f>
        <v>15917</v>
      </c>
      <c r="H140" s="39">
        <f>IFERROR(__xludf.DUMMYFUNCTION("""COMPUTED_VALUE"""),0.125)</f>
        <v>0.125</v>
      </c>
      <c r="I140" s="6">
        <f>IFERROR(__xludf.DUMMYFUNCTION("""COMPUTED_VALUE"""),135.0)</f>
        <v>135</v>
      </c>
      <c r="J140" s="6">
        <f>IFERROR(__xludf.DUMMYFUNCTION("""COMPUTED_VALUE"""),118.125)</f>
        <v>118.125</v>
      </c>
      <c r="K140" s="59">
        <f>IFERROR(__xludf.DUMMYFUNCTION("""COMPUTED_VALUE"""),1773765.0)</f>
        <v>1773765</v>
      </c>
      <c r="L140" s="6">
        <f>IFERROR(__xludf.DUMMYFUNCTION("""COMPUTED_VALUE"""),2148795.0)</f>
        <v>2148795</v>
      </c>
      <c r="M140" s="6">
        <f>IFERROR(__xludf.DUMMYFUNCTION("""COMPUTED_VALUE"""),74.03)</f>
        <v>74.03</v>
      </c>
      <c r="N140" s="6">
        <f>IFERROR(__xludf.DUMMYFUNCTION("""COMPUTED_VALUE"""),73.16)</f>
        <v>73.16</v>
      </c>
      <c r="O140" s="6">
        <f>IFERROR(__xludf.DUMMYFUNCTION("""COMPUTED_VALUE"""),1111634.48)</f>
        <v>1111634.48</v>
      </c>
      <c r="P140" s="6">
        <f>IFERROR(__xludf.DUMMYFUNCTION("""COMPUTED_VALUE"""),1164487.72)</f>
        <v>1164487.72</v>
      </c>
    </row>
    <row r="141" ht="15.75" customHeight="1">
      <c r="A141" s="6" t="str">
        <f>IFERROR(__xludf.DUMMYFUNCTION("""COMPUTED_VALUE"""),"Month5")</f>
        <v>Month5</v>
      </c>
      <c r="B141" s="6" t="str">
        <f>IFERROR(__xludf.DUMMYFUNCTION("""COMPUTED_VALUE"""),"May")</f>
        <v>May</v>
      </c>
      <c r="C141" s="6" t="str">
        <f>IFERROR(__xludf.DUMMYFUNCTION("""COMPUTED_VALUE"""),"East")</f>
        <v>East</v>
      </c>
      <c r="D141" s="6" t="str">
        <f>IFERROR(__xludf.DUMMYFUNCTION("""COMPUTED_VALUE"""),"Bhubaneswar")</f>
        <v>Bhubaneswar</v>
      </c>
      <c r="E141" s="6" t="str">
        <f>IFERROR(__xludf.DUMMYFUNCTION("""COMPUTED_VALUE"""),"NutriKid")</f>
        <v>NutriKid</v>
      </c>
      <c r="F141" s="6">
        <f>IFERROR(__xludf.DUMMYFUNCTION("""COMPUTED_VALUE"""),21463.0)</f>
        <v>21463</v>
      </c>
      <c r="G141" s="6">
        <f>IFERROR(__xludf.DUMMYFUNCTION("""COMPUTED_VALUE"""),22107.0)</f>
        <v>22107</v>
      </c>
      <c r="H141" s="39">
        <f>IFERROR(__xludf.DUMMYFUNCTION("""COMPUTED_VALUE"""),0.125)</f>
        <v>0.125</v>
      </c>
      <c r="I141" s="6">
        <f>IFERROR(__xludf.DUMMYFUNCTION("""COMPUTED_VALUE"""),60.0)</f>
        <v>60</v>
      </c>
      <c r="J141" s="6">
        <f>IFERROR(__xludf.DUMMYFUNCTION("""COMPUTED_VALUE"""),52.5)</f>
        <v>52.5</v>
      </c>
      <c r="K141" s="59">
        <f>IFERROR(__xludf.DUMMYFUNCTION("""COMPUTED_VALUE"""),1126807.5)</f>
        <v>1126807.5</v>
      </c>
      <c r="L141" s="6">
        <f>IFERROR(__xludf.DUMMYFUNCTION("""COMPUTED_VALUE"""),1326420.0)</f>
        <v>1326420</v>
      </c>
      <c r="M141" s="6">
        <f>IFERROR(__xludf.DUMMYFUNCTION("""COMPUTED_VALUE"""),33.75)</f>
        <v>33.75</v>
      </c>
      <c r="N141" s="6">
        <f>IFERROR(__xludf.DUMMYFUNCTION("""COMPUTED_VALUE"""),29.89)</f>
        <v>29.89</v>
      </c>
      <c r="O141" s="6">
        <f>IFERROR(__xludf.DUMMYFUNCTION("""COMPUTED_VALUE"""),724376.25)</f>
        <v>724376.25</v>
      </c>
      <c r="P141" s="6">
        <f>IFERROR(__xludf.DUMMYFUNCTION("""COMPUTED_VALUE"""),660778.23)</f>
        <v>660778.23</v>
      </c>
    </row>
    <row r="142" ht="15.75" customHeight="1">
      <c r="A142" s="6" t="str">
        <f>IFERROR(__xludf.DUMMYFUNCTION("""COMPUTED_VALUE"""),"Month5")</f>
        <v>Month5</v>
      </c>
      <c r="B142" s="6" t="str">
        <f>IFERROR(__xludf.DUMMYFUNCTION("""COMPUTED_VALUE"""),"May")</f>
        <v>May</v>
      </c>
      <c r="C142" s="6" t="str">
        <f>IFERROR(__xludf.DUMMYFUNCTION("""COMPUTED_VALUE"""),"West")</f>
        <v>West</v>
      </c>
      <c r="D142" s="6" t="str">
        <f>IFERROR(__xludf.DUMMYFUNCTION("""COMPUTED_VALUE"""),"Ahmedabad")</f>
        <v>Ahmedabad</v>
      </c>
      <c r="E142" s="6" t="str">
        <f>IFERROR(__xludf.DUMMYFUNCTION("""COMPUTED_VALUE"""),"ZestVita")</f>
        <v>ZestVita</v>
      </c>
      <c r="F142" s="6">
        <f>IFERROR(__xludf.DUMMYFUNCTION("""COMPUTED_VALUE"""),35672.0)</f>
        <v>35672</v>
      </c>
      <c r="G142" s="6">
        <f>IFERROR(__xludf.DUMMYFUNCTION("""COMPUTED_VALUE"""),44233.0)</f>
        <v>44233</v>
      </c>
      <c r="H142" s="39">
        <f>IFERROR(__xludf.DUMMYFUNCTION("""COMPUTED_VALUE"""),0.0)</f>
        <v>0</v>
      </c>
      <c r="I142" s="6">
        <f>IFERROR(__xludf.DUMMYFUNCTION("""COMPUTED_VALUE"""),135.0)</f>
        <v>135</v>
      </c>
      <c r="J142" s="6">
        <f>IFERROR(__xludf.DUMMYFUNCTION("""COMPUTED_VALUE"""),135.0)</f>
        <v>135</v>
      </c>
      <c r="K142" s="59">
        <f>IFERROR(__xludf.DUMMYFUNCTION("""COMPUTED_VALUE"""),4815720.0)</f>
        <v>4815720</v>
      </c>
      <c r="L142" s="6">
        <f>IFERROR(__xludf.DUMMYFUNCTION("""COMPUTED_VALUE"""),5971455.0)</f>
        <v>5971455</v>
      </c>
      <c r="M142" s="6">
        <f>IFERROR(__xludf.DUMMYFUNCTION("""COMPUTED_VALUE"""),74.03)</f>
        <v>74.03</v>
      </c>
      <c r="N142" s="6">
        <f>IFERROR(__xludf.DUMMYFUNCTION("""COMPUTED_VALUE"""),73.16)</f>
        <v>73.16</v>
      </c>
      <c r="O142" s="6">
        <f>IFERROR(__xludf.DUMMYFUNCTION("""COMPUTED_VALUE"""),2640798.16)</f>
        <v>2640798.16</v>
      </c>
      <c r="P142" s="6">
        <f>IFERROR(__xludf.DUMMYFUNCTION("""COMPUTED_VALUE"""),3236086.28)</f>
        <v>3236086.28</v>
      </c>
    </row>
    <row r="143" ht="15.75" customHeight="1">
      <c r="A143" s="6" t="str">
        <f>IFERROR(__xludf.DUMMYFUNCTION("""COMPUTED_VALUE"""),"Month5")</f>
        <v>Month5</v>
      </c>
      <c r="B143" s="6" t="str">
        <f>IFERROR(__xludf.DUMMYFUNCTION("""COMPUTED_VALUE"""),"May")</f>
        <v>May</v>
      </c>
      <c r="C143" s="6" t="str">
        <f>IFERROR(__xludf.DUMMYFUNCTION("""COMPUTED_VALUE"""),"West")</f>
        <v>West</v>
      </c>
      <c r="D143" s="6" t="str">
        <f>IFERROR(__xludf.DUMMYFUNCTION("""COMPUTED_VALUE"""),"Ahmedabad")</f>
        <v>Ahmedabad</v>
      </c>
      <c r="E143" s="6" t="str">
        <f>IFERROR(__xludf.DUMMYFUNCTION("""COMPUTED_VALUE"""),"NutriKid")</f>
        <v>NutriKid</v>
      </c>
      <c r="F143" s="6">
        <f>IFERROR(__xludf.DUMMYFUNCTION("""COMPUTED_VALUE"""),20920.0)</f>
        <v>20920</v>
      </c>
      <c r="G143" s="6">
        <f>IFERROR(__xludf.DUMMYFUNCTION("""COMPUTED_VALUE"""),23849.0)</f>
        <v>23849</v>
      </c>
      <c r="H143" s="39">
        <f>IFERROR(__xludf.DUMMYFUNCTION("""COMPUTED_VALUE"""),0.0)</f>
        <v>0</v>
      </c>
      <c r="I143" s="6">
        <f>IFERROR(__xludf.DUMMYFUNCTION("""COMPUTED_VALUE"""),60.0)</f>
        <v>60</v>
      </c>
      <c r="J143" s="6">
        <f>IFERROR(__xludf.DUMMYFUNCTION("""COMPUTED_VALUE"""),60.0)</f>
        <v>60</v>
      </c>
      <c r="K143" s="59">
        <f>IFERROR(__xludf.DUMMYFUNCTION("""COMPUTED_VALUE"""),1255200.0)</f>
        <v>1255200</v>
      </c>
      <c r="L143" s="6">
        <f>IFERROR(__xludf.DUMMYFUNCTION("""COMPUTED_VALUE"""),1430940.0)</f>
        <v>1430940</v>
      </c>
      <c r="M143" s="6">
        <f>IFERROR(__xludf.DUMMYFUNCTION("""COMPUTED_VALUE"""),33.75)</f>
        <v>33.75</v>
      </c>
      <c r="N143" s="6">
        <f>IFERROR(__xludf.DUMMYFUNCTION("""COMPUTED_VALUE"""),29.89)</f>
        <v>29.89</v>
      </c>
      <c r="O143" s="6">
        <f>IFERROR(__xludf.DUMMYFUNCTION("""COMPUTED_VALUE"""),706050.0)</f>
        <v>706050</v>
      </c>
      <c r="P143" s="6">
        <f>IFERROR(__xludf.DUMMYFUNCTION("""COMPUTED_VALUE"""),712846.61)</f>
        <v>712846.61</v>
      </c>
    </row>
    <row r="144" ht="15.75" customHeight="1">
      <c r="A144" s="6" t="str">
        <f>IFERROR(__xludf.DUMMYFUNCTION("""COMPUTED_VALUE"""),"Month5")</f>
        <v>Month5</v>
      </c>
      <c r="B144" s="6" t="str">
        <f>IFERROR(__xludf.DUMMYFUNCTION("""COMPUTED_VALUE"""),"May")</f>
        <v>May</v>
      </c>
      <c r="C144" s="6" t="str">
        <f>IFERROR(__xludf.DUMMYFUNCTION("""COMPUTED_VALUE"""),"South")</f>
        <v>South</v>
      </c>
      <c r="D144" s="6" t="str">
        <f>IFERROR(__xludf.DUMMYFUNCTION("""COMPUTED_VALUE"""),"Chennai")</f>
        <v>Chennai</v>
      </c>
      <c r="E144" s="6" t="str">
        <f>IFERROR(__xludf.DUMMYFUNCTION("""COMPUTED_VALUE"""),"ZestVita")</f>
        <v>ZestVita</v>
      </c>
      <c r="F144" s="6">
        <f>IFERROR(__xludf.DUMMYFUNCTION("""COMPUTED_VALUE"""),22601.0)</f>
        <v>22601</v>
      </c>
      <c r="G144" s="6">
        <f>IFERROR(__xludf.DUMMYFUNCTION("""COMPUTED_VALUE"""),25313.0)</f>
        <v>25313</v>
      </c>
      <c r="H144" s="39">
        <f>IFERROR(__xludf.DUMMYFUNCTION("""COMPUTED_VALUE"""),0.0)</f>
        <v>0</v>
      </c>
      <c r="I144" s="6">
        <f>IFERROR(__xludf.DUMMYFUNCTION("""COMPUTED_VALUE"""),135.0)</f>
        <v>135</v>
      </c>
      <c r="J144" s="6">
        <f>IFERROR(__xludf.DUMMYFUNCTION("""COMPUTED_VALUE"""),135.0)</f>
        <v>135</v>
      </c>
      <c r="K144" s="59">
        <f>IFERROR(__xludf.DUMMYFUNCTION("""COMPUTED_VALUE"""),3051135.0)</f>
        <v>3051135</v>
      </c>
      <c r="L144" s="6">
        <f>IFERROR(__xludf.DUMMYFUNCTION("""COMPUTED_VALUE"""),3417255.0)</f>
        <v>3417255</v>
      </c>
      <c r="M144" s="6">
        <f>IFERROR(__xludf.DUMMYFUNCTION("""COMPUTED_VALUE"""),74.03)</f>
        <v>74.03</v>
      </c>
      <c r="N144" s="6">
        <f>IFERROR(__xludf.DUMMYFUNCTION("""COMPUTED_VALUE"""),73.16)</f>
        <v>73.16</v>
      </c>
      <c r="O144" s="6">
        <f>IFERROR(__xludf.DUMMYFUNCTION("""COMPUTED_VALUE"""),1673152.03)</f>
        <v>1673152.03</v>
      </c>
      <c r="P144" s="6">
        <f>IFERROR(__xludf.DUMMYFUNCTION("""COMPUTED_VALUE"""),1851899.0799999998)</f>
        <v>1851899.08</v>
      </c>
    </row>
    <row r="145" ht="15.75" customHeight="1">
      <c r="A145" s="6" t="str">
        <f>IFERROR(__xludf.DUMMYFUNCTION("""COMPUTED_VALUE"""),"Month5")</f>
        <v>Month5</v>
      </c>
      <c r="B145" s="6" t="str">
        <f>IFERROR(__xludf.DUMMYFUNCTION("""COMPUTED_VALUE"""),"May")</f>
        <v>May</v>
      </c>
      <c r="C145" s="6" t="str">
        <f>IFERROR(__xludf.DUMMYFUNCTION("""COMPUTED_VALUE"""),"South")</f>
        <v>South</v>
      </c>
      <c r="D145" s="6" t="str">
        <f>IFERROR(__xludf.DUMMYFUNCTION("""COMPUTED_VALUE"""),"Chennai")</f>
        <v>Chennai</v>
      </c>
      <c r="E145" s="6" t="str">
        <f>IFERROR(__xludf.DUMMYFUNCTION("""COMPUTED_VALUE"""),"NutriKid")</f>
        <v>NutriKid</v>
      </c>
      <c r="F145" s="6">
        <f>IFERROR(__xludf.DUMMYFUNCTION("""COMPUTED_VALUE"""),24580.0)</f>
        <v>24580</v>
      </c>
      <c r="G145" s="6">
        <f>IFERROR(__xludf.DUMMYFUNCTION("""COMPUTED_VALUE"""),30233.0)</f>
        <v>30233</v>
      </c>
      <c r="H145" s="39">
        <f>IFERROR(__xludf.DUMMYFUNCTION("""COMPUTED_VALUE"""),0.0)</f>
        <v>0</v>
      </c>
      <c r="I145" s="6">
        <f>IFERROR(__xludf.DUMMYFUNCTION("""COMPUTED_VALUE"""),60.0)</f>
        <v>60</v>
      </c>
      <c r="J145" s="6">
        <f>IFERROR(__xludf.DUMMYFUNCTION("""COMPUTED_VALUE"""),60.0)</f>
        <v>60</v>
      </c>
      <c r="K145" s="59">
        <f>IFERROR(__xludf.DUMMYFUNCTION("""COMPUTED_VALUE"""),1474800.0)</f>
        <v>1474800</v>
      </c>
      <c r="L145" s="6">
        <f>IFERROR(__xludf.DUMMYFUNCTION("""COMPUTED_VALUE"""),1813980.0)</f>
        <v>1813980</v>
      </c>
      <c r="M145" s="6">
        <f>IFERROR(__xludf.DUMMYFUNCTION("""COMPUTED_VALUE"""),33.75)</f>
        <v>33.75</v>
      </c>
      <c r="N145" s="6">
        <f>IFERROR(__xludf.DUMMYFUNCTION("""COMPUTED_VALUE"""),29.89)</f>
        <v>29.89</v>
      </c>
      <c r="O145" s="6">
        <f>IFERROR(__xludf.DUMMYFUNCTION("""COMPUTED_VALUE"""),829575.0)</f>
        <v>829575</v>
      </c>
      <c r="P145" s="6">
        <f>IFERROR(__xludf.DUMMYFUNCTION("""COMPUTED_VALUE"""),903664.37)</f>
        <v>903664.37</v>
      </c>
    </row>
    <row r="146" ht="15.75" customHeight="1">
      <c r="A146" s="6" t="str">
        <f>IFERROR(__xludf.DUMMYFUNCTION("""COMPUTED_VALUE"""),"Month5")</f>
        <v>Month5</v>
      </c>
      <c r="B146" s="6" t="str">
        <f>IFERROR(__xludf.DUMMYFUNCTION("""COMPUTED_VALUE"""),"May")</f>
        <v>May</v>
      </c>
      <c r="C146" s="6" t="str">
        <f>IFERROR(__xludf.DUMMYFUNCTION("""COMPUTED_VALUE"""),"North")</f>
        <v>North</v>
      </c>
      <c r="D146" s="6" t="str">
        <f>IFERROR(__xludf.DUMMYFUNCTION("""COMPUTED_VALUE"""),"Lucknow")</f>
        <v>Lucknow</v>
      </c>
      <c r="E146" s="6" t="str">
        <f>IFERROR(__xludf.DUMMYFUNCTION("""COMPUTED_VALUE"""),"ZestVita")</f>
        <v>ZestVita</v>
      </c>
      <c r="F146" s="6">
        <f>IFERROR(__xludf.DUMMYFUNCTION("""COMPUTED_VALUE"""),26118.0)</f>
        <v>26118</v>
      </c>
      <c r="G146" s="6">
        <f>IFERROR(__xludf.DUMMYFUNCTION("""COMPUTED_VALUE"""),32125.0)</f>
        <v>32125</v>
      </c>
      <c r="H146" s="39">
        <f>IFERROR(__xludf.DUMMYFUNCTION("""COMPUTED_VALUE"""),0.1)</f>
        <v>0.1</v>
      </c>
      <c r="I146" s="6">
        <f>IFERROR(__xludf.DUMMYFUNCTION("""COMPUTED_VALUE"""),135.0)</f>
        <v>135</v>
      </c>
      <c r="J146" s="6">
        <f>IFERROR(__xludf.DUMMYFUNCTION("""COMPUTED_VALUE"""),121.5)</f>
        <v>121.5</v>
      </c>
      <c r="K146" s="59">
        <f>IFERROR(__xludf.DUMMYFUNCTION("""COMPUTED_VALUE"""),3173337.0)</f>
        <v>3173337</v>
      </c>
      <c r="L146" s="6">
        <f>IFERROR(__xludf.DUMMYFUNCTION("""COMPUTED_VALUE"""),4336875.0)</f>
        <v>4336875</v>
      </c>
      <c r="M146" s="6">
        <f>IFERROR(__xludf.DUMMYFUNCTION("""COMPUTED_VALUE"""),74.03)</f>
        <v>74.03</v>
      </c>
      <c r="N146" s="6">
        <f>IFERROR(__xludf.DUMMYFUNCTION("""COMPUTED_VALUE"""),73.16)</f>
        <v>73.16</v>
      </c>
      <c r="O146" s="6">
        <f>IFERROR(__xludf.DUMMYFUNCTION("""COMPUTED_VALUE"""),1933515.54)</f>
        <v>1933515.54</v>
      </c>
      <c r="P146" s="6">
        <f>IFERROR(__xludf.DUMMYFUNCTION("""COMPUTED_VALUE"""),2350265.0)</f>
        <v>2350265</v>
      </c>
    </row>
    <row r="147" ht="15.75" customHeight="1">
      <c r="A147" s="6" t="str">
        <f>IFERROR(__xludf.DUMMYFUNCTION("""COMPUTED_VALUE"""),"Month5")</f>
        <v>Month5</v>
      </c>
      <c r="B147" s="6" t="str">
        <f>IFERROR(__xludf.DUMMYFUNCTION("""COMPUTED_VALUE"""),"May")</f>
        <v>May</v>
      </c>
      <c r="C147" s="6" t="str">
        <f>IFERROR(__xludf.DUMMYFUNCTION("""COMPUTED_VALUE"""),"North")</f>
        <v>North</v>
      </c>
      <c r="D147" s="6" t="str">
        <f>IFERROR(__xludf.DUMMYFUNCTION("""COMPUTED_VALUE"""),"Lucknow")</f>
        <v>Lucknow</v>
      </c>
      <c r="E147" s="6" t="str">
        <f>IFERROR(__xludf.DUMMYFUNCTION("""COMPUTED_VALUE"""),"NutriKid")</f>
        <v>NutriKid</v>
      </c>
      <c r="F147" s="6">
        <f>IFERROR(__xludf.DUMMYFUNCTION("""COMPUTED_VALUE"""),23751.0)</f>
        <v>23751</v>
      </c>
      <c r="G147" s="6">
        <f>IFERROR(__xludf.DUMMYFUNCTION("""COMPUTED_VALUE"""),27551.0)</f>
        <v>27551</v>
      </c>
      <c r="H147" s="39">
        <f>IFERROR(__xludf.DUMMYFUNCTION("""COMPUTED_VALUE"""),0.1)</f>
        <v>0.1</v>
      </c>
      <c r="I147" s="6">
        <f>IFERROR(__xludf.DUMMYFUNCTION("""COMPUTED_VALUE"""),60.0)</f>
        <v>60</v>
      </c>
      <c r="J147" s="6">
        <f>IFERROR(__xludf.DUMMYFUNCTION("""COMPUTED_VALUE"""),54.0)</f>
        <v>54</v>
      </c>
      <c r="K147" s="59">
        <f>IFERROR(__xludf.DUMMYFUNCTION("""COMPUTED_VALUE"""),1282554.0)</f>
        <v>1282554</v>
      </c>
      <c r="L147" s="6">
        <f>IFERROR(__xludf.DUMMYFUNCTION("""COMPUTED_VALUE"""),1653060.0)</f>
        <v>1653060</v>
      </c>
      <c r="M147" s="6">
        <f>IFERROR(__xludf.DUMMYFUNCTION("""COMPUTED_VALUE"""),33.75)</f>
        <v>33.75</v>
      </c>
      <c r="N147" s="6">
        <f>IFERROR(__xludf.DUMMYFUNCTION("""COMPUTED_VALUE"""),29.89)</f>
        <v>29.89</v>
      </c>
      <c r="O147" s="6">
        <f>IFERROR(__xludf.DUMMYFUNCTION("""COMPUTED_VALUE"""),801596.25)</f>
        <v>801596.25</v>
      </c>
      <c r="P147" s="6">
        <f>IFERROR(__xludf.DUMMYFUNCTION("""COMPUTED_VALUE"""),823499.39)</f>
        <v>823499.39</v>
      </c>
    </row>
    <row r="148" ht="15.75" customHeight="1">
      <c r="A148" s="6" t="str">
        <f>IFERROR(__xludf.DUMMYFUNCTION("""COMPUTED_VALUE"""),"Month5")</f>
        <v>Month5</v>
      </c>
      <c r="B148" s="6" t="str">
        <f>IFERROR(__xludf.DUMMYFUNCTION("""COMPUTED_VALUE"""),"May")</f>
        <v>May</v>
      </c>
      <c r="C148" s="6" t="str">
        <f>IFERROR(__xludf.DUMMYFUNCTION("""COMPUTED_VALUE"""),"East")</f>
        <v>East</v>
      </c>
      <c r="D148" s="6" t="str">
        <f>IFERROR(__xludf.DUMMYFUNCTION("""COMPUTED_VALUE"""),"Ranchi")</f>
        <v>Ranchi</v>
      </c>
      <c r="E148" s="6" t="str">
        <f>IFERROR(__xludf.DUMMYFUNCTION("""COMPUTED_VALUE"""),"ZestVita")</f>
        <v>ZestVita</v>
      </c>
      <c r="F148" s="6">
        <f>IFERROR(__xludf.DUMMYFUNCTION("""COMPUTED_VALUE"""),30378.0)</f>
        <v>30378</v>
      </c>
      <c r="G148" s="6">
        <f>IFERROR(__xludf.DUMMYFUNCTION("""COMPUTED_VALUE"""),32808.0)</f>
        <v>32808</v>
      </c>
      <c r="H148" s="39">
        <f>IFERROR(__xludf.DUMMYFUNCTION("""COMPUTED_VALUE"""),0.05)</f>
        <v>0.05</v>
      </c>
      <c r="I148" s="6">
        <f>IFERROR(__xludf.DUMMYFUNCTION("""COMPUTED_VALUE"""),135.0)</f>
        <v>135</v>
      </c>
      <c r="J148" s="6">
        <f>IFERROR(__xludf.DUMMYFUNCTION("""COMPUTED_VALUE"""),128.25)</f>
        <v>128.25</v>
      </c>
      <c r="K148" s="59">
        <f>IFERROR(__xludf.DUMMYFUNCTION("""COMPUTED_VALUE"""),3895978.5)</f>
        <v>3895978.5</v>
      </c>
      <c r="L148" s="6">
        <f>IFERROR(__xludf.DUMMYFUNCTION("""COMPUTED_VALUE"""),4429080.0)</f>
        <v>4429080</v>
      </c>
      <c r="M148" s="6">
        <f>IFERROR(__xludf.DUMMYFUNCTION("""COMPUTED_VALUE"""),74.03)</f>
        <v>74.03</v>
      </c>
      <c r="N148" s="6">
        <f>IFERROR(__xludf.DUMMYFUNCTION("""COMPUTED_VALUE"""),73.16)</f>
        <v>73.16</v>
      </c>
      <c r="O148" s="6">
        <f>IFERROR(__xludf.DUMMYFUNCTION("""COMPUTED_VALUE"""),2248883.34)</f>
        <v>2248883.34</v>
      </c>
      <c r="P148" s="6">
        <f>IFERROR(__xludf.DUMMYFUNCTION("""COMPUTED_VALUE"""),2400233.28)</f>
        <v>2400233.28</v>
      </c>
    </row>
    <row r="149" ht="15.75" customHeight="1">
      <c r="A149" s="6" t="str">
        <f>IFERROR(__xludf.DUMMYFUNCTION("""COMPUTED_VALUE"""),"Month5")</f>
        <v>Month5</v>
      </c>
      <c r="B149" s="6" t="str">
        <f>IFERROR(__xludf.DUMMYFUNCTION("""COMPUTED_VALUE"""),"May")</f>
        <v>May</v>
      </c>
      <c r="C149" s="6" t="str">
        <f>IFERROR(__xludf.DUMMYFUNCTION("""COMPUTED_VALUE"""),"East")</f>
        <v>East</v>
      </c>
      <c r="D149" s="6" t="str">
        <f>IFERROR(__xludf.DUMMYFUNCTION("""COMPUTED_VALUE"""),"Ranchi")</f>
        <v>Ranchi</v>
      </c>
      <c r="E149" s="6" t="str">
        <f>IFERROR(__xludf.DUMMYFUNCTION("""COMPUTED_VALUE"""),"NutriKid")</f>
        <v>NutriKid</v>
      </c>
      <c r="F149" s="6">
        <f>IFERROR(__xludf.DUMMYFUNCTION("""COMPUTED_VALUE"""),20625.0)</f>
        <v>20625</v>
      </c>
      <c r="G149" s="6">
        <f>IFERROR(__xludf.DUMMYFUNCTION("""COMPUTED_VALUE"""),21450.0)</f>
        <v>21450</v>
      </c>
      <c r="H149" s="39">
        <f>IFERROR(__xludf.DUMMYFUNCTION("""COMPUTED_VALUE"""),0.05)</f>
        <v>0.05</v>
      </c>
      <c r="I149" s="6">
        <f>IFERROR(__xludf.DUMMYFUNCTION("""COMPUTED_VALUE"""),60.0)</f>
        <v>60</v>
      </c>
      <c r="J149" s="6">
        <f>IFERROR(__xludf.DUMMYFUNCTION("""COMPUTED_VALUE"""),57.0)</f>
        <v>57</v>
      </c>
      <c r="K149" s="59">
        <f>IFERROR(__xludf.DUMMYFUNCTION("""COMPUTED_VALUE"""),1175625.0)</f>
        <v>1175625</v>
      </c>
      <c r="L149" s="6">
        <f>IFERROR(__xludf.DUMMYFUNCTION("""COMPUTED_VALUE"""),1287000.0)</f>
        <v>1287000</v>
      </c>
      <c r="M149" s="6">
        <f>IFERROR(__xludf.DUMMYFUNCTION("""COMPUTED_VALUE"""),33.75)</f>
        <v>33.75</v>
      </c>
      <c r="N149" s="6">
        <f>IFERROR(__xludf.DUMMYFUNCTION("""COMPUTED_VALUE"""),29.89)</f>
        <v>29.89</v>
      </c>
      <c r="O149" s="6">
        <f>IFERROR(__xludf.DUMMYFUNCTION("""COMPUTED_VALUE"""),696093.75)</f>
        <v>696093.75</v>
      </c>
      <c r="P149" s="6">
        <f>IFERROR(__xludf.DUMMYFUNCTION("""COMPUTED_VALUE"""),641140.5)</f>
        <v>641140.5</v>
      </c>
    </row>
    <row r="150" ht="15.75" customHeight="1">
      <c r="A150" s="6" t="str">
        <f>IFERROR(__xludf.DUMMYFUNCTION("""COMPUTED_VALUE"""),"Month5")</f>
        <v>Month5</v>
      </c>
      <c r="B150" s="6" t="str">
        <f>IFERROR(__xludf.DUMMYFUNCTION("""COMPUTED_VALUE"""),"May")</f>
        <v>May</v>
      </c>
      <c r="C150" s="6" t="str">
        <f>IFERROR(__xludf.DUMMYFUNCTION("""COMPUTED_VALUE"""),"West")</f>
        <v>West</v>
      </c>
      <c r="D150" s="6" t="str">
        <f>IFERROR(__xludf.DUMMYFUNCTION("""COMPUTED_VALUE"""),"Surat")</f>
        <v>Surat</v>
      </c>
      <c r="E150" s="6" t="str">
        <f>IFERROR(__xludf.DUMMYFUNCTION("""COMPUTED_VALUE"""),"ZestVita")</f>
        <v>ZestVita</v>
      </c>
      <c r="F150" s="6">
        <f>IFERROR(__xludf.DUMMYFUNCTION("""COMPUTED_VALUE"""),32290.0)</f>
        <v>32290</v>
      </c>
      <c r="G150" s="6">
        <f>IFERROR(__xludf.DUMMYFUNCTION("""COMPUTED_VALUE"""),33582.0)</f>
        <v>33582</v>
      </c>
      <c r="H150" s="39">
        <f>IFERROR(__xludf.DUMMYFUNCTION("""COMPUTED_VALUE"""),0.05)</f>
        <v>0.05</v>
      </c>
      <c r="I150" s="6">
        <f>IFERROR(__xludf.DUMMYFUNCTION("""COMPUTED_VALUE"""),135.0)</f>
        <v>135</v>
      </c>
      <c r="J150" s="6">
        <f>IFERROR(__xludf.DUMMYFUNCTION("""COMPUTED_VALUE"""),128.25)</f>
        <v>128.25</v>
      </c>
      <c r="K150" s="59">
        <f>IFERROR(__xludf.DUMMYFUNCTION("""COMPUTED_VALUE"""),4141192.5)</f>
        <v>4141192.5</v>
      </c>
      <c r="L150" s="6">
        <f>IFERROR(__xludf.DUMMYFUNCTION("""COMPUTED_VALUE"""),4533570.0)</f>
        <v>4533570</v>
      </c>
      <c r="M150" s="6">
        <f>IFERROR(__xludf.DUMMYFUNCTION("""COMPUTED_VALUE"""),74.03)</f>
        <v>74.03</v>
      </c>
      <c r="N150" s="6">
        <f>IFERROR(__xludf.DUMMYFUNCTION("""COMPUTED_VALUE"""),73.16)</f>
        <v>73.16</v>
      </c>
      <c r="O150" s="6">
        <f>IFERROR(__xludf.DUMMYFUNCTION("""COMPUTED_VALUE"""),2390428.7)</f>
        <v>2390428.7</v>
      </c>
      <c r="P150" s="6">
        <f>IFERROR(__xludf.DUMMYFUNCTION("""COMPUTED_VALUE"""),2456859.12)</f>
        <v>2456859.12</v>
      </c>
    </row>
    <row r="151" ht="15.75" customHeight="1">
      <c r="A151" s="6" t="str">
        <f>IFERROR(__xludf.DUMMYFUNCTION("""COMPUTED_VALUE"""),"Month5")</f>
        <v>Month5</v>
      </c>
      <c r="B151" s="6" t="str">
        <f>IFERROR(__xludf.DUMMYFUNCTION("""COMPUTED_VALUE"""),"May")</f>
        <v>May</v>
      </c>
      <c r="C151" s="6" t="str">
        <f>IFERROR(__xludf.DUMMYFUNCTION("""COMPUTED_VALUE"""),"West")</f>
        <v>West</v>
      </c>
      <c r="D151" s="6" t="str">
        <f>IFERROR(__xludf.DUMMYFUNCTION("""COMPUTED_VALUE"""),"Surat")</f>
        <v>Surat</v>
      </c>
      <c r="E151" s="6" t="str">
        <f>IFERROR(__xludf.DUMMYFUNCTION("""COMPUTED_VALUE"""),"NutriKid")</f>
        <v>NutriKid</v>
      </c>
      <c r="F151" s="6">
        <f>IFERROR(__xludf.DUMMYFUNCTION("""COMPUTED_VALUE"""),26189.0)</f>
        <v>26189</v>
      </c>
      <c r="G151" s="6">
        <f>IFERROR(__xludf.DUMMYFUNCTION("""COMPUTED_VALUE"""),27498.0)</f>
        <v>27498</v>
      </c>
      <c r="H151" s="39">
        <f>IFERROR(__xludf.DUMMYFUNCTION("""COMPUTED_VALUE"""),0.05)</f>
        <v>0.05</v>
      </c>
      <c r="I151" s="6">
        <f>IFERROR(__xludf.DUMMYFUNCTION("""COMPUTED_VALUE"""),60.0)</f>
        <v>60</v>
      </c>
      <c r="J151" s="6">
        <f>IFERROR(__xludf.DUMMYFUNCTION("""COMPUTED_VALUE"""),57.0)</f>
        <v>57</v>
      </c>
      <c r="K151" s="59">
        <f>IFERROR(__xludf.DUMMYFUNCTION("""COMPUTED_VALUE"""),1492773.0)</f>
        <v>1492773</v>
      </c>
      <c r="L151" s="6">
        <f>IFERROR(__xludf.DUMMYFUNCTION("""COMPUTED_VALUE"""),1649880.0)</f>
        <v>1649880</v>
      </c>
      <c r="M151" s="6">
        <f>IFERROR(__xludf.DUMMYFUNCTION("""COMPUTED_VALUE"""),33.75)</f>
        <v>33.75</v>
      </c>
      <c r="N151" s="6">
        <f>IFERROR(__xludf.DUMMYFUNCTION("""COMPUTED_VALUE"""),29.89)</f>
        <v>29.89</v>
      </c>
      <c r="O151" s="6">
        <f>IFERROR(__xludf.DUMMYFUNCTION("""COMPUTED_VALUE"""),883878.75)</f>
        <v>883878.75</v>
      </c>
      <c r="P151" s="6">
        <f>IFERROR(__xludf.DUMMYFUNCTION("""COMPUTED_VALUE"""),821915.22)</f>
        <v>821915.22</v>
      </c>
    </row>
    <row r="152" ht="15.75" customHeight="1">
      <c r="A152" s="6" t="str">
        <f>IFERROR(__xludf.DUMMYFUNCTION("""COMPUTED_VALUE"""),"Month5")</f>
        <v>Month5</v>
      </c>
      <c r="B152" s="6" t="str">
        <f>IFERROR(__xludf.DUMMYFUNCTION("""COMPUTED_VALUE"""),"May")</f>
        <v>May</v>
      </c>
      <c r="C152" s="6" t="str">
        <f>IFERROR(__xludf.DUMMYFUNCTION("""COMPUTED_VALUE"""),"South")</f>
        <v>South</v>
      </c>
      <c r="D152" s="6" t="str">
        <f>IFERROR(__xludf.DUMMYFUNCTION("""COMPUTED_VALUE"""),"Hyderabad")</f>
        <v>Hyderabad</v>
      </c>
      <c r="E152" s="6" t="str">
        <f>IFERROR(__xludf.DUMMYFUNCTION("""COMPUTED_VALUE"""),"ZestVita")</f>
        <v>ZestVita</v>
      </c>
      <c r="F152" s="6">
        <f>IFERROR(__xludf.DUMMYFUNCTION("""COMPUTED_VALUE"""),44993.0)</f>
        <v>44993</v>
      </c>
      <c r="G152" s="6">
        <f>IFERROR(__xludf.DUMMYFUNCTION("""COMPUTED_VALUE"""),53542.0)</f>
        <v>53542</v>
      </c>
      <c r="H152" s="39">
        <f>IFERROR(__xludf.DUMMYFUNCTION("""COMPUTED_VALUE"""),0.0)</f>
        <v>0</v>
      </c>
      <c r="I152" s="6">
        <f>IFERROR(__xludf.DUMMYFUNCTION("""COMPUTED_VALUE"""),135.0)</f>
        <v>135</v>
      </c>
      <c r="J152" s="6">
        <f>IFERROR(__xludf.DUMMYFUNCTION("""COMPUTED_VALUE"""),135.0)</f>
        <v>135</v>
      </c>
      <c r="K152" s="59">
        <f>IFERROR(__xludf.DUMMYFUNCTION("""COMPUTED_VALUE"""),6074055.0)</f>
        <v>6074055</v>
      </c>
      <c r="L152" s="6">
        <f>IFERROR(__xludf.DUMMYFUNCTION("""COMPUTED_VALUE"""),7228170.0)</f>
        <v>7228170</v>
      </c>
      <c r="M152" s="6">
        <f>IFERROR(__xludf.DUMMYFUNCTION("""COMPUTED_VALUE"""),74.03)</f>
        <v>74.03</v>
      </c>
      <c r="N152" s="6">
        <f>IFERROR(__xludf.DUMMYFUNCTION("""COMPUTED_VALUE"""),73.16)</f>
        <v>73.16</v>
      </c>
      <c r="O152" s="6">
        <f>IFERROR(__xludf.DUMMYFUNCTION("""COMPUTED_VALUE"""),3330831.79)</f>
        <v>3330831.79</v>
      </c>
      <c r="P152" s="6">
        <f>IFERROR(__xludf.DUMMYFUNCTION("""COMPUTED_VALUE"""),3917132.7199999997)</f>
        <v>3917132.72</v>
      </c>
    </row>
    <row r="153" ht="15.75" customHeight="1">
      <c r="A153" s="6" t="str">
        <f>IFERROR(__xludf.DUMMYFUNCTION("""COMPUTED_VALUE"""),"Month5")</f>
        <v>Month5</v>
      </c>
      <c r="B153" s="6" t="str">
        <f>IFERROR(__xludf.DUMMYFUNCTION("""COMPUTED_VALUE"""),"May")</f>
        <v>May</v>
      </c>
      <c r="C153" s="6" t="str">
        <f>IFERROR(__xludf.DUMMYFUNCTION("""COMPUTED_VALUE"""),"South")</f>
        <v>South</v>
      </c>
      <c r="D153" s="6" t="str">
        <f>IFERROR(__xludf.DUMMYFUNCTION("""COMPUTED_VALUE"""),"Hyderabad")</f>
        <v>Hyderabad</v>
      </c>
      <c r="E153" s="6" t="str">
        <f>IFERROR(__xludf.DUMMYFUNCTION("""COMPUTED_VALUE"""),"NutriKid")</f>
        <v>NutriKid</v>
      </c>
      <c r="F153" s="6">
        <f>IFERROR(__xludf.DUMMYFUNCTION("""COMPUTED_VALUE"""),44627.0)</f>
        <v>44627</v>
      </c>
      <c r="G153" s="6">
        <f>IFERROR(__xludf.DUMMYFUNCTION("""COMPUTED_VALUE"""),52214.0)</f>
        <v>52214</v>
      </c>
      <c r="H153" s="39">
        <f>IFERROR(__xludf.DUMMYFUNCTION("""COMPUTED_VALUE"""),0.0)</f>
        <v>0</v>
      </c>
      <c r="I153" s="6">
        <f>IFERROR(__xludf.DUMMYFUNCTION("""COMPUTED_VALUE"""),60.0)</f>
        <v>60</v>
      </c>
      <c r="J153" s="6">
        <f>IFERROR(__xludf.DUMMYFUNCTION("""COMPUTED_VALUE"""),60.0)</f>
        <v>60</v>
      </c>
      <c r="K153" s="59">
        <f>IFERROR(__xludf.DUMMYFUNCTION("""COMPUTED_VALUE"""),2677620.0)</f>
        <v>2677620</v>
      </c>
      <c r="L153" s="6">
        <f>IFERROR(__xludf.DUMMYFUNCTION("""COMPUTED_VALUE"""),3132840.0)</f>
        <v>3132840</v>
      </c>
      <c r="M153" s="6">
        <f>IFERROR(__xludf.DUMMYFUNCTION("""COMPUTED_VALUE"""),33.75)</f>
        <v>33.75</v>
      </c>
      <c r="N153" s="6">
        <f>IFERROR(__xludf.DUMMYFUNCTION("""COMPUTED_VALUE"""),29.89)</f>
        <v>29.89</v>
      </c>
      <c r="O153" s="6">
        <f>IFERROR(__xludf.DUMMYFUNCTION("""COMPUTED_VALUE"""),1506161.25)</f>
        <v>1506161.25</v>
      </c>
      <c r="P153" s="6">
        <f>IFERROR(__xludf.DUMMYFUNCTION("""COMPUTED_VALUE"""),1560676.46)</f>
        <v>1560676.46</v>
      </c>
    </row>
    <row r="154" ht="15.75" customHeight="1">
      <c r="A154" s="6" t="str">
        <f>IFERROR(__xludf.DUMMYFUNCTION("""COMPUTED_VALUE"""),"Month5")</f>
        <v>Month5</v>
      </c>
      <c r="B154" s="6" t="str">
        <f>IFERROR(__xludf.DUMMYFUNCTION("""COMPUTED_VALUE"""),"May")</f>
        <v>May</v>
      </c>
      <c r="C154" s="6" t="str">
        <f>IFERROR(__xludf.DUMMYFUNCTION("""COMPUTED_VALUE"""),"North")</f>
        <v>North</v>
      </c>
      <c r="D154" s="6" t="str">
        <f>IFERROR(__xludf.DUMMYFUNCTION("""COMPUTED_VALUE"""),"Dehradun")</f>
        <v>Dehradun</v>
      </c>
      <c r="E154" s="6" t="str">
        <f>IFERROR(__xludf.DUMMYFUNCTION("""COMPUTED_VALUE"""),"ZestVita")</f>
        <v>ZestVita</v>
      </c>
      <c r="F154" s="6">
        <f>IFERROR(__xludf.DUMMYFUNCTION("""COMPUTED_VALUE"""),24831.0)</f>
        <v>24831</v>
      </c>
      <c r="G154" s="6">
        <f>IFERROR(__xludf.DUMMYFUNCTION("""COMPUTED_VALUE"""),25328.0)</f>
        <v>25328</v>
      </c>
      <c r="H154" s="39">
        <f>IFERROR(__xludf.DUMMYFUNCTION("""COMPUTED_VALUE"""),0.125)</f>
        <v>0.125</v>
      </c>
      <c r="I154" s="6">
        <f>IFERROR(__xludf.DUMMYFUNCTION("""COMPUTED_VALUE"""),135.0)</f>
        <v>135</v>
      </c>
      <c r="J154" s="6">
        <f>IFERROR(__xludf.DUMMYFUNCTION("""COMPUTED_VALUE"""),118.125)</f>
        <v>118.125</v>
      </c>
      <c r="K154" s="59">
        <f>IFERROR(__xludf.DUMMYFUNCTION("""COMPUTED_VALUE"""),2933161.875)</f>
        <v>2933161.875</v>
      </c>
      <c r="L154" s="6">
        <f>IFERROR(__xludf.DUMMYFUNCTION("""COMPUTED_VALUE"""),3419280.0)</f>
        <v>3419280</v>
      </c>
      <c r="M154" s="6">
        <f>IFERROR(__xludf.DUMMYFUNCTION("""COMPUTED_VALUE"""),74.03)</f>
        <v>74.03</v>
      </c>
      <c r="N154" s="6">
        <f>IFERROR(__xludf.DUMMYFUNCTION("""COMPUTED_VALUE"""),73.16)</f>
        <v>73.16</v>
      </c>
      <c r="O154" s="6">
        <f>IFERROR(__xludf.DUMMYFUNCTION("""COMPUTED_VALUE"""),1838238.93)</f>
        <v>1838238.93</v>
      </c>
      <c r="P154" s="6">
        <f>IFERROR(__xludf.DUMMYFUNCTION("""COMPUTED_VALUE"""),1852996.48)</f>
        <v>1852996.48</v>
      </c>
    </row>
    <row r="155" ht="15.75" customHeight="1">
      <c r="A155" s="6" t="str">
        <f>IFERROR(__xludf.DUMMYFUNCTION("""COMPUTED_VALUE"""),"Month5")</f>
        <v>Month5</v>
      </c>
      <c r="B155" s="6" t="str">
        <f>IFERROR(__xludf.DUMMYFUNCTION("""COMPUTED_VALUE"""),"May")</f>
        <v>May</v>
      </c>
      <c r="C155" s="6" t="str">
        <f>IFERROR(__xludf.DUMMYFUNCTION("""COMPUTED_VALUE"""),"North")</f>
        <v>North</v>
      </c>
      <c r="D155" s="6" t="str">
        <f>IFERROR(__xludf.DUMMYFUNCTION("""COMPUTED_VALUE"""),"Dehradun")</f>
        <v>Dehradun</v>
      </c>
      <c r="E155" s="6" t="str">
        <f>IFERROR(__xludf.DUMMYFUNCTION("""COMPUTED_VALUE"""),"NutriKid")</f>
        <v>NutriKid</v>
      </c>
      <c r="F155" s="6">
        <f>IFERROR(__xludf.DUMMYFUNCTION("""COMPUTED_VALUE"""),15421.0)</f>
        <v>15421</v>
      </c>
      <c r="G155" s="6">
        <f>IFERROR(__xludf.DUMMYFUNCTION("""COMPUTED_VALUE"""),16346.0)</f>
        <v>16346</v>
      </c>
      <c r="H155" s="39">
        <f>IFERROR(__xludf.DUMMYFUNCTION("""COMPUTED_VALUE"""),0.125)</f>
        <v>0.125</v>
      </c>
      <c r="I155" s="6">
        <f>IFERROR(__xludf.DUMMYFUNCTION("""COMPUTED_VALUE"""),60.0)</f>
        <v>60</v>
      </c>
      <c r="J155" s="6">
        <f>IFERROR(__xludf.DUMMYFUNCTION("""COMPUTED_VALUE"""),52.5)</f>
        <v>52.5</v>
      </c>
      <c r="K155" s="59">
        <f>IFERROR(__xludf.DUMMYFUNCTION("""COMPUTED_VALUE"""),809602.5)</f>
        <v>809602.5</v>
      </c>
      <c r="L155" s="6">
        <f>IFERROR(__xludf.DUMMYFUNCTION("""COMPUTED_VALUE"""),980760.0)</f>
        <v>980760</v>
      </c>
      <c r="M155" s="6">
        <f>IFERROR(__xludf.DUMMYFUNCTION("""COMPUTED_VALUE"""),33.75)</f>
        <v>33.75</v>
      </c>
      <c r="N155" s="6">
        <f>IFERROR(__xludf.DUMMYFUNCTION("""COMPUTED_VALUE"""),29.89)</f>
        <v>29.89</v>
      </c>
      <c r="O155" s="6">
        <f>IFERROR(__xludf.DUMMYFUNCTION("""COMPUTED_VALUE"""),520458.75)</f>
        <v>520458.75</v>
      </c>
      <c r="P155" s="6">
        <f>IFERROR(__xludf.DUMMYFUNCTION("""COMPUTED_VALUE"""),488581.94)</f>
        <v>488581.94</v>
      </c>
    </row>
    <row r="156" ht="15.75" customHeight="1">
      <c r="A156" s="6" t="str">
        <f>IFERROR(__xludf.DUMMYFUNCTION("""COMPUTED_VALUE"""),"Month5")</f>
        <v>Month5</v>
      </c>
      <c r="B156" s="6" t="str">
        <f>IFERROR(__xludf.DUMMYFUNCTION("""COMPUTED_VALUE"""),"May")</f>
        <v>May</v>
      </c>
      <c r="C156" s="6" t="str">
        <f>IFERROR(__xludf.DUMMYFUNCTION("""COMPUTED_VALUE"""),"South")</f>
        <v>South</v>
      </c>
      <c r="D156" s="6" t="str">
        <f>IFERROR(__xludf.DUMMYFUNCTION("""COMPUTED_VALUE"""),"Kochi")</f>
        <v>Kochi</v>
      </c>
      <c r="E156" s="6" t="str">
        <f>IFERROR(__xludf.DUMMYFUNCTION("""COMPUTED_VALUE"""),"ZestVita")</f>
        <v>ZestVita</v>
      </c>
      <c r="F156" s="6">
        <f>IFERROR(__xludf.DUMMYFUNCTION("""COMPUTED_VALUE"""),26736.0)</f>
        <v>26736</v>
      </c>
      <c r="G156" s="6">
        <f>IFERROR(__xludf.DUMMYFUNCTION("""COMPUTED_VALUE"""),28340.0)</f>
        <v>28340</v>
      </c>
      <c r="H156" s="39">
        <f>IFERROR(__xludf.DUMMYFUNCTION("""COMPUTED_VALUE"""),0.1)</f>
        <v>0.1</v>
      </c>
      <c r="I156" s="6">
        <f>IFERROR(__xludf.DUMMYFUNCTION("""COMPUTED_VALUE"""),135.0)</f>
        <v>135</v>
      </c>
      <c r="J156" s="6">
        <f>IFERROR(__xludf.DUMMYFUNCTION("""COMPUTED_VALUE"""),121.5)</f>
        <v>121.5</v>
      </c>
      <c r="K156" s="59">
        <f>IFERROR(__xludf.DUMMYFUNCTION("""COMPUTED_VALUE"""),3248424.0)</f>
        <v>3248424</v>
      </c>
      <c r="L156" s="6">
        <f>IFERROR(__xludf.DUMMYFUNCTION("""COMPUTED_VALUE"""),3825900.0)</f>
        <v>3825900</v>
      </c>
      <c r="M156" s="6">
        <f>IFERROR(__xludf.DUMMYFUNCTION("""COMPUTED_VALUE"""),74.03)</f>
        <v>74.03</v>
      </c>
      <c r="N156" s="6">
        <f>IFERROR(__xludf.DUMMYFUNCTION("""COMPUTED_VALUE"""),73.16)</f>
        <v>73.16</v>
      </c>
      <c r="O156" s="6">
        <f>IFERROR(__xludf.DUMMYFUNCTION("""COMPUTED_VALUE"""),1979266.08)</f>
        <v>1979266.08</v>
      </c>
      <c r="P156" s="6">
        <f>IFERROR(__xludf.DUMMYFUNCTION("""COMPUTED_VALUE"""),2073354.4)</f>
        <v>2073354.4</v>
      </c>
    </row>
    <row r="157" ht="15.75" customHeight="1">
      <c r="A157" s="6" t="str">
        <f>IFERROR(__xludf.DUMMYFUNCTION("""COMPUTED_VALUE"""),"Month5")</f>
        <v>Month5</v>
      </c>
      <c r="B157" s="6" t="str">
        <f>IFERROR(__xludf.DUMMYFUNCTION("""COMPUTED_VALUE"""),"May")</f>
        <v>May</v>
      </c>
      <c r="C157" s="6" t="str">
        <f>IFERROR(__xludf.DUMMYFUNCTION("""COMPUTED_VALUE"""),"South")</f>
        <v>South</v>
      </c>
      <c r="D157" s="6" t="str">
        <f>IFERROR(__xludf.DUMMYFUNCTION("""COMPUTED_VALUE"""),"Kochi")</f>
        <v>Kochi</v>
      </c>
      <c r="E157" s="6" t="str">
        <f>IFERROR(__xludf.DUMMYFUNCTION("""COMPUTED_VALUE"""),"NutriKid")</f>
        <v>NutriKid</v>
      </c>
      <c r="F157" s="6">
        <f>IFERROR(__xludf.DUMMYFUNCTION("""COMPUTED_VALUE"""),17646.0)</f>
        <v>17646</v>
      </c>
      <c r="G157" s="6">
        <f>IFERROR(__xludf.DUMMYFUNCTION("""COMPUTED_VALUE"""),18528.0)</f>
        <v>18528</v>
      </c>
      <c r="H157" s="39">
        <f>IFERROR(__xludf.DUMMYFUNCTION("""COMPUTED_VALUE"""),0.1)</f>
        <v>0.1</v>
      </c>
      <c r="I157" s="6">
        <f>IFERROR(__xludf.DUMMYFUNCTION("""COMPUTED_VALUE"""),60.0)</f>
        <v>60</v>
      </c>
      <c r="J157" s="6">
        <f>IFERROR(__xludf.DUMMYFUNCTION("""COMPUTED_VALUE"""),54.0)</f>
        <v>54</v>
      </c>
      <c r="K157" s="59">
        <f>IFERROR(__xludf.DUMMYFUNCTION("""COMPUTED_VALUE"""),952884.0)</f>
        <v>952884</v>
      </c>
      <c r="L157" s="6">
        <f>IFERROR(__xludf.DUMMYFUNCTION("""COMPUTED_VALUE"""),1111680.0)</f>
        <v>1111680</v>
      </c>
      <c r="M157" s="6">
        <f>IFERROR(__xludf.DUMMYFUNCTION("""COMPUTED_VALUE"""),33.75)</f>
        <v>33.75</v>
      </c>
      <c r="N157" s="6">
        <f>IFERROR(__xludf.DUMMYFUNCTION("""COMPUTED_VALUE"""),29.89)</f>
        <v>29.89</v>
      </c>
      <c r="O157" s="6">
        <f>IFERROR(__xludf.DUMMYFUNCTION("""COMPUTED_VALUE"""),595552.5)</f>
        <v>595552.5</v>
      </c>
      <c r="P157" s="6">
        <f>IFERROR(__xludf.DUMMYFUNCTION("""COMPUTED_VALUE"""),553801.92)</f>
        <v>553801.92</v>
      </c>
    </row>
    <row r="158" ht="15.75" customHeight="1">
      <c r="A158" s="6" t="str">
        <f>IFERROR(__xludf.DUMMYFUNCTION("""COMPUTED_VALUE"""),"Month5")</f>
        <v>Month5</v>
      </c>
      <c r="B158" s="6" t="str">
        <f>IFERROR(__xludf.DUMMYFUNCTION("""COMPUTED_VALUE"""),"May")</f>
        <v>May</v>
      </c>
      <c r="C158" s="6" t="str">
        <f>IFERROR(__xludf.DUMMYFUNCTION("""COMPUTED_VALUE"""),"West")</f>
        <v>West</v>
      </c>
      <c r="D158" s="6" t="str">
        <f>IFERROR(__xludf.DUMMYFUNCTION("""COMPUTED_VALUE"""),"Jaipur")</f>
        <v>Jaipur</v>
      </c>
      <c r="E158" s="6" t="str">
        <f>IFERROR(__xludf.DUMMYFUNCTION("""COMPUTED_VALUE"""),"ZestVita")</f>
        <v>ZestVita</v>
      </c>
      <c r="F158" s="6">
        <f>IFERROR(__xludf.DUMMYFUNCTION("""COMPUTED_VALUE"""),36686.0)</f>
        <v>36686</v>
      </c>
      <c r="G158" s="6">
        <f>IFERROR(__xludf.DUMMYFUNCTION("""COMPUTED_VALUE"""),45858.0)</f>
        <v>45858</v>
      </c>
      <c r="H158" s="39">
        <f>IFERROR(__xludf.DUMMYFUNCTION("""COMPUTED_VALUE"""),0.0)</f>
        <v>0</v>
      </c>
      <c r="I158" s="6">
        <f>IFERROR(__xludf.DUMMYFUNCTION("""COMPUTED_VALUE"""),135.0)</f>
        <v>135</v>
      </c>
      <c r="J158" s="6">
        <f>IFERROR(__xludf.DUMMYFUNCTION("""COMPUTED_VALUE"""),135.0)</f>
        <v>135</v>
      </c>
      <c r="K158" s="59">
        <f>IFERROR(__xludf.DUMMYFUNCTION("""COMPUTED_VALUE"""),4952610.0)</f>
        <v>4952610</v>
      </c>
      <c r="L158" s="6">
        <f>IFERROR(__xludf.DUMMYFUNCTION("""COMPUTED_VALUE"""),6190830.0)</f>
        <v>6190830</v>
      </c>
      <c r="M158" s="6">
        <f>IFERROR(__xludf.DUMMYFUNCTION("""COMPUTED_VALUE"""),74.03)</f>
        <v>74.03</v>
      </c>
      <c r="N158" s="6">
        <f>IFERROR(__xludf.DUMMYFUNCTION("""COMPUTED_VALUE"""),73.16)</f>
        <v>73.16</v>
      </c>
      <c r="O158" s="6">
        <f>IFERROR(__xludf.DUMMYFUNCTION("""COMPUTED_VALUE"""),2715864.58)</f>
        <v>2715864.58</v>
      </c>
      <c r="P158" s="6">
        <f>IFERROR(__xludf.DUMMYFUNCTION("""COMPUTED_VALUE"""),3354971.28)</f>
        <v>3354971.28</v>
      </c>
    </row>
    <row r="159" ht="15.75" customHeight="1">
      <c r="A159" s="6" t="str">
        <f>IFERROR(__xludf.DUMMYFUNCTION("""COMPUTED_VALUE"""),"Month5")</f>
        <v>Month5</v>
      </c>
      <c r="B159" s="6" t="str">
        <f>IFERROR(__xludf.DUMMYFUNCTION("""COMPUTED_VALUE"""),"May")</f>
        <v>May</v>
      </c>
      <c r="C159" s="6" t="str">
        <f>IFERROR(__xludf.DUMMYFUNCTION("""COMPUTED_VALUE"""),"West")</f>
        <v>West</v>
      </c>
      <c r="D159" s="6" t="str">
        <f>IFERROR(__xludf.DUMMYFUNCTION("""COMPUTED_VALUE"""),"Jaipur")</f>
        <v>Jaipur</v>
      </c>
      <c r="E159" s="6" t="str">
        <f>IFERROR(__xludf.DUMMYFUNCTION("""COMPUTED_VALUE"""),"NutriKid")</f>
        <v>NutriKid</v>
      </c>
      <c r="F159" s="6">
        <f>IFERROR(__xludf.DUMMYFUNCTION("""COMPUTED_VALUE"""),28563.0)</f>
        <v>28563</v>
      </c>
      <c r="G159" s="6">
        <f>IFERROR(__xludf.DUMMYFUNCTION("""COMPUTED_VALUE"""),35132.0)</f>
        <v>35132</v>
      </c>
      <c r="H159" s="39">
        <f>IFERROR(__xludf.DUMMYFUNCTION("""COMPUTED_VALUE"""),0.0)</f>
        <v>0</v>
      </c>
      <c r="I159" s="6">
        <f>IFERROR(__xludf.DUMMYFUNCTION("""COMPUTED_VALUE"""),60.0)</f>
        <v>60</v>
      </c>
      <c r="J159" s="6">
        <f>IFERROR(__xludf.DUMMYFUNCTION("""COMPUTED_VALUE"""),60.0)</f>
        <v>60</v>
      </c>
      <c r="K159" s="59">
        <f>IFERROR(__xludf.DUMMYFUNCTION("""COMPUTED_VALUE"""),1713780.0)</f>
        <v>1713780</v>
      </c>
      <c r="L159" s="6">
        <f>IFERROR(__xludf.DUMMYFUNCTION("""COMPUTED_VALUE"""),2107920.0)</f>
        <v>2107920</v>
      </c>
      <c r="M159" s="6">
        <f>IFERROR(__xludf.DUMMYFUNCTION("""COMPUTED_VALUE"""),33.75)</f>
        <v>33.75</v>
      </c>
      <c r="N159" s="6">
        <f>IFERROR(__xludf.DUMMYFUNCTION("""COMPUTED_VALUE"""),29.89)</f>
        <v>29.89</v>
      </c>
      <c r="O159" s="6">
        <f>IFERROR(__xludf.DUMMYFUNCTION("""COMPUTED_VALUE"""),964001.25)</f>
        <v>964001.25</v>
      </c>
      <c r="P159" s="6">
        <f>IFERROR(__xludf.DUMMYFUNCTION("""COMPUTED_VALUE"""),1050095.48)</f>
        <v>1050095.48</v>
      </c>
    </row>
    <row r="160" ht="15.75" customHeight="1">
      <c r="A160" s="6" t="str">
        <f>IFERROR(__xludf.DUMMYFUNCTION("""COMPUTED_VALUE"""),"Month5")</f>
        <v>Month5</v>
      </c>
      <c r="B160" s="6" t="str">
        <f>IFERROR(__xludf.DUMMYFUNCTION("""COMPUTED_VALUE"""),"May")</f>
        <v>May</v>
      </c>
      <c r="C160" s="6" t="str">
        <f>IFERROR(__xludf.DUMMYFUNCTION("""COMPUTED_VALUE"""),"East")</f>
        <v>East</v>
      </c>
      <c r="D160" s="6" t="str">
        <f>IFERROR(__xludf.DUMMYFUNCTION("""COMPUTED_VALUE"""),"Patna")</f>
        <v>Patna</v>
      </c>
      <c r="E160" s="6" t="str">
        <f>IFERROR(__xludf.DUMMYFUNCTION("""COMPUTED_VALUE"""),"ZestVita")</f>
        <v>ZestVita</v>
      </c>
      <c r="F160" s="6">
        <f>IFERROR(__xludf.DUMMYFUNCTION("""COMPUTED_VALUE"""),31617.0)</f>
        <v>31617</v>
      </c>
      <c r="G160" s="6">
        <f>IFERROR(__xludf.DUMMYFUNCTION("""COMPUTED_VALUE"""),38257.0)</f>
        <v>38257</v>
      </c>
      <c r="H160" s="39">
        <f>IFERROR(__xludf.DUMMYFUNCTION("""COMPUTED_VALUE"""),0.05)</f>
        <v>0.05</v>
      </c>
      <c r="I160" s="6">
        <f>IFERROR(__xludf.DUMMYFUNCTION("""COMPUTED_VALUE"""),135.0)</f>
        <v>135</v>
      </c>
      <c r="J160" s="6">
        <f>IFERROR(__xludf.DUMMYFUNCTION("""COMPUTED_VALUE"""),128.25)</f>
        <v>128.25</v>
      </c>
      <c r="K160" s="59">
        <f>IFERROR(__xludf.DUMMYFUNCTION("""COMPUTED_VALUE"""),4054880.25)</f>
        <v>4054880.25</v>
      </c>
      <c r="L160" s="6">
        <f>IFERROR(__xludf.DUMMYFUNCTION("""COMPUTED_VALUE"""),5164695.0)</f>
        <v>5164695</v>
      </c>
      <c r="M160" s="6">
        <f>IFERROR(__xludf.DUMMYFUNCTION("""COMPUTED_VALUE"""),74.03)</f>
        <v>74.03</v>
      </c>
      <c r="N160" s="6">
        <f>IFERROR(__xludf.DUMMYFUNCTION("""COMPUTED_VALUE"""),73.16)</f>
        <v>73.16</v>
      </c>
      <c r="O160" s="6">
        <f>IFERROR(__xludf.DUMMYFUNCTION("""COMPUTED_VALUE"""),2340606.5100000002)</f>
        <v>2340606.51</v>
      </c>
      <c r="P160" s="6">
        <f>IFERROR(__xludf.DUMMYFUNCTION("""COMPUTED_VALUE"""),2798882.1199999996)</f>
        <v>2798882.12</v>
      </c>
    </row>
    <row r="161" ht="15.75" customHeight="1">
      <c r="A161" s="6" t="str">
        <f>IFERROR(__xludf.DUMMYFUNCTION("""COMPUTED_VALUE"""),"Month5")</f>
        <v>Month5</v>
      </c>
      <c r="B161" s="6" t="str">
        <f>IFERROR(__xludf.DUMMYFUNCTION("""COMPUTED_VALUE"""),"May")</f>
        <v>May</v>
      </c>
      <c r="C161" s="6" t="str">
        <f>IFERROR(__xludf.DUMMYFUNCTION("""COMPUTED_VALUE"""),"East")</f>
        <v>East</v>
      </c>
      <c r="D161" s="6" t="str">
        <f>IFERROR(__xludf.DUMMYFUNCTION("""COMPUTED_VALUE"""),"Patna")</f>
        <v>Patna</v>
      </c>
      <c r="E161" s="6" t="str">
        <f>IFERROR(__xludf.DUMMYFUNCTION("""COMPUTED_VALUE"""),"NutriKid")</f>
        <v>NutriKid</v>
      </c>
      <c r="F161" s="6">
        <f>IFERROR(__xludf.DUMMYFUNCTION("""COMPUTED_VALUE"""),40690.0)</f>
        <v>40690</v>
      </c>
      <c r="G161" s="6">
        <f>IFERROR(__xludf.DUMMYFUNCTION("""COMPUTED_VALUE"""),46387.0)</f>
        <v>46387</v>
      </c>
      <c r="H161" s="39">
        <f>IFERROR(__xludf.DUMMYFUNCTION("""COMPUTED_VALUE"""),0.05)</f>
        <v>0.05</v>
      </c>
      <c r="I161" s="6">
        <f>IFERROR(__xludf.DUMMYFUNCTION("""COMPUTED_VALUE"""),60.0)</f>
        <v>60</v>
      </c>
      <c r="J161" s="6">
        <f>IFERROR(__xludf.DUMMYFUNCTION("""COMPUTED_VALUE"""),57.0)</f>
        <v>57</v>
      </c>
      <c r="K161" s="59">
        <f>IFERROR(__xludf.DUMMYFUNCTION("""COMPUTED_VALUE"""),2319330.0)</f>
        <v>2319330</v>
      </c>
      <c r="L161" s="6">
        <f>IFERROR(__xludf.DUMMYFUNCTION("""COMPUTED_VALUE"""),2783220.0)</f>
        <v>2783220</v>
      </c>
      <c r="M161" s="6">
        <f>IFERROR(__xludf.DUMMYFUNCTION("""COMPUTED_VALUE"""),33.75)</f>
        <v>33.75</v>
      </c>
      <c r="N161" s="6">
        <f>IFERROR(__xludf.DUMMYFUNCTION("""COMPUTED_VALUE"""),29.89)</f>
        <v>29.89</v>
      </c>
      <c r="O161" s="6">
        <f>IFERROR(__xludf.DUMMYFUNCTION("""COMPUTED_VALUE"""),1373287.5)</f>
        <v>1373287.5</v>
      </c>
      <c r="P161" s="6">
        <f>IFERROR(__xludf.DUMMYFUNCTION("""COMPUTED_VALUE"""),1386507.43)</f>
        <v>1386507.43</v>
      </c>
    </row>
    <row r="162" ht="15.75" customHeight="1">
      <c r="A162" s="6" t="str">
        <f>IFERROR(__xludf.DUMMYFUNCTION("""COMPUTED_VALUE"""),"Month6")</f>
        <v>Month6</v>
      </c>
      <c r="B162" s="6" t="str">
        <f>IFERROR(__xludf.DUMMYFUNCTION("""COMPUTED_VALUE"""),"June")</f>
        <v>June</v>
      </c>
      <c r="C162" s="6" t="str">
        <f>IFERROR(__xludf.DUMMYFUNCTION("""COMPUTED_VALUE"""),"North")</f>
        <v>North</v>
      </c>
      <c r="D162" s="6" t="str">
        <f>IFERROR(__xludf.DUMMYFUNCTION("""COMPUTED_VALUE"""),"Delhi")</f>
        <v>Delhi</v>
      </c>
      <c r="E162" s="6" t="str">
        <f>IFERROR(__xludf.DUMMYFUNCTION("""COMPUTED_VALUE"""),"ZestVita")</f>
        <v>ZestVita</v>
      </c>
      <c r="F162" s="6">
        <f>IFERROR(__xludf.DUMMYFUNCTION("""COMPUTED_VALUE"""),45144.0)</f>
        <v>45144</v>
      </c>
      <c r="G162" s="6">
        <f>IFERROR(__xludf.DUMMYFUNCTION("""COMPUTED_VALUE"""),54173.0)</f>
        <v>54173</v>
      </c>
      <c r="H162" s="39">
        <f>IFERROR(__xludf.DUMMYFUNCTION("""COMPUTED_VALUE"""),0.0)</f>
        <v>0</v>
      </c>
      <c r="I162" s="6">
        <f>IFERROR(__xludf.DUMMYFUNCTION("""COMPUTED_VALUE"""),135.0)</f>
        <v>135</v>
      </c>
      <c r="J162" s="6">
        <f>IFERROR(__xludf.DUMMYFUNCTION("""COMPUTED_VALUE"""),135.0)</f>
        <v>135</v>
      </c>
      <c r="K162" s="59">
        <f>IFERROR(__xludf.DUMMYFUNCTION("""COMPUTED_VALUE"""),6094440.0)</f>
        <v>6094440</v>
      </c>
      <c r="L162" s="6">
        <f>IFERROR(__xludf.DUMMYFUNCTION("""COMPUTED_VALUE"""),7313355.0)</f>
        <v>7313355</v>
      </c>
      <c r="M162" s="6">
        <f>IFERROR(__xludf.DUMMYFUNCTION("""COMPUTED_VALUE"""),74.03)</f>
        <v>74.03</v>
      </c>
      <c r="N162" s="6">
        <f>IFERROR(__xludf.DUMMYFUNCTION("""COMPUTED_VALUE"""),73.16)</f>
        <v>73.16</v>
      </c>
      <c r="O162" s="6">
        <f>IFERROR(__xludf.DUMMYFUNCTION("""COMPUTED_VALUE"""),3342010.32)</f>
        <v>3342010.32</v>
      </c>
      <c r="P162" s="6">
        <f>IFERROR(__xludf.DUMMYFUNCTION("""COMPUTED_VALUE"""),3963296.6799999997)</f>
        <v>3963296.68</v>
      </c>
    </row>
    <row r="163" ht="15.75" customHeight="1">
      <c r="A163" s="6" t="str">
        <f>IFERROR(__xludf.DUMMYFUNCTION("""COMPUTED_VALUE"""),"Month6")</f>
        <v>Month6</v>
      </c>
      <c r="B163" s="6" t="str">
        <f>IFERROR(__xludf.DUMMYFUNCTION("""COMPUTED_VALUE"""),"June")</f>
        <v>June</v>
      </c>
      <c r="C163" s="6" t="str">
        <f>IFERROR(__xludf.DUMMYFUNCTION("""COMPUTED_VALUE"""),"North")</f>
        <v>North</v>
      </c>
      <c r="D163" s="6" t="str">
        <f>IFERROR(__xludf.DUMMYFUNCTION("""COMPUTED_VALUE"""),"Delhi")</f>
        <v>Delhi</v>
      </c>
      <c r="E163" s="6" t="str">
        <f>IFERROR(__xludf.DUMMYFUNCTION("""COMPUTED_VALUE"""),"NutriKid")</f>
        <v>NutriKid</v>
      </c>
      <c r="F163" s="6">
        <f>IFERROR(__xludf.DUMMYFUNCTION("""COMPUTED_VALUE"""),34369.0)</f>
        <v>34369</v>
      </c>
      <c r="G163" s="6">
        <f>IFERROR(__xludf.DUMMYFUNCTION("""COMPUTED_VALUE"""),38493.0)</f>
        <v>38493</v>
      </c>
      <c r="H163" s="39">
        <f>IFERROR(__xludf.DUMMYFUNCTION("""COMPUTED_VALUE"""),0.0)</f>
        <v>0</v>
      </c>
      <c r="I163" s="6">
        <f>IFERROR(__xludf.DUMMYFUNCTION("""COMPUTED_VALUE"""),60.0)</f>
        <v>60</v>
      </c>
      <c r="J163" s="6">
        <f>IFERROR(__xludf.DUMMYFUNCTION("""COMPUTED_VALUE"""),60.0)</f>
        <v>60</v>
      </c>
      <c r="K163" s="59">
        <f>IFERROR(__xludf.DUMMYFUNCTION("""COMPUTED_VALUE"""),2062140.0)</f>
        <v>2062140</v>
      </c>
      <c r="L163" s="6">
        <f>IFERROR(__xludf.DUMMYFUNCTION("""COMPUTED_VALUE"""),2309580.0)</f>
        <v>2309580</v>
      </c>
      <c r="M163" s="6">
        <f>IFERROR(__xludf.DUMMYFUNCTION("""COMPUTED_VALUE"""),33.75)</f>
        <v>33.75</v>
      </c>
      <c r="N163" s="6">
        <f>IFERROR(__xludf.DUMMYFUNCTION("""COMPUTED_VALUE"""),29.89)</f>
        <v>29.89</v>
      </c>
      <c r="O163" s="6">
        <f>IFERROR(__xludf.DUMMYFUNCTION("""COMPUTED_VALUE"""),1159953.75)</f>
        <v>1159953.75</v>
      </c>
      <c r="P163" s="6">
        <f>IFERROR(__xludf.DUMMYFUNCTION("""COMPUTED_VALUE"""),1150555.77)</f>
        <v>1150555.77</v>
      </c>
    </row>
    <row r="164" ht="15.75" customHeight="1">
      <c r="A164" s="6" t="str">
        <f>IFERROR(__xludf.DUMMYFUNCTION("""COMPUTED_VALUE"""),"Month6")</f>
        <v>Month6</v>
      </c>
      <c r="B164" s="6" t="str">
        <f>IFERROR(__xludf.DUMMYFUNCTION("""COMPUTED_VALUE"""),"June")</f>
        <v>June</v>
      </c>
      <c r="C164" s="6" t="str">
        <f>IFERROR(__xludf.DUMMYFUNCTION("""COMPUTED_VALUE"""),"East")</f>
        <v>East</v>
      </c>
      <c r="D164" s="6" t="str">
        <f>IFERROR(__xludf.DUMMYFUNCTION("""COMPUTED_VALUE"""),"Kolkata")</f>
        <v>Kolkata</v>
      </c>
      <c r="E164" s="6" t="str">
        <f>IFERROR(__xludf.DUMMYFUNCTION("""COMPUTED_VALUE"""),"ZestVita")</f>
        <v>ZestVita</v>
      </c>
      <c r="F164" s="6">
        <f>IFERROR(__xludf.DUMMYFUNCTION("""COMPUTED_VALUE"""),23879.0)</f>
        <v>23879</v>
      </c>
      <c r="G164" s="6">
        <f>IFERROR(__xludf.DUMMYFUNCTION("""COMPUTED_VALUE"""),29610.0)</f>
        <v>29610</v>
      </c>
      <c r="H164" s="39">
        <f>IFERROR(__xludf.DUMMYFUNCTION("""COMPUTED_VALUE"""),0.0)</f>
        <v>0</v>
      </c>
      <c r="I164" s="6">
        <f>IFERROR(__xludf.DUMMYFUNCTION("""COMPUTED_VALUE"""),135.0)</f>
        <v>135</v>
      </c>
      <c r="J164" s="6">
        <f>IFERROR(__xludf.DUMMYFUNCTION("""COMPUTED_VALUE"""),135.0)</f>
        <v>135</v>
      </c>
      <c r="K164" s="59">
        <f>IFERROR(__xludf.DUMMYFUNCTION("""COMPUTED_VALUE"""),3223665.0)</f>
        <v>3223665</v>
      </c>
      <c r="L164" s="6">
        <f>IFERROR(__xludf.DUMMYFUNCTION("""COMPUTED_VALUE"""),3997350.0)</f>
        <v>3997350</v>
      </c>
      <c r="M164" s="6">
        <f>IFERROR(__xludf.DUMMYFUNCTION("""COMPUTED_VALUE"""),74.03)</f>
        <v>74.03</v>
      </c>
      <c r="N164" s="6">
        <f>IFERROR(__xludf.DUMMYFUNCTION("""COMPUTED_VALUE"""),73.16)</f>
        <v>73.16</v>
      </c>
      <c r="O164" s="6">
        <f>IFERROR(__xludf.DUMMYFUNCTION("""COMPUTED_VALUE"""),1767762.37)</f>
        <v>1767762.37</v>
      </c>
      <c r="P164" s="6">
        <f>IFERROR(__xludf.DUMMYFUNCTION("""COMPUTED_VALUE"""),2166267.6)</f>
        <v>2166267.6</v>
      </c>
    </row>
    <row r="165" ht="15.75" customHeight="1">
      <c r="A165" s="6" t="str">
        <f>IFERROR(__xludf.DUMMYFUNCTION("""COMPUTED_VALUE"""),"Month6")</f>
        <v>Month6</v>
      </c>
      <c r="B165" s="6" t="str">
        <f>IFERROR(__xludf.DUMMYFUNCTION("""COMPUTED_VALUE"""),"June")</f>
        <v>June</v>
      </c>
      <c r="C165" s="6" t="str">
        <f>IFERROR(__xludf.DUMMYFUNCTION("""COMPUTED_VALUE"""),"East")</f>
        <v>East</v>
      </c>
      <c r="D165" s="6" t="str">
        <f>IFERROR(__xludf.DUMMYFUNCTION("""COMPUTED_VALUE"""),"Kolkata")</f>
        <v>Kolkata</v>
      </c>
      <c r="E165" s="6" t="str">
        <f>IFERROR(__xludf.DUMMYFUNCTION("""COMPUTED_VALUE"""),"NutriKid")</f>
        <v>NutriKid</v>
      </c>
      <c r="F165" s="6">
        <f>IFERROR(__xludf.DUMMYFUNCTION("""COMPUTED_VALUE"""),48568.0)</f>
        <v>48568</v>
      </c>
      <c r="G165" s="6">
        <f>IFERROR(__xludf.DUMMYFUNCTION("""COMPUTED_VALUE"""),58767.0)</f>
        <v>58767</v>
      </c>
      <c r="H165" s="39">
        <f>IFERROR(__xludf.DUMMYFUNCTION("""COMPUTED_VALUE"""),0.0)</f>
        <v>0</v>
      </c>
      <c r="I165" s="6">
        <f>IFERROR(__xludf.DUMMYFUNCTION("""COMPUTED_VALUE"""),60.0)</f>
        <v>60</v>
      </c>
      <c r="J165" s="6">
        <f>IFERROR(__xludf.DUMMYFUNCTION("""COMPUTED_VALUE"""),60.0)</f>
        <v>60</v>
      </c>
      <c r="K165" s="59">
        <f>IFERROR(__xludf.DUMMYFUNCTION("""COMPUTED_VALUE"""),2914080.0)</f>
        <v>2914080</v>
      </c>
      <c r="L165" s="6">
        <f>IFERROR(__xludf.DUMMYFUNCTION("""COMPUTED_VALUE"""),3526020.0)</f>
        <v>3526020</v>
      </c>
      <c r="M165" s="6">
        <f>IFERROR(__xludf.DUMMYFUNCTION("""COMPUTED_VALUE"""),33.75)</f>
        <v>33.75</v>
      </c>
      <c r="N165" s="6">
        <f>IFERROR(__xludf.DUMMYFUNCTION("""COMPUTED_VALUE"""),29.89)</f>
        <v>29.89</v>
      </c>
      <c r="O165" s="6">
        <f>IFERROR(__xludf.DUMMYFUNCTION("""COMPUTED_VALUE"""),1639170.0)</f>
        <v>1639170</v>
      </c>
      <c r="P165" s="6">
        <f>IFERROR(__xludf.DUMMYFUNCTION("""COMPUTED_VALUE"""),1756545.6300000001)</f>
        <v>1756545.63</v>
      </c>
    </row>
    <row r="166" ht="15.75" customHeight="1">
      <c r="A166" s="6" t="str">
        <f>IFERROR(__xludf.DUMMYFUNCTION("""COMPUTED_VALUE"""),"Month6")</f>
        <v>Month6</v>
      </c>
      <c r="B166" s="6" t="str">
        <f>IFERROR(__xludf.DUMMYFUNCTION("""COMPUTED_VALUE"""),"June")</f>
        <v>June</v>
      </c>
      <c r="C166" s="6" t="str">
        <f>IFERROR(__xludf.DUMMYFUNCTION("""COMPUTED_VALUE"""),"West")</f>
        <v>West</v>
      </c>
      <c r="D166" s="6" t="str">
        <f>IFERROR(__xludf.DUMMYFUNCTION("""COMPUTED_VALUE"""),"Pune")</f>
        <v>Pune</v>
      </c>
      <c r="E166" s="6" t="str">
        <f>IFERROR(__xludf.DUMMYFUNCTION("""COMPUTED_VALUE"""),"ZestVita")</f>
        <v>ZestVita</v>
      </c>
      <c r="F166" s="6">
        <f>IFERROR(__xludf.DUMMYFUNCTION("""COMPUTED_VALUE"""),29074.0)</f>
        <v>29074</v>
      </c>
      <c r="G166" s="6">
        <f>IFERROR(__xludf.DUMMYFUNCTION("""COMPUTED_VALUE"""),36052.0)</f>
        <v>36052</v>
      </c>
      <c r="H166" s="39">
        <f>IFERROR(__xludf.DUMMYFUNCTION("""COMPUTED_VALUE"""),0.0)</f>
        <v>0</v>
      </c>
      <c r="I166" s="6">
        <f>IFERROR(__xludf.DUMMYFUNCTION("""COMPUTED_VALUE"""),135.0)</f>
        <v>135</v>
      </c>
      <c r="J166" s="6">
        <f>IFERROR(__xludf.DUMMYFUNCTION("""COMPUTED_VALUE"""),135.0)</f>
        <v>135</v>
      </c>
      <c r="K166" s="59">
        <f>IFERROR(__xludf.DUMMYFUNCTION("""COMPUTED_VALUE"""),3924990.0)</f>
        <v>3924990</v>
      </c>
      <c r="L166" s="6">
        <f>IFERROR(__xludf.DUMMYFUNCTION("""COMPUTED_VALUE"""),4867020.0)</f>
        <v>4867020</v>
      </c>
      <c r="M166" s="6">
        <f>IFERROR(__xludf.DUMMYFUNCTION("""COMPUTED_VALUE"""),74.03)</f>
        <v>74.03</v>
      </c>
      <c r="N166" s="6">
        <f>IFERROR(__xludf.DUMMYFUNCTION("""COMPUTED_VALUE"""),73.16)</f>
        <v>73.16</v>
      </c>
      <c r="O166" s="6">
        <f>IFERROR(__xludf.DUMMYFUNCTION("""COMPUTED_VALUE"""),2152348.22)</f>
        <v>2152348.22</v>
      </c>
      <c r="P166" s="6">
        <f>IFERROR(__xludf.DUMMYFUNCTION("""COMPUTED_VALUE"""),2637564.32)</f>
        <v>2637564.32</v>
      </c>
    </row>
    <row r="167" ht="15.75" customHeight="1">
      <c r="A167" s="6" t="str">
        <f>IFERROR(__xludf.DUMMYFUNCTION("""COMPUTED_VALUE"""),"Month6")</f>
        <v>Month6</v>
      </c>
      <c r="B167" s="6" t="str">
        <f>IFERROR(__xludf.DUMMYFUNCTION("""COMPUTED_VALUE"""),"June")</f>
        <v>June</v>
      </c>
      <c r="C167" s="6" t="str">
        <f>IFERROR(__xludf.DUMMYFUNCTION("""COMPUTED_VALUE"""),"West")</f>
        <v>West</v>
      </c>
      <c r="D167" s="6" t="str">
        <f>IFERROR(__xludf.DUMMYFUNCTION("""COMPUTED_VALUE"""),"Pune")</f>
        <v>Pune</v>
      </c>
      <c r="E167" s="6" t="str">
        <f>IFERROR(__xludf.DUMMYFUNCTION("""COMPUTED_VALUE"""),"NutriKid")</f>
        <v>NutriKid</v>
      </c>
      <c r="F167" s="6">
        <f>IFERROR(__xludf.DUMMYFUNCTION("""COMPUTED_VALUE"""),34634.0)</f>
        <v>34634</v>
      </c>
      <c r="G167" s="6">
        <f>IFERROR(__xludf.DUMMYFUNCTION("""COMPUTED_VALUE"""),41907.0)</f>
        <v>41907</v>
      </c>
      <c r="H167" s="39">
        <f>IFERROR(__xludf.DUMMYFUNCTION("""COMPUTED_VALUE"""),0.0)</f>
        <v>0</v>
      </c>
      <c r="I167" s="6">
        <f>IFERROR(__xludf.DUMMYFUNCTION("""COMPUTED_VALUE"""),60.0)</f>
        <v>60</v>
      </c>
      <c r="J167" s="6">
        <f>IFERROR(__xludf.DUMMYFUNCTION("""COMPUTED_VALUE"""),60.0)</f>
        <v>60</v>
      </c>
      <c r="K167" s="59">
        <f>IFERROR(__xludf.DUMMYFUNCTION("""COMPUTED_VALUE"""),2078040.0)</f>
        <v>2078040</v>
      </c>
      <c r="L167" s="6">
        <f>IFERROR(__xludf.DUMMYFUNCTION("""COMPUTED_VALUE"""),2514420.0)</f>
        <v>2514420</v>
      </c>
      <c r="M167" s="6">
        <f>IFERROR(__xludf.DUMMYFUNCTION("""COMPUTED_VALUE"""),33.75)</f>
        <v>33.75</v>
      </c>
      <c r="N167" s="6">
        <f>IFERROR(__xludf.DUMMYFUNCTION("""COMPUTED_VALUE"""),29.89)</f>
        <v>29.89</v>
      </c>
      <c r="O167" s="6">
        <f>IFERROR(__xludf.DUMMYFUNCTION("""COMPUTED_VALUE"""),1168897.5)</f>
        <v>1168897.5</v>
      </c>
      <c r="P167" s="6">
        <f>IFERROR(__xludf.DUMMYFUNCTION("""COMPUTED_VALUE"""),1252600.23)</f>
        <v>1252600.23</v>
      </c>
    </row>
    <row r="168" ht="15.75" customHeight="1">
      <c r="A168" s="6" t="str">
        <f>IFERROR(__xludf.DUMMYFUNCTION("""COMPUTED_VALUE"""),"Month6")</f>
        <v>Month6</v>
      </c>
      <c r="B168" s="6" t="str">
        <f>IFERROR(__xludf.DUMMYFUNCTION("""COMPUTED_VALUE"""),"June")</f>
        <v>June</v>
      </c>
      <c r="C168" s="6" t="str">
        <f>IFERROR(__xludf.DUMMYFUNCTION("""COMPUTED_VALUE"""),"South")</f>
        <v>South</v>
      </c>
      <c r="D168" s="6" t="str">
        <f>IFERROR(__xludf.DUMMYFUNCTION("""COMPUTED_VALUE"""),"Bengaluru")</f>
        <v>Bengaluru</v>
      </c>
      <c r="E168" s="6" t="str">
        <f>IFERROR(__xludf.DUMMYFUNCTION("""COMPUTED_VALUE"""),"ZestVita")</f>
        <v>ZestVita</v>
      </c>
      <c r="F168" s="6">
        <f>IFERROR(__xludf.DUMMYFUNCTION("""COMPUTED_VALUE"""),54884.0)</f>
        <v>54884</v>
      </c>
      <c r="G168" s="6">
        <f>IFERROR(__xludf.DUMMYFUNCTION("""COMPUTED_VALUE"""),60921.0)</f>
        <v>60921</v>
      </c>
      <c r="H168" s="39">
        <f>IFERROR(__xludf.DUMMYFUNCTION("""COMPUTED_VALUE"""),0.0)</f>
        <v>0</v>
      </c>
      <c r="I168" s="6">
        <f>IFERROR(__xludf.DUMMYFUNCTION("""COMPUTED_VALUE"""),135.0)</f>
        <v>135</v>
      </c>
      <c r="J168" s="6">
        <f>IFERROR(__xludf.DUMMYFUNCTION("""COMPUTED_VALUE"""),135.0)</f>
        <v>135</v>
      </c>
      <c r="K168" s="59">
        <f>IFERROR(__xludf.DUMMYFUNCTION("""COMPUTED_VALUE"""),7409340.0)</f>
        <v>7409340</v>
      </c>
      <c r="L168" s="6">
        <f>IFERROR(__xludf.DUMMYFUNCTION("""COMPUTED_VALUE"""),8224335.0)</f>
        <v>8224335</v>
      </c>
      <c r="M168" s="6">
        <f>IFERROR(__xludf.DUMMYFUNCTION("""COMPUTED_VALUE"""),74.03)</f>
        <v>74.03</v>
      </c>
      <c r="N168" s="6">
        <f>IFERROR(__xludf.DUMMYFUNCTION("""COMPUTED_VALUE"""),73.16)</f>
        <v>73.16</v>
      </c>
      <c r="O168" s="6">
        <f>IFERROR(__xludf.DUMMYFUNCTION("""COMPUTED_VALUE"""),4063062.52)</f>
        <v>4063062.52</v>
      </c>
      <c r="P168" s="6">
        <f>IFERROR(__xludf.DUMMYFUNCTION("""COMPUTED_VALUE"""),4456980.359999999)</f>
        <v>4456980.36</v>
      </c>
    </row>
    <row r="169" ht="15.75" customHeight="1">
      <c r="A169" s="6" t="str">
        <f>IFERROR(__xludf.DUMMYFUNCTION("""COMPUTED_VALUE"""),"Month6")</f>
        <v>Month6</v>
      </c>
      <c r="B169" s="6" t="str">
        <f>IFERROR(__xludf.DUMMYFUNCTION("""COMPUTED_VALUE"""),"June")</f>
        <v>June</v>
      </c>
      <c r="C169" s="6" t="str">
        <f>IFERROR(__xludf.DUMMYFUNCTION("""COMPUTED_VALUE"""),"South")</f>
        <v>South</v>
      </c>
      <c r="D169" s="6" t="str">
        <f>IFERROR(__xludf.DUMMYFUNCTION("""COMPUTED_VALUE"""),"Bengaluru")</f>
        <v>Bengaluru</v>
      </c>
      <c r="E169" s="6" t="str">
        <f>IFERROR(__xludf.DUMMYFUNCTION("""COMPUTED_VALUE"""),"NutriKid")</f>
        <v>NutriKid</v>
      </c>
      <c r="F169" s="6">
        <f>IFERROR(__xludf.DUMMYFUNCTION("""COMPUTED_VALUE"""),29269.0)</f>
        <v>29269</v>
      </c>
      <c r="G169" s="6">
        <f>IFERROR(__xludf.DUMMYFUNCTION("""COMPUTED_VALUE"""),35708.0)</f>
        <v>35708</v>
      </c>
      <c r="H169" s="39">
        <f>IFERROR(__xludf.DUMMYFUNCTION("""COMPUTED_VALUE"""),0.0)</f>
        <v>0</v>
      </c>
      <c r="I169" s="6">
        <f>IFERROR(__xludf.DUMMYFUNCTION("""COMPUTED_VALUE"""),60.0)</f>
        <v>60</v>
      </c>
      <c r="J169" s="6">
        <f>IFERROR(__xludf.DUMMYFUNCTION("""COMPUTED_VALUE"""),60.0)</f>
        <v>60</v>
      </c>
      <c r="K169" s="59">
        <f>IFERROR(__xludf.DUMMYFUNCTION("""COMPUTED_VALUE"""),1756140.0)</f>
        <v>1756140</v>
      </c>
      <c r="L169" s="6">
        <f>IFERROR(__xludf.DUMMYFUNCTION("""COMPUTED_VALUE"""),2142480.0)</f>
        <v>2142480</v>
      </c>
      <c r="M169" s="6">
        <f>IFERROR(__xludf.DUMMYFUNCTION("""COMPUTED_VALUE"""),33.75)</f>
        <v>33.75</v>
      </c>
      <c r="N169" s="6">
        <f>IFERROR(__xludf.DUMMYFUNCTION("""COMPUTED_VALUE"""),29.89)</f>
        <v>29.89</v>
      </c>
      <c r="O169" s="6">
        <f>IFERROR(__xludf.DUMMYFUNCTION("""COMPUTED_VALUE"""),987828.75)</f>
        <v>987828.75</v>
      </c>
      <c r="P169" s="6">
        <f>IFERROR(__xludf.DUMMYFUNCTION("""COMPUTED_VALUE"""),1067312.12)</f>
        <v>1067312.12</v>
      </c>
    </row>
    <row r="170" ht="15.75" customHeight="1">
      <c r="A170" s="6" t="str">
        <f>IFERROR(__xludf.DUMMYFUNCTION("""COMPUTED_VALUE"""),"Month6")</f>
        <v>Month6</v>
      </c>
      <c r="B170" s="6" t="str">
        <f>IFERROR(__xludf.DUMMYFUNCTION("""COMPUTED_VALUE"""),"June")</f>
        <v>June</v>
      </c>
      <c r="C170" s="6" t="str">
        <f>IFERROR(__xludf.DUMMYFUNCTION("""COMPUTED_VALUE"""),"North")</f>
        <v>North</v>
      </c>
      <c r="D170" s="6" t="str">
        <f>IFERROR(__xludf.DUMMYFUNCTION("""COMPUTED_VALUE"""),"Chandigarh")</f>
        <v>Chandigarh</v>
      </c>
      <c r="E170" s="6" t="str">
        <f>IFERROR(__xludf.DUMMYFUNCTION("""COMPUTED_VALUE"""),"ZestVita")</f>
        <v>ZestVita</v>
      </c>
      <c r="F170" s="6">
        <f>IFERROR(__xludf.DUMMYFUNCTION("""COMPUTED_VALUE"""),48329.0)</f>
        <v>48329</v>
      </c>
      <c r="G170" s="6">
        <f>IFERROR(__xludf.DUMMYFUNCTION("""COMPUTED_VALUE"""),59928.0)</f>
        <v>59928</v>
      </c>
      <c r="H170" s="39">
        <f>IFERROR(__xludf.DUMMYFUNCTION("""COMPUTED_VALUE"""),0.0)</f>
        <v>0</v>
      </c>
      <c r="I170" s="6">
        <f>IFERROR(__xludf.DUMMYFUNCTION("""COMPUTED_VALUE"""),135.0)</f>
        <v>135</v>
      </c>
      <c r="J170" s="6">
        <f>IFERROR(__xludf.DUMMYFUNCTION("""COMPUTED_VALUE"""),135.0)</f>
        <v>135</v>
      </c>
      <c r="K170" s="59">
        <f>IFERROR(__xludf.DUMMYFUNCTION("""COMPUTED_VALUE"""),6524415.0)</f>
        <v>6524415</v>
      </c>
      <c r="L170" s="6">
        <f>IFERROR(__xludf.DUMMYFUNCTION("""COMPUTED_VALUE"""),8090280.0)</f>
        <v>8090280</v>
      </c>
      <c r="M170" s="6">
        <f>IFERROR(__xludf.DUMMYFUNCTION("""COMPUTED_VALUE"""),74.03)</f>
        <v>74.03</v>
      </c>
      <c r="N170" s="6">
        <f>IFERROR(__xludf.DUMMYFUNCTION("""COMPUTED_VALUE"""),73.16)</f>
        <v>73.16</v>
      </c>
      <c r="O170" s="6">
        <f>IFERROR(__xludf.DUMMYFUNCTION("""COMPUTED_VALUE"""),3577795.87)</f>
        <v>3577795.87</v>
      </c>
      <c r="P170" s="6">
        <f>IFERROR(__xludf.DUMMYFUNCTION("""COMPUTED_VALUE"""),4384332.4799999995)</f>
        <v>4384332.48</v>
      </c>
    </row>
    <row r="171" ht="15.75" customHeight="1">
      <c r="A171" s="6" t="str">
        <f>IFERROR(__xludf.DUMMYFUNCTION("""COMPUTED_VALUE"""),"Month6")</f>
        <v>Month6</v>
      </c>
      <c r="B171" s="6" t="str">
        <f>IFERROR(__xludf.DUMMYFUNCTION("""COMPUTED_VALUE"""),"June")</f>
        <v>June</v>
      </c>
      <c r="C171" s="6" t="str">
        <f>IFERROR(__xludf.DUMMYFUNCTION("""COMPUTED_VALUE"""),"North")</f>
        <v>North</v>
      </c>
      <c r="D171" s="6" t="str">
        <f>IFERROR(__xludf.DUMMYFUNCTION("""COMPUTED_VALUE"""),"Chandigarh")</f>
        <v>Chandigarh</v>
      </c>
      <c r="E171" s="6" t="str">
        <f>IFERROR(__xludf.DUMMYFUNCTION("""COMPUTED_VALUE"""),"NutriKid")</f>
        <v>NutriKid</v>
      </c>
      <c r="F171" s="6">
        <f>IFERROR(__xludf.DUMMYFUNCTION("""COMPUTED_VALUE"""),49606.0)</f>
        <v>49606</v>
      </c>
      <c r="G171" s="6">
        <f>IFERROR(__xludf.DUMMYFUNCTION("""COMPUTED_VALUE"""),62008.0)</f>
        <v>62008</v>
      </c>
      <c r="H171" s="39">
        <f>IFERROR(__xludf.DUMMYFUNCTION("""COMPUTED_VALUE"""),0.0)</f>
        <v>0</v>
      </c>
      <c r="I171" s="6">
        <f>IFERROR(__xludf.DUMMYFUNCTION("""COMPUTED_VALUE"""),60.0)</f>
        <v>60</v>
      </c>
      <c r="J171" s="6">
        <f>IFERROR(__xludf.DUMMYFUNCTION("""COMPUTED_VALUE"""),60.0)</f>
        <v>60</v>
      </c>
      <c r="K171" s="59">
        <f>IFERROR(__xludf.DUMMYFUNCTION("""COMPUTED_VALUE"""),2976360.0)</f>
        <v>2976360</v>
      </c>
      <c r="L171" s="6">
        <f>IFERROR(__xludf.DUMMYFUNCTION("""COMPUTED_VALUE"""),3720480.0)</f>
        <v>3720480</v>
      </c>
      <c r="M171" s="6">
        <f>IFERROR(__xludf.DUMMYFUNCTION("""COMPUTED_VALUE"""),33.75)</f>
        <v>33.75</v>
      </c>
      <c r="N171" s="6">
        <f>IFERROR(__xludf.DUMMYFUNCTION("""COMPUTED_VALUE"""),29.89)</f>
        <v>29.89</v>
      </c>
      <c r="O171" s="6">
        <f>IFERROR(__xludf.DUMMYFUNCTION("""COMPUTED_VALUE"""),1674202.5)</f>
        <v>1674202.5</v>
      </c>
      <c r="P171" s="6">
        <f>IFERROR(__xludf.DUMMYFUNCTION("""COMPUTED_VALUE"""),1853419.12)</f>
        <v>1853419.12</v>
      </c>
    </row>
    <row r="172" ht="15.75" customHeight="1">
      <c r="A172" s="6" t="str">
        <f>IFERROR(__xludf.DUMMYFUNCTION("""COMPUTED_VALUE"""),"Month6")</f>
        <v>Month6</v>
      </c>
      <c r="B172" s="6" t="str">
        <f>IFERROR(__xludf.DUMMYFUNCTION("""COMPUTED_VALUE"""),"June")</f>
        <v>June</v>
      </c>
      <c r="C172" s="6" t="str">
        <f>IFERROR(__xludf.DUMMYFUNCTION("""COMPUTED_VALUE"""),"East")</f>
        <v>East</v>
      </c>
      <c r="D172" s="6" t="str">
        <f>IFERROR(__xludf.DUMMYFUNCTION("""COMPUTED_VALUE"""),"Bhubaneswar")</f>
        <v>Bhubaneswar</v>
      </c>
      <c r="E172" s="6" t="str">
        <f>IFERROR(__xludf.DUMMYFUNCTION("""COMPUTED_VALUE"""),"ZestVita")</f>
        <v>ZestVita</v>
      </c>
      <c r="F172" s="6">
        <f>IFERROR(__xludf.DUMMYFUNCTION("""COMPUTED_VALUE"""),15617.0)</f>
        <v>15617</v>
      </c>
      <c r="G172" s="6">
        <f>IFERROR(__xludf.DUMMYFUNCTION("""COMPUTED_VALUE"""),16242.0)</f>
        <v>16242</v>
      </c>
      <c r="H172" s="39">
        <f>IFERROR(__xludf.DUMMYFUNCTION("""COMPUTED_VALUE"""),0.125)</f>
        <v>0.125</v>
      </c>
      <c r="I172" s="6">
        <f>IFERROR(__xludf.DUMMYFUNCTION("""COMPUTED_VALUE"""),135.0)</f>
        <v>135</v>
      </c>
      <c r="J172" s="6">
        <f>IFERROR(__xludf.DUMMYFUNCTION("""COMPUTED_VALUE"""),118.125)</f>
        <v>118.125</v>
      </c>
      <c r="K172" s="59">
        <f>IFERROR(__xludf.DUMMYFUNCTION("""COMPUTED_VALUE"""),1844758.125)</f>
        <v>1844758.125</v>
      </c>
      <c r="L172" s="6">
        <f>IFERROR(__xludf.DUMMYFUNCTION("""COMPUTED_VALUE"""),2192670.0)</f>
        <v>2192670</v>
      </c>
      <c r="M172" s="6">
        <f>IFERROR(__xludf.DUMMYFUNCTION("""COMPUTED_VALUE"""),74.03)</f>
        <v>74.03</v>
      </c>
      <c r="N172" s="6">
        <f>IFERROR(__xludf.DUMMYFUNCTION("""COMPUTED_VALUE"""),73.16)</f>
        <v>73.16</v>
      </c>
      <c r="O172" s="6">
        <f>IFERROR(__xludf.DUMMYFUNCTION("""COMPUTED_VALUE"""),1156126.51)</f>
        <v>1156126.51</v>
      </c>
      <c r="P172" s="6">
        <f>IFERROR(__xludf.DUMMYFUNCTION("""COMPUTED_VALUE"""),1188264.72)</f>
        <v>1188264.72</v>
      </c>
    </row>
    <row r="173" ht="15.75" customHeight="1">
      <c r="A173" s="6" t="str">
        <f>IFERROR(__xludf.DUMMYFUNCTION("""COMPUTED_VALUE"""),"Month6")</f>
        <v>Month6</v>
      </c>
      <c r="B173" s="6" t="str">
        <f>IFERROR(__xludf.DUMMYFUNCTION("""COMPUTED_VALUE"""),"June")</f>
        <v>June</v>
      </c>
      <c r="C173" s="6" t="str">
        <f>IFERROR(__xludf.DUMMYFUNCTION("""COMPUTED_VALUE"""),"East")</f>
        <v>East</v>
      </c>
      <c r="D173" s="6" t="str">
        <f>IFERROR(__xludf.DUMMYFUNCTION("""COMPUTED_VALUE"""),"Bhubaneswar")</f>
        <v>Bhubaneswar</v>
      </c>
      <c r="E173" s="6" t="str">
        <f>IFERROR(__xludf.DUMMYFUNCTION("""COMPUTED_VALUE"""),"NutriKid")</f>
        <v>NutriKid</v>
      </c>
      <c r="F173" s="6">
        <f>IFERROR(__xludf.DUMMYFUNCTION("""COMPUTED_VALUE"""),22965.0)</f>
        <v>22965</v>
      </c>
      <c r="G173" s="6">
        <f>IFERROR(__xludf.DUMMYFUNCTION("""COMPUTED_VALUE"""),23884.0)</f>
        <v>23884</v>
      </c>
      <c r="H173" s="39">
        <f>IFERROR(__xludf.DUMMYFUNCTION("""COMPUTED_VALUE"""),0.125)</f>
        <v>0.125</v>
      </c>
      <c r="I173" s="6">
        <f>IFERROR(__xludf.DUMMYFUNCTION("""COMPUTED_VALUE"""),60.0)</f>
        <v>60</v>
      </c>
      <c r="J173" s="6">
        <f>IFERROR(__xludf.DUMMYFUNCTION("""COMPUTED_VALUE"""),52.5)</f>
        <v>52.5</v>
      </c>
      <c r="K173" s="59">
        <f>IFERROR(__xludf.DUMMYFUNCTION("""COMPUTED_VALUE"""),1205662.5)</f>
        <v>1205662.5</v>
      </c>
      <c r="L173" s="6">
        <f>IFERROR(__xludf.DUMMYFUNCTION("""COMPUTED_VALUE"""),1433040.0)</f>
        <v>1433040</v>
      </c>
      <c r="M173" s="6">
        <f>IFERROR(__xludf.DUMMYFUNCTION("""COMPUTED_VALUE"""),33.75)</f>
        <v>33.75</v>
      </c>
      <c r="N173" s="6">
        <f>IFERROR(__xludf.DUMMYFUNCTION("""COMPUTED_VALUE"""),29.89)</f>
        <v>29.89</v>
      </c>
      <c r="O173" s="6">
        <f>IFERROR(__xludf.DUMMYFUNCTION("""COMPUTED_VALUE"""),775068.75)</f>
        <v>775068.75</v>
      </c>
      <c r="P173" s="6">
        <f>IFERROR(__xludf.DUMMYFUNCTION("""COMPUTED_VALUE"""),713892.76)</f>
        <v>713892.76</v>
      </c>
    </row>
    <row r="174" ht="15.75" customHeight="1">
      <c r="A174" s="6" t="str">
        <f>IFERROR(__xludf.DUMMYFUNCTION("""COMPUTED_VALUE"""),"Month6")</f>
        <v>Month6</v>
      </c>
      <c r="B174" s="6" t="str">
        <f>IFERROR(__xludf.DUMMYFUNCTION("""COMPUTED_VALUE"""),"June")</f>
        <v>June</v>
      </c>
      <c r="C174" s="6" t="str">
        <f>IFERROR(__xludf.DUMMYFUNCTION("""COMPUTED_VALUE"""),"West")</f>
        <v>West</v>
      </c>
      <c r="D174" s="6" t="str">
        <f>IFERROR(__xludf.DUMMYFUNCTION("""COMPUTED_VALUE"""),"Ahmedabad")</f>
        <v>Ahmedabad</v>
      </c>
      <c r="E174" s="6" t="str">
        <f>IFERROR(__xludf.DUMMYFUNCTION("""COMPUTED_VALUE"""),"ZestVita")</f>
        <v>ZestVita</v>
      </c>
      <c r="F174" s="6">
        <f>IFERROR(__xludf.DUMMYFUNCTION("""COMPUTED_VALUE"""),41023.0)</f>
        <v>41023</v>
      </c>
      <c r="G174" s="6">
        <f>IFERROR(__xludf.DUMMYFUNCTION("""COMPUTED_VALUE"""),46766.0)</f>
        <v>46766</v>
      </c>
      <c r="H174" s="39">
        <f>IFERROR(__xludf.DUMMYFUNCTION("""COMPUTED_VALUE"""),0.0)</f>
        <v>0</v>
      </c>
      <c r="I174" s="6">
        <f>IFERROR(__xludf.DUMMYFUNCTION("""COMPUTED_VALUE"""),135.0)</f>
        <v>135</v>
      </c>
      <c r="J174" s="6">
        <f>IFERROR(__xludf.DUMMYFUNCTION("""COMPUTED_VALUE"""),135.0)</f>
        <v>135</v>
      </c>
      <c r="K174" s="59">
        <f>IFERROR(__xludf.DUMMYFUNCTION("""COMPUTED_VALUE"""),5538105.0)</f>
        <v>5538105</v>
      </c>
      <c r="L174" s="6">
        <f>IFERROR(__xludf.DUMMYFUNCTION("""COMPUTED_VALUE"""),6313410.0)</f>
        <v>6313410</v>
      </c>
      <c r="M174" s="6">
        <f>IFERROR(__xludf.DUMMYFUNCTION("""COMPUTED_VALUE"""),74.03)</f>
        <v>74.03</v>
      </c>
      <c r="N174" s="6">
        <f>IFERROR(__xludf.DUMMYFUNCTION("""COMPUTED_VALUE"""),73.16)</f>
        <v>73.16</v>
      </c>
      <c r="O174" s="6">
        <f>IFERROR(__xludf.DUMMYFUNCTION("""COMPUTED_VALUE"""),3036932.69)</f>
        <v>3036932.69</v>
      </c>
      <c r="P174" s="6">
        <f>IFERROR(__xludf.DUMMYFUNCTION("""COMPUTED_VALUE"""),3421400.56)</f>
        <v>3421400.56</v>
      </c>
    </row>
    <row r="175" ht="15.75" customHeight="1">
      <c r="A175" s="6" t="str">
        <f>IFERROR(__xludf.DUMMYFUNCTION("""COMPUTED_VALUE"""),"Month6")</f>
        <v>Month6</v>
      </c>
      <c r="B175" s="6" t="str">
        <f>IFERROR(__xludf.DUMMYFUNCTION("""COMPUTED_VALUE"""),"June")</f>
        <v>June</v>
      </c>
      <c r="C175" s="6" t="str">
        <f>IFERROR(__xludf.DUMMYFUNCTION("""COMPUTED_VALUE"""),"West")</f>
        <v>West</v>
      </c>
      <c r="D175" s="6" t="str">
        <f>IFERROR(__xludf.DUMMYFUNCTION("""COMPUTED_VALUE"""),"Ahmedabad")</f>
        <v>Ahmedabad</v>
      </c>
      <c r="E175" s="6" t="str">
        <f>IFERROR(__xludf.DUMMYFUNCTION("""COMPUTED_VALUE"""),"NutriKid")</f>
        <v>NutriKid</v>
      </c>
      <c r="F175" s="6">
        <f>IFERROR(__xludf.DUMMYFUNCTION("""COMPUTED_VALUE"""),24476.0)</f>
        <v>24476</v>
      </c>
      <c r="G175" s="6">
        <f>IFERROR(__xludf.DUMMYFUNCTION("""COMPUTED_VALUE"""),29126.0)</f>
        <v>29126</v>
      </c>
      <c r="H175" s="39">
        <f>IFERROR(__xludf.DUMMYFUNCTION("""COMPUTED_VALUE"""),0.0)</f>
        <v>0</v>
      </c>
      <c r="I175" s="6">
        <f>IFERROR(__xludf.DUMMYFUNCTION("""COMPUTED_VALUE"""),60.0)</f>
        <v>60</v>
      </c>
      <c r="J175" s="6">
        <f>IFERROR(__xludf.DUMMYFUNCTION("""COMPUTED_VALUE"""),60.0)</f>
        <v>60</v>
      </c>
      <c r="K175" s="59">
        <f>IFERROR(__xludf.DUMMYFUNCTION("""COMPUTED_VALUE"""),1468560.0)</f>
        <v>1468560</v>
      </c>
      <c r="L175" s="6">
        <f>IFERROR(__xludf.DUMMYFUNCTION("""COMPUTED_VALUE"""),1747560.0)</f>
        <v>1747560</v>
      </c>
      <c r="M175" s="6">
        <f>IFERROR(__xludf.DUMMYFUNCTION("""COMPUTED_VALUE"""),33.75)</f>
        <v>33.75</v>
      </c>
      <c r="N175" s="6">
        <f>IFERROR(__xludf.DUMMYFUNCTION("""COMPUTED_VALUE"""),29.89)</f>
        <v>29.89</v>
      </c>
      <c r="O175" s="6">
        <f>IFERROR(__xludf.DUMMYFUNCTION("""COMPUTED_VALUE"""),826065.0)</f>
        <v>826065</v>
      </c>
      <c r="P175" s="6">
        <f>IFERROR(__xludf.DUMMYFUNCTION("""COMPUTED_VALUE"""),870576.14)</f>
        <v>870576.14</v>
      </c>
    </row>
    <row r="176" ht="15.75" customHeight="1">
      <c r="A176" s="6" t="str">
        <f>IFERROR(__xludf.DUMMYFUNCTION("""COMPUTED_VALUE"""),"Month6")</f>
        <v>Month6</v>
      </c>
      <c r="B176" s="6" t="str">
        <f>IFERROR(__xludf.DUMMYFUNCTION("""COMPUTED_VALUE"""),"June")</f>
        <v>June</v>
      </c>
      <c r="C176" s="6" t="str">
        <f>IFERROR(__xludf.DUMMYFUNCTION("""COMPUTED_VALUE"""),"South")</f>
        <v>South</v>
      </c>
      <c r="D176" s="6" t="str">
        <f>IFERROR(__xludf.DUMMYFUNCTION("""COMPUTED_VALUE"""),"Chennai")</f>
        <v>Chennai</v>
      </c>
      <c r="E176" s="6" t="str">
        <f>IFERROR(__xludf.DUMMYFUNCTION("""COMPUTED_VALUE"""),"ZestVita")</f>
        <v>ZestVita</v>
      </c>
      <c r="F176" s="6">
        <f>IFERROR(__xludf.DUMMYFUNCTION("""COMPUTED_VALUE"""),26217.0)</f>
        <v>26217</v>
      </c>
      <c r="G176" s="6">
        <f>IFERROR(__xludf.DUMMYFUNCTION("""COMPUTED_VALUE"""),32509.0)</f>
        <v>32509</v>
      </c>
      <c r="H176" s="39">
        <f>IFERROR(__xludf.DUMMYFUNCTION("""COMPUTED_VALUE"""),0.0)</f>
        <v>0</v>
      </c>
      <c r="I176" s="6">
        <f>IFERROR(__xludf.DUMMYFUNCTION("""COMPUTED_VALUE"""),135.0)</f>
        <v>135</v>
      </c>
      <c r="J176" s="6">
        <f>IFERROR(__xludf.DUMMYFUNCTION("""COMPUTED_VALUE"""),135.0)</f>
        <v>135</v>
      </c>
      <c r="K176" s="59">
        <f>IFERROR(__xludf.DUMMYFUNCTION("""COMPUTED_VALUE"""),3539295.0)</f>
        <v>3539295</v>
      </c>
      <c r="L176" s="6">
        <f>IFERROR(__xludf.DUMMYFUNCTION("""COMPUTED_VALUE"""),4388715.0)</f>
        <v>4388715</v>
      </c>
      <c r="M176" s="6">
        <f>IFERROR(__xludf.DUMMYFUNCTION("""COMPUTED_VALUE"""),74.03)</f>
        <v>74.03</v>
      </c>
      <c r="N176" s="6">
        <f>IFERROR(__xludf.DUMMYFUNCTION("""COMPUTED_VALUE"""),73.16)</f>
        <v>73.16</v>
      </c>
      <c r="O176" s="6">
        <f>IFERROR(__xludf.DUMMYFUNCTION("""COMPUTED_VALUE"""),1940844.51)</f>
        <v>1940844.51</v>
      </c>
      <c r="P176" s="6">
        <f>IFERROR(__xludf.DUMMYFUNCTION("""COMPUTED_VALUE"""),2378358.44)</f>
        <v>2378358.44</v>
      </c>
    </row>
    <row r="177" ht="15.75" customHeight="1">
      <c r="A177" s="6" t="str">
        <f>IFERROR(__xludf.DUMMYFUNCTION("""COMPUTED_VALUE"""),"Month6")</f>
        <v>Month6</v>
      </c>
      <c r="B177" s="6" t="str">
        <f>IFERROR(__xludf.DUMMYFUNCTION("""COMPUTED_VALUE"""),"June")</f>
        <v>June</v>
      </c>
      <c r="C177" s="6" t="str">
        <f>IFERROR(__xludf.DUMMYFUNCTION("""COMPUTED_VALUE"""),"South")</f>
        <v>South</v>
      </c>
      <c r="D177" s="6" t="str">
        <f>IFERROR(__xludf.DUMMYFUNCTION("""COMPUTED_VALUE"""),"Chennai")</f>
        <v>Chennai</v>
      </c>
      <c r="E177" s="6" t="str">
        <f>IFERROR(__xludf.DUMMYFUNCTION("""COMPUTED_VALUE"""),"NutriKid")</f>
        <v>NutriKid</v>
      </c>
      <c r="F177" s="6">
        <f>IFERROR(__xludf.DUMMYFUNCTION("""COMPUTED_VALUE"""),28267.0)</f>
        <v>28267</v>
      </c>
      <c r="G177" s="6">
        <f>IFERROR(__xludf.DUMMYFUNCTION("""COMPUTED_VALUE"""),33638.0)</f>
        <v>33638</v>
      </c>
      <c r="H177" s="39">
        <f>IFERROR(__xludf.DUMMYFUNCTION("""COMPUTED_VALUE"""),0.0)</f>
        <v>0</v>
      </c>
      <c r="I177" s="6">
        <f>IFERROR(__xludf.DUMMYFUNCTION("""COMPUTED_VALUE"""),60.0)</f>
        <v>60</v>
      </c>
      <c r="J177" s="6">
        <f>IFERROR(__xludf.DUMMYFUNCTION("""COMPUTED_VALUE"""),60.0)</f>
        <v>60</v>
      </c>
      <c r="K177" s="59">
        <f>IFERROR(__xludf.DUMMYFUNCTION("""COMPUTED_VALUE"""),1696020.0)</f>
        <v>1696020</v>
      </c>
      <c r="L177" s="6">
        <f>IFERROR(__xludf.DUMMYFUNCTION("""COMPUTED_VALUE"""),2018280.0)</f>
        <v>2018280</v>
      </c>
      <c r="M177" s="6">
        <f>IFERROR(__xludf.DUMMYFUNCTION("""COMPUTED_VALUE"""),33.75)</f>
        <v>33.75</v>
      </c>
      <c r="N177" s="6">
        <f>IFERROR(__xludf.DUMMYFUNCTION("""COMPUTED_VALUE"""),29.89)</f>
        <v>29.89</v>
      </c>
      <c r="O177" s="6">
        <f>IFERROR(__xludf.DUMMYFUNCTION("""COMPUTED_VALUE"""),954011.25)</f>
        <v>954011.25</v>
      </c>
      <c r="P177" s="6">
        <f>IFERROR(__xludf.DUMMYFUNCTION("""COMPUTED_VALUE"""),1005439.8200000001)</f>
        <v>1005439.82</v>
      </c>
    </row>
    <row r="178" ht="15.75" customHeight="1">
      <c r="A178" s="6" t="str">
        <f>IFERROR(__xludf.DUMMYFUNCTION("""COMPUTED_VALUE"""),"Month6")</f>
        <v>Month6</v>
      </c>
      <c r="B178" s="6" t="str">
        <f>IFERROR(__xludf.DUMMYFUNCTION("""COMPUTED_VALUE"""),"June")</f>
        <v>June</v>
      </c>
      <c r="C178" s="6" t="str">
        <f>IFERROR(__xludf.DUMMYFUNCTION("""COMPUTED_VALUE"""),"North")</f>
        <v>North</v>
      </c>
      <c r="D178" s="6" t="str">
        <f>IFERROR(__xludf.DUMMYFUNCTION("""COMPUTED_VALUE"""),"Lucknow")</f>
        <v>Lucknow</v>
      </c>
      <c r="E178" s="6" t="str">
        <f>IFERROR(__xludf.DUMMYFUNCTION("""COMPUTED_VALUE"""),"ZestVita")</f>
        <v>ZestVita</v>
      </c>
      <c r="F178" s="6">
        <f>IFERROR(__xludf.DUMMYFUNCTION("""COMPUTED_VALUE"""),26640.0)</f>
        <v>26640</v>
      </c>
      <c r="G178" s="6">
        <f>IFERROR(__xludf.DUMMYFUNCTION("""COMPUTED_VALUE"""),31702.0)</f>
        <v>31702</v>
      </c>
      <c r="H178" s="39">
        <f>IFERROR(__xludf.DUMMYFUNCTION("""COMPUTED_VALUE"""),0.1)</f>
        <v>0.1</v>
      </c>
      <c r="I178" s="6">
        <f>IFERROR(__xludf.DUMMYFUNCTION("""COMPUTED_VALUE"""),135.0)</f>
        <v>135</v>
      </c>
      <c r="J178" s="6">
        <f>IFERROR(__xludf.DUMMYFUNCTION("""COMPUTED_VALUE"""),121.5)</f>
        <v>121.5</v>
      </c>
      <c r="K178" s="59">
        <f>IFERROR(__xludf.DUMMYFUNCTION("""COMPUTED_VALUE"""),3236760.0)</f>
        <v>3236760</v>
      </c>
      <c r="L178" s="6">
        <f>IFERROR(__xludf.DUMMYFUNCTION("""COMPUTED_VALUE"""),4279770.0)</f>
        <v>4279770</v>
      </c>
      <c r="M178" s="6">
        <f>IFERROR(__xludf.DUMMYFUNCTION("""COMPUTED_VALUE"""),74.03)</f>
        <v>74.03</v>
      </c>
      <c r="N178" s="6">
        <f>IFERROR(__xludf.DUMMYFUNCTION("""COMPUTED_VALUE"""),73.16)</f>
        <v>73.16</v>
      </c>
      <c r="O178" s="6">
        <f>IFERROR(__xludf.DUMMYFUNCTION("""COMPUTED_VALUE"""),1972159.2)</f>
        <v>1972159.2</v>
      </c>
      <c r="P178" s="6">
        <f>IFERROR(__xludf.DUMMYFUNCTION("""COMPUTED_VALUE"""),2319318.32)</f>
        <v>2319318.32</v>
      </c>
    </row>
    <row r="179" ht="15.75" customHeight="1">
      <c r="A179" s="6" t="str">
        <f>IFERROR(__xludf.DUMMYFUNCTION("""COMPUTED_VALUE"""),"Month6")</f>
        <v>Month6</v>
      </c>
      <c r="B179" s="6" t="str">
        <f>IFERROR(__xludf.DUMMYFUNCTION("""COMPUTED_VALUE"""),"June")</f>
        <v>June</v>
      </c>
      <c r="C179" s="6" t="str">
        <f>IFERROR(__xludf.DUMMYFUNCTION("""COMPUTED_VALUE"""),"North")</f>
        <v>North</v>
      </c>
      <c r="D179" s="6" t="str">
        <f>IFERROR(__xludf.DUMMYFUNCTION("""COMPUTED_VALUE"""),"Lucknow")</f>
        <v>Lucknow</v>
      </c>
      <c r="E179" s="6" t="str">
        <f>IFERROR(__xludf.DUMMYFUNCTION("""COMPUTED_VALUE"""),"NutriKid")</f>
        <v>NutriKid</v>
      </c>
      <c r="F179" s="6">
        <f>IFERROR(__xludf.DUMMYFUNCTION("""COMPUTED_VALUE"""),25414.0)</f>
        <v>25414</v>
      </c>
      <c r="G179" s="6">
        <f>IFERROR(__xludf.DUMMYFUNCTION("""COMPUTED_VALUE"""),28210.0)</f>
        <v>28210</v>
      </c>
      <c r="H179" s="39">
        <f>IFERROR(__xludf.DUMMYFUNCTION("""COMPUTED_VALUE"""),0.1)</f>
        <v>0.1</v>
      </c>
      <c r="I179" s="6">
        <f>IFERROR(__xludf.DUMMYFUNCTION("""COMPUTED_VALUE"""),60.0)</f>
        <v>60</v>
      </c>
      <c r="J179" s="6">
        <f>IFERROR(__xludf.DUMMYFUNCTION("""COMPUTED_VALUE"""),54.0)</f>
        <v>54</v>
      </c>
      <c r="K179" s="59">
        <f>IFERROR(__xludf.DUMMYFUNCTION("""COMPUTED_VALUE"""),1372356.0)</f>
        <v>1372356</v>
      </c>
      <c r="L179" s="6">
        <f>IFERROR(__xludf.DUMMYFUNCTION("""COMPUTED_VALUE"""),1692600.0)</f>
        <v>1692600</v>
      </c>
      <c r="M179" s="6">
        <f>IFERROR(__xludf.DUMMYFUNCTION("""COMPUTED_VALUE"""),33.75)</f>
        <v>33.75</v>
      </c>
      <c r="N179" s="6">
        <f>IFERROR(__xludf.DUMMYFUNCTION("""COMPUTED_VALUE"""),29.89)</f>
        <v>29.89</v>
      </c>
      <c r="O179" s="6">
        <f>IFERROR(__xludf.DUMMYFUNCTION("""COMPUTED_VALUE"""),857722.5)</f>
        <v>857722.5</v>
      </c>
      <c r="P179" s="6">
        <f>IFERROR(__xludf.DUMMYFUNCTION("""COMPUTED_VALUE"""),843196.9)</f>
        <v>843196.9</v>
      </c>
    </row>
    <row r="180" ht="15.75" customHeight="1">
      <c r="A180" s="6" t="str">
        <f>IFERROR(__xludf.DUMMYFUNCTION("""COMPUTED_VALUE"""),"Month6")</f>
        <v>Month6</v>
      </c>
      <c r="B180" s="6" t="str">
        <f>IFERROR(__xludf.DUMMYFUNCTION("""COMPUTED_VALUE"""),"June")</f>
        <v>June</v>
      </c>
      <c r="C180" s="6" t="str">
        <f>IFERROR(__xludf.DUMMYFUNCTION("""COMPUTED_VALUE"""),"East")</f>
        <v>East</v>
      </c>
      <c r="D180" s="6" t="str">
        <f>IFERROR(__xludf.DUMMYFUNCTION("""COMPUTED_VALUE"""),"Ranchi")</f>
        <v>Ranchi</v>
      </c>
      <c r="E180" s="6" t="str">
        <f>IFERROR(__xludf.DUMMYFUNCTION("""COMPUTED_VALUE"""),"ZestVita")</f>
        <v>ZestVita</v>
      </c>
      <c r="F180" s="6">
        <f>IFERROR(__xludf.DUMMYFUNCTION("""COMPUTED_VALUE"""),30986.0)</f>
        <v>30986</v>
      </c>
      <c r="G180" s="6">
        <f>IFERROR(__xludf.DUMMYFUNCTION("""COMPUTED_VALUE"""),32535.0)</f>
        <v>32535</v>
      </c>
      <c r="H180" s="39">
        <f>IFERROR(__xludf.DUMMYFUNCTION("""COMPUTED_VALUE"""),0.05)</f>
        <v>0.05</v>
      </c>
      <c r="I180" s="6">
        <f>IFERROR(__xludf.DUMMYFUNCTION("""COMPUTED_VALUE"""),135.0)</f>
        <v>135</v>
      </c>
      <c r="J180" s="6">
        <f>IFERROR(__xludf.DUMMYFUNCTION("""COMPUTED_VALUE"""),128.25)</f>
        <v>128.25</v>
      </c>
      <c r="K180" s="59">
        <f>IFERROR(__xludf.DUMMYFUNCTION("""COMPUTED_VALUE"""),3973954.5)</f>
        <v>3973954.5</v>
      </c>
      <c r="L180" s="6">
        <f>IFERROR(__xludf.DUMMYFUNCTION("""COMPUTED_VALUE"""),4392225.0)</f>
        <v>4392225</v>
      </c>
      <c r="M180" s="6">
        <f>IFERROR(__xludf.DUMMYFUNCTION("""COMPUTED_VALUE"""),74.03)</f>
        <v>74.03</v>
      </c>
      <c r="N180" s="6">
        <f>IFERROR(__xludf.DUMMYFUNCTION("""COMPUTED_VALUE"""),73.16)</f>
        <v>73.16</v>
      </c>
      <c r="O180" s="6">
        <f>IFERROR(__xludf.DUMMYFUNCTION("""COMPUTED_VALUE"""),2293893.58)</f>
        <v>2293893.58</v>
      </c>
      <c r="P180" s="6">
        <f>IFERROR(__xludf.DUMMYFUNCTION("""COMPUTED_VALUE"""),2380260.6)</f>
        <v>2380260.6</v>
      </c>
    </row>
    <row r="181" ht="15.75" customHeight="1">
      <c r="A181" s="6" t="str">
        <f>IFERROR(__xludf.DUMMYFUNCTION("""COMPUTED_VALUE"""),"Month6")</f>
        <v>Month6</v>
      </c>
      <c r="B181" s="6" t="str">
        <f>IFERROR(__xludf.DUMMYFUNCTION("""COMPUTED_VALUE"""),"June")</f>
        <v>June</v>
      </c>
      <c r="C181" s="6" t="str">
        <f>IFERROR(__xludf.DUMMYFUNCTION("""COMPUTED_VALUE"""),"East")</f>
        <v>East</v>
      </c>
      <c r="D181" s="6" t="str">
        <f>IFERROR(__xludf.DUMMYFUNCTION("""COMPUTED_VALUE"""),"Ranchi")</f>
        <v>Ranchi</v>
      </c>
      <c r="E181" s="6" t="str">
        <f>IFERROR(__xludf.DUMMYFUNCTION("""COMPUTED_VALUE"""),"NutriKid")</f>
        <v>NutriKid</v>
      </c>
      <c r="F181" s="6">
        <f>IFERROR(__xludf.DUMMYFUNCTION("""COMPUTED_VALUE"""),22275.0)</f>
        <v>22275</v>
      </c>
      <c r="G181" s="6">
        <f>IFERROR(__xludf.DUMMYFUNCTION("""COMPUTED_VALUE"""),23389.0)</f>
        <v>23389</v>
      </c>
      <c r="H181" s="39">
        <f>IFERROR(__xludf.DUMMYFUNCTION("""COMPUTED_VALUE"""),0.05)</f>
        <v>0.05</v>
      </c>
      <c r="I181" s="6">
        <f>IFERROR(__xludf.DUMMYFUNCTION("""COMPUTED_VALUE"""),60.0)</f>
        <v>60</v>
      </c>
      <c r="J181" s="6">
        <f>IFERROR(__xludf.DUMMYFUNCTION("""COMPUTED_VALUE"""),57.0)</f>
        <v>57</v>
      </c>
      <c r="K181" s="59">
        <f>IFERROR(__xludf.DUMMYFUNCTION("""COMPUTED_VALUE"""),1269675.0)</f>
        <v>1269675</v>
      </c>
      <c r="L181" s="6">
        <f>IFERROR(__xludf.DUMMYFUNCTION("""COMPUTED_VALUE"""),1403340.0)</f>
        <v>1403340</v>
      </c>
      <c r="M181" s="6">
        <f>IFERROR(__xludf.DUMMYFUNCTION("""COMPUTED_VALUE"""),33.75)</f>
        <v>33.75</v>
      </c>
      <c r="N181" s="6">
        <f>IFERROR(__xludf.DUMMYFUNCTION("""COMPUTED_VALUE"""),29.89)</f>
        <v>29.89</v>
      </c>
      <c r="O181" s="6">
        <f>IFERROR(__xludf.DUMMYFUNCTION("""COMPUTED_VALUE"""),751781.25)</f>
        <v>751781.25</v>
      </c>
      <c r="P181" s="6">
        <f>IFERROR(__xludf.DUMMYFUNCTION("""COMPUTED_VALUE"""),699097.21)</f>
        <v>699097.21</v>
      </c>
    </row>
    <row r="182" ht="15.75" customHeight="1">
      <c r="A182" s="6" t="str">
        <f>IFERROR(__xludf.DUMMYFUNCTION("""COMPUTED_VALUE"""),"Month6")</f>
        <v>Month6</v>
      </c>
      <c r="B182" s="6" t="str">
        <f>IFERROR(__xludf.DUMMYFUNCTION("""COMPUTED_VALUE"""),"June")</f>
        <v>June</v>
      </c>
      <c r="C182" s="6" t="str">
        <f>IFERROR(__xludf.DUMMYFUNCTION("""COMPUTED_VALUE"""),"West")</f>
        <v>West</v>
      </c>
      <c r="D182" s="6" t="str">
        <f>IFERROR(__xludf.DUMMYFUNCTION("""COMPUTED_VALUE"""),"Surat")</f>
        <v>Surat</v>
      </c>
      <c r="E182" s="6" t="str">
        <f>IFERROR(__xludf.DUMMYFUNCTION("""COMPUTED_VALUE"""),"ZestVita")</f>
        <v>ZestVita</v>
      </c>
      <c r="F182" s="6">
        <f>IFERROR(__xludf.DUMMYFUNCTION("""COMPUTED_VALUE"""),37779.0)</f>
        <v>37779</v>
      </c>
      <c r="G182" s="6">
        <f>IFERROR(__xludf.DUMMYFUNCTION("""COMPUTED_VALUE"""),40801.0)</f>
        <v>40801</v>
      </c>
      <c r="H182" s="39">
        <f>IFERROR(__xludf.DUMMYFUNCTION("""COMPUTED_VALUE"""),0.05)</f>
        <v>0.05</v>
      </c>
      <c r="I182" s="6">
        <f>IFERROR(__xludf.DUMMYFUNCTION("""COMPUTED_VALUE"""),135.0)</f>
        <v>135</v>
      </c>
      <c r="J182" s="6">
        <f>IFERROR(__xludf.DUMMYFUNCTION("""COMPUTED_VALUE"""),128.25)</f>
        <v>128.25</v>
      </c>
      <c r="K182" s="59">
        <f>IFERROR(__xludf.DUMMYFUNCTION("""COMPUTED_VALUE"""),4845156.75)</f>
        <v>4845156.75</v>
      </c>
      <c r="L182" s="6">
        <f>IFERROR(__xludf.DUMMYFUNCTION("""COMPUTED_VALUE"""),5508135.0)</f>
        <v>5508135</v>
      </c>
      <c r="M182" s="6">
        <f>IFERROR(__xludf.DUMMYFUNCTION("""COMPUTED_VALUE"""),74.03)</f>
        <v>74.03</v>
      </c>
      <c r="N182" s="6">
        <f>IFERROR(__xludf.DUMMYFUNCTION("""COMPUTED_VALUE"""),73.16)</f>
        <v>73.16</v>
      </c>
      <c r="O182" s="6">
        <f>IFERROR(__xludf.DUMMYFUNCTION("""COMPUTED_VALUE"""),2796779.37)</f>
        <v>2796779.37</v>
      </c>
      <c r="P182" s="6">
        <f>IFERROR(__xludf.DUMMYFUNCTION("""COMPUTED_VALUE"""),2985001.1599999997)</f>
        <v>2985001.16</v>
      </c>
    </row>
    <row r="183" ht="15.75" customHeight="1">
      <c r="A183" s="6" t="str">
        <f>IFERROR(__xludf.DUMMYFUNCTION("""COMPUTED_VALUE"""),"Month6")</f>
        <v>Month6</v>
      </c>
      <c r="B183" s="6" t="str">
        <f>IFERROR(__xludf.DUMMYFUNCTION("""COMPUTED_VALUE"""),"June")</f>
        <v>June</v>
      </c>
      <c r="C183" s="6" t="str">
        <f>IFERROR(__xludf.DUMMYFUNCTION("""COMPUTED_VALUE"""),"West")</f>
        <v>West</v>
      </c>
      <c r="D183" s="6" t="str">
        <f>IFERROR(__xludf.DUMMYFUNCTION("""COMPUTED_VALUE"""),"Surat")</f>
        <v>Surat</v>
      </c>
      <c r="E183" s="6" t="str">
        <f>IFERROR(__xludf.DUMMYFUNCTION("""COMPUTED_VALUE"""),"NutriKid")</f>
        <v>NutriKid</v>
      </c>
      <c r="F183" s="6">
        <f>IFERROR(__xludf.DUMMYFUNCTION("""COMPUTED_VALUE"""),30903.0)</f>
        <v>30903</v>
      </c>
      <c r="G183" s="6">
        <f>IFERROR(__xludf.DUMMYFUNCTION("""COMPUTED_VALUE"""),32757.0)</f>
        <v>32757</v>
      </c>
      <c r="H183" s="39">
        <f>IFERROR(__xludf.DUMMYFUNCTION("""COMPUTED_VALUE"""),0.05)</f>
        <v>0.05</v>
      </c>
      <c r="I183" s="6">
        <f>IFERROR(__xludf.DUMMYFUNCTION("""COMPUTED_VALUE"""),60.0)</f>
        <v>60</v>
      </c>
      <c r="J183" s="6">
        <f>IFERROR(__xludf.DUMMYFUNCTION("""COMPUTED_VALUE"""),57.0)</f>
        <v>57</v>
      </c>
      <c r="K183" s="59">
        <f>IFERROR(__xludf.DUMMYFUNCTION("""COMPUTED_VALUE"""),1761471.0)</f>
        <v>1761471</v>
      </c>
      <c r="L183" s="6">
        <f>IFERROR(__xludf.DUMMYFUNCTION("""COMPUTED_VALUE"""),1965420.0)</f>
        <v>1965420</v>
      </c>
      <c r="M183" s="6">
        <f>IFERROR(__xludf.DUMMYFUNCTION("""COMPUTED_VALUE"""),33.75)</f>
        <v>33.75</v>
      </c>
      <c r="N183" s="6">
        <f>IFERROR(__xludf.DUMMYFUNCTION("""COMPUTED_VALUE"""),29.89)</f>
        <v>29.89</v>
      </c>
      <c r="O183" s="6">
        <f>IFERROR(__xludf.DUMMYFUNCTION("""COMPUTED_VALUE"""),1042976.25)</f>
        <v>1042976.25</v>
      </c>
      <c r="P183" s="6">
        <f>IFERROR(__xludf.DUMMYFUNCTION("""COMPUTED_VALUE"""),979106.73)</f>
        <v>979106.73</v>
      </c>
    </row>
    <row r="184" ht="15.75" customHeight="1">
      <c r="A184" s="6" t="str">
        <f>IFERROR(__xludf.DUMMYFUNCTION("""COMPUTED_VALUE"""),"Month6")</f>
        <v>Month6</v>
      </c>
      <c r="B184" s="6" t="str">
        <f>IFERROR(__xludf.DUMMYFUNCTION("""COMPUTED_VALUE"""),"June")</f>
        <v>June</v>
      </c>
      <c r="C184" s="6" t="str">
        <f>IFERROR(__xludf.DUMMYFUNCTION("""COMPUTED_VALUE"""),"South")</f>
        <v>South</v>
      </c>
      <c r="D184" s="6" t="str">
        <f>IFERROR(__xludf.DUMMYFUNCTION("""COMPUTED_VALUE"""),"Hyderabad")</f>
        <v>Hyderabad</v>
      </c>
      <c r="E184" s="6" t="str">
        <f>IFERROR(__xludf.DUMMYFUNCTION("""COMPUTED_VALUE"""),"ZestVita")</f>
        <v>ZestVita</v>
      </c>
      <c r="F184" s="6">
        <f>IFERROR(__xludf.DUMMYFUNCTION("""COMPUTED_VALUE"""),52642.0)</f>
        <v>52642</v>
      </c>
      <c r="G184" s="6">
        <f>IFERROR(__xludf.DUMMYFUNCTION("""COMPUTED_VALUE"""),62644.0)</f>
        <v>62644</v>
      </c>
      <c r="H184" s="39">
        <f>IFERROR(__xludf.DUMMYFUNCTION("""COMPUTED_VALUE"""),0.0)</f>
        <v>0</v>
      </c>
      <c r="I184" s="6">
        <f>IFERROR(__xludf.DUMMYFUNCTION("""COMPUTED_VALUE"""),135.0)</f>
        <v>135</v>
      </c>
      <c r="J184" s="6">
        <f>IFERROR(__xludf.DUMMYFUNCTION("""COMPUTED_VALUE"""),135.0)</f>
        <v>135</v>
      </c>
      <c r="K184" s="59">
        <f>IFERROR(__xludf.DUMMYFUNCTION("""COMPUTED_VALUE"""),7106670.0)</f>
        <v>7106670</v>
      </c>
      <c r="L184" s="6">
        <f>IFERROR(__xludf.DUMMYFUNCTION("""COMPUTED_VALUE"""),8456940.0)</f>
        <v>8456940</v>
      </c>
      <c r="M184" s="6">
        <f>IFERROR(__xludf.DUMMYFUNCTION("""COMPUTED_VALUE"""),74.03)</f>
        <v>74.03</v>
      </c>
      <c r="N184" s="6">
        <f>IFERROR(__xludf.DUMMYFUNCTION("""COMPUTED_VALUE"""),73.16)</f>
        <v>73.16</v>
      </c>
      <c r="O184" s="6">
        <f>IFERROR(__xludf.DUMMYFUNCTION("""COMPUTED_VALUE"""),3897087.2600000002)</f>
        <v>3897087.26</v>
      </c>
      <c r="P184" s="6">
        <f>IFERROR(__xludf.DUMMYFUNCTION("""COMPUTED_VALUE"""),4583035.04)</f>
        <v>4583035.04</v>
      </c>
    </row>
    <row r="185" ht="15.75" customHeight="1">
      <c r="A185" s="6" t="str">
        <f>IFERROR(__xludf.DUMMYFUNCTION("""COMPUTED_VALUE"""),"Month6")</f>
        <v>Month6</v>
      </c>
      <c r="B185" s="6" t="str">
        <f>IFERROR(__xludf.DUMMYFUNCTION("""COMPUTED_VALUE"""),"June")</f>
        <v>June</v>
      </c>
      <c r="C185" s="6" t="str">
        <f>IFERROR(__xludf.DUMMYFUNCTION("""COMPUTED_VALUE"""),"South")</f>
        <v>South</v>
      </c>
      <c r="D185" s="6" t="str">
        <f>IFERROR(__xludf.DUMMYFUNCTION("""COMPUTED_VALUE"""),"Hyderabad")</f>
        <v>Hyderabad</v>
      </c>
      <c r="E185" s="6" t="str">
        <f>IFERROR(__xludf.DUMMYFUNCTION("""COMPUTED_VALUE"""),"NutriKid")</f>
        <v>NutriKid</v>
      </c>
      <c r="F185" s="6">
        <f>IFERROR(__xludf.DUMMYFUNCTION("""COMPUTED_VALUE"""),52660.0)</f>
        <v>52660</v>
      </c>
      <c r="G185" s="6">
        <f>IFERROR(__xludf.DUMMYFUNCTION("""COMPUTED_VALUE"""),60032.0)</f>
        <v>60032</v>
      </c>
      <c r="H185" s="39">
        <f>IFERROR(__xludf.DUMMYFUNCTION("""COMPUTED_VALUE"""),0.0)</f>
        <v>0</v>
      </c>
      <c r="I185" s="6">
        <f>IFERROR(__xludf.DUMMYFUNCTION("""COMPUTED_VALUE"""),60.0)</f>
        <v>60</v>
      </c>
      <c r="J185" s="6">
        <f>IFERROR(__xludf.DUMMYFUNCTION("""COMPUTED_VALUE"""),60.0)</f>
        <v>60</v>
      </c>
      <c r="K185" s="59">
        <f>IFERROR(__xludf.DUMMYFUNCTION("""COMPUTED_VALUE"""),3159600.0)</f>
        <v>3159600</v>
      </c>
      <c r="L185" s="6">
        <f>IFERROR(__xludf.DUMMYFUNCTION("""COMPUTED_VALUE"""),3601920.0)</f>
        <v>3601920</v>
      </c>
      <c r="M185" s="6">
        <f>IFERROR(__xludf.DUMMYFUNCTION("""COMPUTED_VALUE"""),33.75)</f>
        <v>33.75</v>
      </c>
      <c r="N185" s="6">
        <f>IFERROR(__xludf.DUMMYFUNCTION("""COMPUTED_VALUE"""),29.89)</f>
        <v>29.89</v>
      </c>
      <c r="O185" s="6">
        <f>IFERROR(__xludf.DUMMYFUNCTION("""COMPUTED_VALUE"""),1777275.0)</f>
        <v>1777275</v>
      </c>
      <c r="P185" s="6">
        <f>IFERROR(__xludf.DUMMYFUNCTION("""COMPUTED_VALUE"""),1794356.48)</f>
        <v>1794356.48</v>
      </c>
    </row>
    <row r="186" ht="15.75" customHeight="1">
      <c r="A186" s="6" t="str">
        <f>IFERROR(__xludf.DUMMYFUNCTION("""COMPUTED_VALUE"""),"Month6")</f>
        <v>Month6</v>
      </c>
      <c r="B186" s="6" t="str">
        <f>IFERROR(__xludf.DUMMYFUNCTION("""COMPUTED_VALUE"""),"June")</f>
        <v>June</v>
      </c>
      <c r="C186" s="6" t="str">
        <f>IFERROR(__xludf.DUMMYFUNCTION("""COMPUTED_VALUE"""),"North")</f>
        <v>North</v>
      </c>
      <c r="D186" s="6" t="str">
        <f>IFERROR(__xludf.DUMMYFUNCTION("""COMPUTED_VALUE"""),"Dehradun")</f>
        <v>Dehradun</v>
      </c>
      <c r="E186" s="6" t="str">
        <f>IFERROR(__xludf.DUMMYFUNCTION("""COMPUTED_VALUE"""),"ZestVita")</f>
        <v>ZestVita</v>
      </c>
      <c r="F186" s="6">
        <f>IFERROR(__xludf.DUMMYFUNCTION("""COMPUTED_VALUE"""),25328.0)</f>
        <v>25328</v>
      </c>
      <c r="G186" s="6">
        <f>IFERROR(__xludf.DUMMYFUNCTION("""COMPUTED_VALUE"""),25835.0)</f>
        <v>25835</v>
      </c>
      <c r="H186" s="39">
        <f>IFERROR(__xludf.DUMMYFUNCTION("""COMPUTED_VALUE"""),0.125)</f>
        <v>0.125</v>
      </c>
      <c r="I186" s="6">
        <f>IFERROR(__xludf.DUMMYFUNCTION("""COMPUTED_VALUE"""),135.0)</f>
        <v>135</v>
      </c>
      <c r="J186" s="6">
        <f>IFERROR(__xludf.DUMMYFUNCTION("""COMPUTED_VALUE"""),118.125)</f>
        <v>118.125</v>
      </c>
      <c r="K186" s="59">
        <f>IFERROR(__xludf.DUMMYFUNCTION("""COMPUTED_VALUE"""),2991870.0)</f>
        <v>2991870</v>
      </c>
      <c r="L186" s="6">
        <f>IFERROR(__xludf.DUMMYFUNCTION("""COMPUTED_VALUE"""),3487725.0)</f>
        <v>3487725</v>
      </c>
      <c r="M186" s="6">
        <f>IFERROR(__xludf.DUMMYFUNCTION("""COMPUTED_VALUE"""),74.03)</f>
        <v>74.03</v>
      </c>
      <c r="N186" s="6">
        <f>IFERROR(__xludf.DUMMYFUNCTION("""COMPUTED_VALUE"""),73.16)</f>
        <v>73.16</v>
      </c>
      <c r="O186" s="6">
        <f>IFERROR(__xludf.DUMMYFUNCTION("""COMPUTED_VALUE"""),1875031.84)</f>
        <v>1875031.84</v>
      </c>
      <c r="P186" s="6">
        <f>IFERROR(__xludf.DUMMYFUNCTION("""COMPUTED_VALUE"""),1890088.5999999999)</f>
        <v>1890088.6</v>
      </c>
    </row>
    <row r="187" ht="15.75" customHeight="1">
      <c r="A187" s="6" t="str">
        <f>IFERROR(__xludf.DUMMYFUNCTION("""COMPUTED_VALUE"""),"Month6")</f>
        <v>Month6</v>
      </c>
      <c r="B187" s="6" t="str">
        <f>IFERROR(__xludf.DUMMYFUNCTION("""COMPUTED_VALUE"""),"June")</f>
        <v>June</v>
      </c>
      <c r="C187" s="6" t="str">
        <f>IFERROR(__xludf.DUMMYFUNCTION("""COMPUTED_VALUE"""),"North")</f>
        <v>North</v>
      </c>
      <c r="D187" s="6" t="str">
        <f>IFERROR(__xludf.DUMMYFUNCTION("""COMPUTED_VALUE"""),"Dehradun")</f>
        <v>Dehradun</v>
      </c>
      <c r="E187" s="6" t="str">
        <f>IFERROR(__xludf.DUMMYFUNCTION("""COMPUTED_VALUE"""),"NutriKid")</f>
        <v>NutriKid</v>
      </c>
      <c r="F187" s="6">
        <f>IFERROR(__xludf.DUMMYFUNCTION("""COMPUTED_VALUE"""),15729.0)</f>
        <v>15729</v>
      </c>
      <c r="G187" s="6">
        <f>IFERROR(__xludf.DUMMYFUNCTION("""COMPUTED_VALUE"""),16044.0)</f>
        <v>16044</v>
      </c>
      <c r="H187" s="39">
        <f>IFERROR(__xludf.DUMMYFUNCTION("""COMPUTED_VALUE"""),0.125)</f>
        <v>0.125</v>
      </c>
      <c r="I187" s="6">
        <f>IFERROR(__xludf.DUMMYFUNCTION("""COMPUTED_VALUE"""),60.0)</f>
        <v>60</v>
      </c>
      <c r="J187" s="6">
        <f>IFERROR(__xludf.DUMMYFUNCTION("""COMPUTED_VALUE"""),52.5)</f>
        <v>52.5</v>
      </c>
      <c r="K187" s="59">
        <f>IFERROR(__xludf.DUMMYFUNCTION("""COMPUTED_VALUE"""),825772.5)</f>
        <v>825772.5</v>
      </c>
      <c r="L187" s="6">
        <f>IFERROR(__xludf.DUMMYFUNCTION("""COMPUTED_VALUE"""),962640.0)</f>
        <v>962640</v>
      </c>
      <c r="M187" s="6">
        <f>IFERROR(__xludf.DUMMYFUNCTION("""COMPUTED_VALUE"""),33.75)</f>
        <v>33.75</v>
      </c>
      <c r="N187" s="6">
        <f>IFERROR(__xludf.DUMMYFUNCTION("""COMPUTED_VALUE"""),29.89)</f>
        <v>29.89</v>
      </c>
      <c r="O187" s="6">
        <f>IFERROR(__xludf.DUMMYFUNCTION("""COMPUTED_VALUE"""),530853.75)</f>
        <v>530853.75</v>
      </c>
      <c r="P187" s="6">
        <f>IFERROR(__xludf.DUMMYFUNCTION("""COMPUTED_VALUE"""),479555.16000000003)</f>
        <v>479555.16</v>
      </c>
    </row>
    <row r="188" ht="15.75" customHeight="1">
      <c r="A188" s="6" t="str">
        <f>IFERROR(__xludf.DUMMYFUNCTION("""COMPUTED_VALUE"""),"Month6")</f>
        <v>Month6</v>
      </c>
      <c r="B188" s="6" t="str">
        <f>IFERROR(__xludf.DUMMYFUNCTION("""COMPUTED_VALUE"""),"June")</f>
        <v>June</v>
      </c>
      <c r="C188" s="6" t="str">
        <f>IFERROR(__xludf.DUMMYFUNCTION("""COMPUTED_VALUE"""),"South")</f>
        <v>South</v>
      </c>
      <c r="D188" s="6" t="str">
        <f>IFERROR(__xludf.DUMMYFUNCTION("""COMPUTED_VALUE"""),"Kochi")</f>
        <v>Kochi</v>
      </c>
      <c r="E188" s="6" t="str">
        <f>IFERROR(__xludf.DUMMYFUNCTION("""COMPUTED_VALUE"""),"ZestVita")</f>
        <v>ZestVita</v>
      </c>
      <c r="F188" s="6">
        <f>IFERROR(__xludf.DUMMYFUNCTION("""COMPUTED_VALUE"""),27805.0)</f>
        <v>27805</v>
      </c>
      <c r="G188" s="6">
        <f>IFERROR(__xludf.DUMMYFUNCTION("""COMPUTED_VALUE"""),28917.0)</f>
        <v>28917</v>
      </c>
      <c r="H188" s="39">
        <f>IFERROR(__xludf.DUMMYFUNCTION("""COMPUTED_VALUE"""),0.1)</f>
        <v>0.1</v>
      </c>
      <c r="I188" s="6">
        <f>IFERROR(__xludf.DUMMYFUNCTION("""COMPUTED_VALUE"""),135.0)</f>
        <v>135</v>
      </c>
      <c r="J188" s="6">
        <f>IFERROR(__xludf.DUMMYFUNCTION("""COMPUTED_VALUE"""),121.5)</f>
        <v>121.5</v>
      </c>
      <c r="K188" s="59">
        <f>IFERROR(__xludf.DUMMYFUNCTION("""COMPUTED_VALUE"""),3378307.5)</f>
        <v>3378307.5</v>
      </c>
      <c r="L188" s="6">
        <f>IFERROR(__xludf.DUMMYFUNCTION("""COMPUTED_VALUE"""),3903795.0)</f>
        <v>3903795</v>
      </c>
      <c r="M188" s="6">
        <f>IFERROR(__xludf.DUMMYFUNCTION("""COMPUTED_VALUE"""),74.03)</f>
        <v>74.03</v>
      </c>
      <c r="N188" s="6">
        <f>IFERROR(__xludf.DUMMYFUNCTION("""COMPUTED_VALUE"""),73.16)</f>
        <v>73.16</v>
      </c>
      <c r="O188" s="6">
        <f>IFERROR(__xludf.DUMMYFUNCTION("""COMPUTED_VALUE"""),2058404.1500000001)</f>
        <v>2058404.15</v>
      </c>
      <c r="P188" s="6">
        <f>IFERROR(__xludf.DUMMYFUNCTION("""COMPUTED_VALUE"""),2115567.7199999997)</f>
        <v>2115567.72</v>
      </c>
    </row>
    <row r="189" ht="15.75" customHeight="1">
      <c r="A189" s="6" t="str">
        <f>IFERROR(__xludf.DUMMYFUNCTION("""COMPUTED_VALUE"""),"Month6")</f>
        <v>Month6</v>
      </c>
      <c r="B189" s="6" t="str">
        <f>IFERROR(__xludf.DUMMYFUNCTION("""COMPUTED_VALUE"""),"June")</f>
        <v>June</v>
      </c>
      <c r="C189" s="6" t="str">
        <f>IFERROR(__xludf.DUMMYFUNCTION("""COMPUTED_VALUE"""),"South")</f>
        <v>South</v>
      </c>
      <c r="D189" s="6" t="str">
        <f>IFERROR(__xludf.DUMMYFUNCTION("""COMPUTED_VALUE"""),"Kochi")</f>
        <v>Kochi</v>
      </c>
      <c r="E189" s="6" t="str">
        <f>IFERROR(__xludf.DUMMYFUNCTION("""COMPUTED_VALUE"""),"NutriKid")</f>
        <v>NutriKid</v>
      </c>
      <c r="F189" s="6">
        <f>IFERROR(__xludf.DUMMYFUNCTION("""COMPUTED_VALUE"""),18175.0)</f>
        <v>18175</v>
      </c>
      <c r="G189" s="6">
        <f>IFERROR(__xludf.DUMMYFUNCTION("""COMPUTED_VALUE"""),19266.0)</f>
        <v>19266</v>
      </c>
      <c r="H189" s="39">
        <f>IFERROR(__xludf.DUMMYFUNCTION("""COMPUTED_VALUE"""),0.1)</f>
        <v>0.1</v>
      </c>
      <c r="I189" s="6">
        <f>IFERROR(__xludf.DUMMYFUNCTION("""COMPUTED_VALUE"""),60.0)</f>
        <v>60</v>
      </c>
      <c r="J189" s="6">
        <f>IFERROR(__xludf.DUMMYFUNCTION("""COMPUTED_VALUE"""),54.0)</f>
        <v>54</v>
      </c>
      <c r="K189" s="59">
        <f>IFERROR(__xludf.DUMMYFUNCTION("""COMPUTED_VALUE"""),981450.0)</f>
        <v>981450</v>
      </c>
      <c r="L189" s="6">
        <f>IFERROR(__xludf.DUMMYFUNCTION("""COMPUTED_VALUE"""),1155960.0)</f>
        <v>1155960</v>
      </c>
      <c r="M189" s="6">
        <f>IFERROR(__xludf.DUMMYFUNCTION("""COMPUTED_VALUE"""),33.75)</f>
        <v>33.75</v>
      </c>
      <c r="N189" s="6">
        <f>IFERROR(__xludf.DUMMYFUNCTION("""COMPUTED_VALUE"""),29.89)</f>
        <v>29.89</v>
      </c>
      <c r="O189" s="6">
        <f>IFERROR(__xludf.DUMMYFUNCTION("""COMPUTED_VALUE"""),613406.25)</f>
        <v>613406.25</v>
      </c>
      <c r="P189" s="6">
        <f>IFERROR(__xludf.DUMMYFUNCTION("""COMPUTED_VALUE"""),575860.74)</f>
        <v>575860.74</v>
      </c>
    </row>
    <row r="190" ht="15.75" customHeight="1">
      <c r="A190" s="6" t="str">
        <f>IFERROR(__xludf.DUMMYFUNCTION("""COMPUTED_VALUE"""),"Month6")</f>
        <v>Month6</v>
      </c>
      <c r="B190" s="6" t="str">
        <f>IFERROR(__xludf.DUMMYFUNCTION("""COMPUTED_VALUE"""),"June")</f>
        <v>June</v>
      </c>
      <c r="C190" s="6" t="str">
        <f>IFERROR(__xludf.DUMMYFUNCTION("""COMPUTED_VALUE"""),"West")</f>
        <v>West</v>
      </c>
      <c r="D190" s="6" t="str">
        <f>IFERROR(__xludf.DUMMYFUNCTION("""COMPUTED_VALUE"""),"Jaipur")</f>
        <v>Jaipur</v>
      </c>
      <c r="E190" s="6" t="str">
        <f>IFERROR(__xludf.DUMMYFUNCTION("""COMPUTED_VALUE"""),"ZestVita")</f>
        <v>ZestVita</v>
      </c>
      <c r="F190" s="6">
        <f>IFERROR(__xludf.DUMMYFUNCTION("""COMPUTED_VALUE"""),43289.0)</f>
        <v>43289</v>
      </c>
      <c r="G190" s="6">
        <f>IFERROR(__xludf.DUMMYFUNCTION("""COMPUTED_VALUE"""),51514.0)</f>
        <v>51514</v>
      </c>
      <c r="H190" s="39">
        <f>IFERROR(__xludf.DUMMYFUNCTION("""COMPUTED_VALUE"""),0.0)</f>
        <v>0</v>
      </c>
      <c r="I190" s="6">
        <f>IFERROR(__xludf.DUMMYFUNCTION("""COMPUTED_VALUE"""),135.0)</f>
        <v>135</v>
      </c>
      <c r="J190" s="6">
        <f>IFERROR(__xludf.DUMMYFUNCTION("""COMPUTED_VALUE"""),135.0)</f>
        <v>135</v>
      </c>
      <c r="K190" s="59">
        <f>IFERROR(__xludf.DUMMYFUNCTION("""COMPUTED_VALUE"""),5844015.0)</f>
        <v>5844015</v>
      </c>
      <c r="L190" s="6">
        <f>IFERROR(__xludf.DUMMYFUNCTION("""COMPUTED_VALUE"""),6954390.0)</f>
        <v>6954390</v>
      </c>
      <c r="M190" s="6">
        <f>IFERROR(__xludf.DUMMYFUNCTION("""COMPUTED_VALUE"""),74.03)</f>
        <v>74.03</v>
      </c>
      <c r="N190" s="6">
        <f>IFERROR(__xludf.DUMMYFUNCTION("""COMPUTED_VALUE"""),73.16)</f>
        <v>73.16</v>
      </c>
      <c r="O190" s="6">
        <f>IFERROR(__xludf.DUMMYFUNCTION("""COMPUTED_VALUE"""),3204684.67)</f>
        <v>3204684.67</v>
      </c>
      <c r="P190" s="6">
        <f>IFERROR(__xludf.DUMMYFUNCTION("""COMPUTED_VALUE"""),3768764.2399999998)</f>
        <v>3768764.24</v>
      </c>
    </row>
    <row r="191" ht="15.75" customHeight="1">
      <c r="A191" s="6" t="str">
        <f>IFERROR(__xludf.DUMMYFUNCTION("""COMPUTED_VALUE"""),"Month6")</f>
        <v>Month6</v>
      </c>
      <c r="B191" s="6" t="str">
        <f>IFERROR(__xludf.DUMMYFUNCTION("""COMPUTED_VALUE"""),"June")</f>
        <v>June</v>
      </c>
      <c r="C191" s="6" t="str">
        <f>IFERROR(__xludf.DUMMYFUNCTION("""COMPUTED_VALUE"""),"West")</f>
        <v>West</v>
      </c>
      <c r="D191" s="6" t="str">
        <f>IFERROR(__xludf.DUMMYFUNCTION("""COMPUTED_VALUE"""),"Jaipur")</f>
        <v>Jaipur</v>
      </c>
      <c r="E191" s="6" t="str">
        <f>IFERROR(__xludf.DUMMYFUNCTION("""COMPUTED_VALUE"""),"NutriKid")</f>
        <v>NutriKid</v>
      </c>
      <c r="F191" s="6">
        <f>IFERROR(__xludf.DUMMYFUNCTION("""COMPUTED_VALUE"""),33419.0)</f>
        <v>33419</v>
      </c>
      <c r="G191" s="6">
        <f>IFERROR(__xludf.DUMMYFUNCTION("""COMPUTED_VALUE"""),41105.0)</f>
        <v>41105</v>
      </c>
      <c r="H191" s="39">
        <f>IFERROR(__xludf.DUMMYFUNCTION("""COMPUTED_VALUE"""),0.0)</f>
        <v>0</v>
      </c>
      <c r="I191" s="6">
        <f>IFERROR(__xludf.DUMMYFUNCTION("""COMPUTED_VALUE"""),60.0)</f>
        <v>60</v>
      </c>
      <c r="J191" s="6">
        <f>IFERROR(__xludf.DUMMYFUNCTION("""COMPUTED_VALUE"""),60.0)</f>
        <v>60</v>
      </c>
      <c r="K191" s="59">
        <f>IFERROR(__xludf.DUMMYFUNCTION("""COMPUTED_VALUE"""),2005140.0)</f>
        <v>2005140</v>
      </c>
      <c r="L191" s="6">
        <f>IFERROR(__xludf.DUMMYFUNCTION("""COMPUTED_VALUE"""),2466300.0)</f>
        <v>2466300</v>
      </c>
      <c r="M191" s="6">
        <f>IFERROR(__xludf.DUMMYFUNCTION("""COMPUTED_VALUE"""),33.75)</f>
        <v>33.75</v>
      </c>
      <c r="N191" s="6">
        <f>IFERROR(__xludf.DUMMYFUNCTION("""COMPUTED_VALUE"""),29.89)</f>
        <v>29.89</v>
      </c>
      <c r="O191" s="6">
        <f>IFERROR(__xludf.DUMMYFUNCTION("""COMPUTED_VALUE"""),1127891.25)</f>
        <v>1127891.25</v>
      </c>
      <c r="P191" s="6">
        <f>IFERROR(__xludf.DUMMYFUNCTION("""COMPUTED_VALUE"""),1228628.45)</f>
        <v>1228628.45</v>
      </c>
    </row>
    <row r="192" ht="15.75" customHeight="1">
      <c r="A192" s="6" t="str">
        <f>IFERROR(__xludf.DUMMYFUNCTION("""COMPUTED_VALUE"""),"Month6")</f>
        <v>Month6</v>
      </c>
      <c r="B192" s="6" t="str">
        <f>IFERROR(__xludf.DUMMYFUNCTION("""COMPUTED_VALUE"""),"June")</f>
        <v>June</v>
      </c>
      <c r="C192" s="6" t="str">
        <f>IFERROR(__xludf.DUMMYFUNCTION("""COMPUTED_VALUE"""),"East")</f>
        <v>East</v>
      </c>
      <c r="D192" s="6" t="str">
        <f>IFERROR(__xludf.DUMMYFUNCTION("""COMPUTED_VALUE"""),"Patna")</f>
        <v>Patna</v>
      </c>
      <c r="E192" s="6" t="str">
        <f>IFERROR(__xludf.DUMMYFUNCTION("""COMPUTED_VALUE"""),"ZestVita")</f>
        <v>ZestVita</v>
      </c>
      <c r="F192" s="6">
        <f>IFERROR(__xludf.DUMMYFUNCTION("""COMPUTED_VALUE"""),36992.0)</f>
        <v>36992</v>
      </c>
      <c r="G192" s="6">
        <f>IFERROR(__xludf.DUMMYFUNCTION("""COMPUTED_VALUE"""),45130.0)</f>
        <v>45130</v>
      </c>
      <c r="H192" s="39">
        <f>IFERROR(__xludf.DUMMYFUNCTION("""COMPUTED_VALUE"""),0.05)</f>
        <v>0.05</v>
      </c>
      <c r="I192" s="6">
        <f>IFERROR(__xludf.DUMMYFUNCTION("""COMPUTED_VALUE"""),135.0)</f>
        <v>135</v>
      </c>
      <c r="J192" s="6">
        <f>IFERROR(__xludf.DUMMYFUNCTION("""COMPUTED_VALUE"""),128.25)</f>
        <v>128.25</v>
      </c>
      <c r="K192" s="59">
        <f>IFERROR(__xludf.DUMMYFUNCTION("""COMPUTED_VALUE"""),4744224.0)</f>
        <v>4744224</v>
      </c>
      <c r="L192" s="6">
        <f>IFERROR(__xludf.DUMMYFUNCTION("""COMPUTED_VALUE"""),6092550.0)</f>
        <v>6092550</v>
      </c>
      <c r="M192" s="6">
        <f>IFERROR(__xludf.DUMMYFUNCTION("""COMPUTED_VALUE"""),74.03)</f>
        <v>74.03</v>
      </c>
      <c r="N192" s="6">
        <f>IFERROR(__xludf.DUMMYFUNCTION("""COMPUTED_VALUE"""),73.16)</f>
        <v>73.16</v>
      </c>
      <c r="O192" s="6">
        <f>IFERROR(__xludf.DUMMYFUNCTION("""COMPUTED_VALUE"""),2738517.7600000002)</f>
        <v>2738517.76</v>
      </c>
      <c r="P192" s="6">
        <f>IFERROR(__xludf.DUMMYFUNCTION("""COMPUTED_VALUE"""),3301710.8)</f>
        <v>3301710.8</v>
      </c>
    </row>
    <row r="193" ht="15.75" customHeight="1">
      <c r="A193" s="6" t="str">
        <f>IFERROR(__xludf.DUMMYFUNCTION("""COMPUTED_VALUE"""),"Month6")</f>
        <v>Month6</v>
      </c>
      <c r="B193" s="6" t="str">
        <f>IFERROR(__xludf.DUMMYFUNCTION("""COMPUTED_VALUE"""),"June")</f>
        <v>June</v>
      </c>
      <c r="C193" s="6" t="str">
        <f>IFERROR(__xludf.DUMMYFUNCTION("""COMPUTED_VALUE"""),"East")</f>
        <v>East</v>
      </c>
      <c r="D193" s="6" t="str">
        <f>IFERROR(__xludf.DUMMYFUNCTION("""COMPUTED_VALUE"""),"Patna")</f>
        <v>Patna</v>
      </c>
      <c r="E193" s="6" t="str">
        <f>IFERROR(__xludf.DUMMYFUNCTION("""COMPUTED_VALUE"""),"NutriKid")</f>
        <v>NutriKid</v>
      </c>
      <c r="F193" s="6">
        <f>IFERROR(__xludf.DUMMYFUNCTION("""COMPUTED_VALUE"""),47607.0)</f>
        <v>47607</v>
      </c>
      <c r="G193" s="6">
        <f>IFERROR(__xludf.DUMMYFUNCTION("""COMPUTED_VALUE"""),53320.0)</f>
        <v>53320</v>
      </c>
      <c r="H193" s="39">
        <f>IFERROR(__xludf.DUMMYFUNCTION("""COMPUTED_VALUE"""),0.05)</f>
        <v>0.05</v>
      </c>
      <c r="I193" s="6">
        <f>IFERROR(__xludf.DUMMYFUNCTION("""COMPUTED_VALUE"""),60.0)</f>
        <v>60</v>
      </c>
      <c r="J193" s="6">
        <f>IFERROR(__xludf.DUMMYFUNCTION("""COMPUTED_VALUE"""),57.0)</f>
        <v>57</v>
      </c>
      <c r="K193" s="59">
        <f>IFERROR(__xludf.DUMMYFUNCTION("""COMPUTED_VALUE"""),2713599.0)</f>
        <v>2713599</v>
      </c>
      <c r="L193" s="6">
        <f>IFERROR(__xludf.DUMMYFUNCTION("""COMPUTED_VALUE"""),3199200.0)</f>
        <v>3199200</v>
      </c>
      <c r="M193" s="6">
        <f>IFERROR(__xludf.DUMMYFUNCTION("""COMPUTED_VALUE"""),33.75)</f>
        <v>33.75</v>
      </c>
      <c r="N193" s="6">
        <f>IFERROR(__xludf.DUMMYFUNCTION("""COMPUTED_VALUE"""),29.89)</f>
        <v>29.89</v>
      </c>
      <c r="O193" s="6">
        <f>IFERROR(__xludf.DUMMYFUNCTION("""COMPUTED_VALUE"""),1606736.25)</f>
        <v>1606736.25</v>
      </c>
      <c r="P193" s="6">
        <f>IFERROR(__xludf.DUMMYFUNCTION("""COMPUTED_VALUE"""),1593734.8)</f>
        <v>1593734.8</v>
      </c>
    </row>
    <row r="194" ht="15.75" customHeight="1">
      <c r="A194" s="6"/>
      <c r="B194" s="6"/>
      <c r="C194" s="6"/>
      <c r="D194" s="6" t="str">
        <f>IFERROR(__xludf.DUMMYFUNCTION("""COMPUTED_VALUE"""),"Overall")</f>
        <v>Overall</v>
      </c>
      <c r="E194" s="6"/>
      <c r="F194" s="6"/>
      <c r="G194" s="6"/>
      <c r="H194" s="39"/>
      <c r="I194" s="6"/>
      <c r="J194" s="6"/>
      <c r="K194" s="59"/>
      <c r="L194" s="6"/>
      <c r="M194" s="6"/>
      <c r="N194" s="6"/>
      <c r="O194" s="6"/>
      <c r="P194" s="6"/>
    </row>
    <row r="195" ht="15.75" customHeight="1">
      <c r="A195" s="6"/>
      <c r="B195" s="6"/>
      <c r="C195" s="6"/>
      <c r="D195" s="6"/>
      <c r="E195" s="6"/>
      <c r="F195" s="6"/>
      <c r="G195" s="6"/>
      <c r="H195" s="39"/>
      <c r="I195" s="6"/>
      <c r="J195" s="6"/>
      <c r="K195" s="59"/>
      <c r="L195" s="6"/>
      <c r="M195" s="6"/>
      <c r="N195" s="6"/>
      <c r="O195" s="6"/>
      <c r="P195" s="6"/>
    </row>
    <row r="196" ht="15.75" customHeight="1">
      <c r="A196" s="6"/>
      <c r="B196" s="6"/>
      <c r="C196" s="6"/>
      <c r="D196" s="6"/>
      <c r="E196" s="6"/>
      <c r="F196" s="6"/>
      <c r="G196" s="6"/>
      <c r="H196" s="39"/>
      <c r="I196" s="6"/>
      <c r="J196" s="6"/>
      <c r="K196" s="59"/>
      <c r="L196" s="6"/>
      <c r="M196" s="6"/>
      <c r="N196" s="6"/>
      <c r="O196" s="6"/>
      <c r="P196" s="6"/>
    </row>
    <row r="197" ht="15.75" customHeight="1">
      <c r="A197" s="6"/>
      <c r="B197" s="6"/>
      <c r="C197" s="6"/>
      <c r="D197" s="6"/>
      <c r="E197" s="6"/>
      <c r="F197" s="6"/>
      <c r="G197" s="6"/>
      <c r="H197" s="39"/>
      <c r="I197" s="6"/>
      <c r="J197" s="6"/>
      <c r="K197" s="59"/>
      <c r="L197" s="6"/>
      <c r="M197" s="6"/>
      <c r="N197" s="6"/>
      <c r="O197" s="6"/>
      <c r="P197" s="6"/>
    </row>
    <row r="198" ht="15.75" customHeight="1">
      <c r="A198" s="6"/>
      <c r="B198" s="6"/>
      <c r="C198" s="6"/>
      <c r="D198" s="6"/>
      <c r="E198" s="6"/>
      <c r="F198" s="6"/>
      <c r="G198" s="6"/>
      <c r="H198" s="39"/>
      <c r="I198" s="6"/>
      <c r="J198" s="6"/>
      <c r="K198" s="59"/>
      <c r="L198" s="6"/>
      <c r="M198" s="6"/>
      <c r="N198" s="6"/>
      <c r="O198" s="6"/>
      <c r="P198" s="6"/>
    </row>
    <row r="199" ht="15.75" customHeight="1">
      <c r="A199" s="6"/>
      <c r="B199" s="6"/>
      <c r="C199" s="6"/>
      <c r="D199" s="6"/>
      <c r="E199" s="6"/>
      <c r="F199" s="6"/>
      <c r="G199" s="6"/>
      <c r="H199" s="39"/>
      <c r="I199" s="6"/>
      <c r="J199" s="6"/>
      <c r="K199" s="59"/>
      <c r="L199" s="6"/>
      <c r="M199" s="6"/>
      <c r="N199" s="6"/>
      <c r="O199" s="6"/>
      <c r="P199" s="6"/>
    </row>
    <row r="200" ht="15.75" customHeight="1">
      <c r="A200" s="6"/>
      <c r="B200" s="6"/>
      <c r="C200" s="6"/>
      <c r="D200" s="6"/>
      <c r="E200" s="6"/>
      <c r="F200" s="6"/>
      <c r="G200" s="6"/>
      <c r="H200" s="39"/>
      <c r="I200" s="6"/>
      <c r="J200" s="6"/>
      <c r="K200" s="59"/>
      <c r="L200" s="6"/>
      <c r="M200" s="6"/>
      <c r="N200" s="6"/>
      <c r="O200" s="6"/>
      <c r="P200" s="6"/>
    </row>
    <row r="201" ht="15.75" customHeight="1">
      <c r="A201" s="6"/>
      <c r="B201" s="6"/>
      <c r="C201" s="6"/>
      <c r="D201" s="6"/>
      <c r="E201" s="6"/>
      <c r="F201" s="6"/>
      <c r="G201" s="6"/>
      <c r="H201" s="39"/>
      <c r="I201" s="6"/>
      <c r="J201" s="6"/>
      <c r="K201" s="59"/>
      <c r="L201" s="6"/>
      <c r="M201" s="6"/>
      <c r="N201" s="6"/>
      <c r="O201" s="6"/>
      <c r="P201" s="6"/>
    </row>
    <row r="202" ht="15.75" customHeight="1">
      <c r="A202" s="6"/>
      <c r="B202" s="6"/>
      <c r="C202" s="6"/>
      <c r="D202" s="6"/>
      <c r="E202" s="6"/>
      <c r="F202" s="6"/>
      <c r="G202" s="6"/>
      <c r="H202" s="39"/>
      <c r="I202" s="6"/>
      <c r="J202" s="6"/>
      <c r="K202" s="59"/>
      <c r="L202" s="6"/>
      <c r="M202" s="6"/>
      <c r="N202" s="6"/>
      <c r="O202" s="6"/>
      <c r="P202" s="6"/>
    </row>
    <row r="203" ht="15.75" customHeight="1">
      <c r="A203" s="6"/>
      <c r="B203" s="6"/>
      <c r="C203" s="6"/>
      <c r="D203" s="6"/>
      <c r="E203" s="6"/>
      <c r="F203" s="6"/>
      <c r="G203" s="6"/>
      <c r="H203" s="39"/>
      <c r="I203" s="6"/>
      <c r="J203" s="6"/>
      <c r="K203" s="59"/>
      <c r="L203" s="6"/>
      <c r="M203" s="6"/>
      <c r="N203" s="6"/>
      <c r="O203" s="6"/>
      <c r="P203" s="6"/>
    </row>
    <row r="204" ht="15.75" customHeight="1">
      <c r="A204" s="6"/>
      <c r="B204" s="6"/>
      <c r="C204" s="6"/>
      <c r="D204" s="6"/>
      <c r="E204" s="6"/>
      <c r="F204" s="6"/>
      <c r="G204" s="6"/>
      <c r="H204" s="39"/>
      <c r="I204" s="6"/>
      <c r="J204" s="6"/>
      <c r="K204" s="59"/>
      <c r="L204" s="6"/>
      <c r="M204" s="6"/>
      <c r="N204" s="6"/>
      <c r="O204" s="6"/>
      <c r="P204" s="6"/>
    </row>
    <row r="205" ht="15.75" customHeight="1">
      <c r="A205" s="6"/>
      <c r="B205" s="6"/>
      <c r="C205" s="6"/>
      <c r="D205" s="6"/>
      <c r="E205" s="6"/>
      <c r="F205" s="6"/>
      <c r="G205" s="6"/>
      <c r="H205" s="39"/>
      <c r="I205" s="6"/>
      <c r="J205" s="6"/>
      <c r="K205" s="59"/>
      <c r="L205" s="6"/>
      <c r="M205" s="6"/>
      <c r="N205" s="6"/>
      <c r="O205" s="6"/>
      <c r="P205" s="6"/>
    </row>
    <row r="206" ht="15.75" customHeight="1">
      <c r="A206" s="6"/>
      <c r="B206" s="6"/>
      <c r="C206" s="6"/>
      <c r="D206" s="6"/>
      <c r="E206" s="6"/>
      <c r="F206" s="6"/>
      <c r="G206" s="6"/>
      <c r="H206" s="39"/>
      <c r="I206" s="6"/>
      <c r="J206" s="6"/>
      <c r="K206" s="59"/>
      <c r="L206" s="6"/>
      <c r="M206" s="6"/>
      <c r="N206" s="6"/>
      <c r="O206" s="6"/>
      <c r="P206" s="6"/>
    </row>
    <row r="207" ht="15.75" customHeight="1">
      <c r="A207" s="6"/>
      <c r="B207" s="6"/>
      <c r="C207" s="6"/>
      <c r="D207" s="6"/>
      <c r="E207" s="6"/>
      <c r="F207" s="6"/>
      <c r="G207" s="6"/>
      <c r="H207" s="39"/>
      <c r="I207" s="6"/>
      <c r="J207" s="6"/>
      <c r="K207" s="59"/>
      <c r="L207" s="6"/>
      <c r="M207" s="6"/>
      <c r="N207" s="6"/>
      <c r="O207" s="6"/>
      <c r="P207" s="6"/>
    </row>
    <row r="208" ht="15.75" customHeight="1">
      <c r="A208" s="6"/>
      <c r="B208" s="6"/>
      <c r="C208" s="6"/>
      <c r="D208" s="6"/>
      <c r="E208" s="6"/>
      <c r="F208" s="6"/>
      <c r="G208" s="6"/>
      <c r="H208" s="39"/>
      <c r="I208" s="6"/>
      <c r="J208" s="6"/>
      <c r="K208" s="59"/>
      <c r="L208" s="6"/>
      <c r="M208" s="6"/>
      <c r="N208" s="6"/>
      <c r="O208" s="6"/>
      <c r="P208" s="6"/>
    </row>
    <row r="209" ht="15.75" customHeight="1">
      <c r="A209" s="6"/>
      <c r="B209" s="6"/>
      <c r="C209" s="6"/>
      <c r="D209" s="6"/>
      <c r="E209" s="6"/>
      <c r="F209" s="6"/>
      <c r="G209" s="6"/>
      <c r="H209" s="39"/>
      <c r="I209" s="6"/>
      <c r="J209" s="6"/>
      <c r="K209" s="59"/>
      <c r="L209" s="6"/>
      <c r="M209" s="6"/>
      <c r="N209" s="6"/>
      <c r="O209" s="6"/>
      <c r="P209" s="6"/>
    </row>
    <row r="210" ht="15.75" customHeight="1">
      <c r="A210" s="6"/>
      <c r="B210" s="6"/>
      <c r="C210" s="6"/>
      <c r="D210" s="6"/>
      <c r="E210" s="6"/>
      <c r="F210" s="6"/>
      <c r="G210" s="6"/>
      <c r="H210" s="39"/>
      <c r="I210" s="6"/>
      <c r="J210" s="6"/>
      <c r="K210" s="59"/>
      <c r="L210" s="6"/>
      <c r="M210" s="6"/>
      <c r="N210" s="6"/>
      <c r="O210" s="6"/>
      <c r="P210" s="6"/>
    </row>
    <row r="211" ht="15.75" customHeight="1">
      <c r="A211" s="6"/>
      <c r="B211" s="6"/>
      <c r="C211" s="6"/>
      <c r="D211" s="6"/>
      <c r="E211" s="6"/>
      <c r="F211" s="6"/>
      <c r="G211" s="6"/>
      <c r="H211" s="39"/>
      <c r="I211" s="6"/>
      <c r="J211" s="6"/>
      <c r="K211" s="59"/>
      <c r="L211" s="6"/>
      <c r="M211" s="6"/>
      <c r="N211" s="6"/>
      <c r="O211" s="6"/>
      <c r="P211" s="6"/>
    </row>
    <row r="212" ht="15.75" customHeight="1">
      <c r="A212" s="6"/>
      <c r="B212" s="6"/>
      <c r="C212" s="6"/>
      <c r="D212" s="6"/>
      <c r="E212" s="6"/>
      <c r="F212" s="6"/>
      <c r="G212" s="6"/>
      <c r="H212" s="39"/>
      <c r="I212" s="6"/>
      <c r="J212" s="6"/>
      <c r="K212" s="59"/>
      <c r="L212" s="6"/>
      <c r="M212" s="6"/>
      <c r="N212" s="6"/>
      <c r="O212" s="6"/>
      <c r="P212" s="6"/>
    </row>
    <row r="213" ht="15.75" customHeight="1">
      <c r="A213" s="6"/>
      <c r="B213" s="6"/>
      <c r="C213" s="6"/>
      <c r="D213" s="6"/>
      <c r="E213" s="6"/>
      <c r="F213" s="6"/>
      <c r="G213" s="6"/>
      <c r="H213" s="39"/>
      <c r="I213" s="6"/>
      <c r="J213" s="6"/>
      <c r="K213" s="59"/>
      <c r="L213" s="6"/>
      <c r="M213" s="6"/>
      <c r="N213" s="6"/>
      <c r="O213" s="6"/>
      <c r="P213" s="6"/>
    </row>
    <row r="214" ht="15.75" customHeight="1">
      <c r="A214" s="6"/>
      <c r="B214" s="6"/>
      <c r="C214" s="6"/>
      <c r="D214" s="6"/>
      <c r="E214" s="6"/>
      <c r="F214" s="6"/>
      <c r="G214" s="6"/>
      <c r="H214" s="39"/>
      <c r="I214" s="6"/>
      <c r="J214" s="6"/>
      <c r="K214" s="59"/>
      <c r="L214" s="6"/>
      <c r="M214" s="6"/>
      <c r="N214" s="6"/>
      <c r="O214" s="6"/>
      <c r="P214" s="6"/>
    </row>
    <row r="215" ht="15.75" customHeight="1">
      <c r="A215" s="6"/>
      <c r="B215" s="6"/>
      <c r="C215" s="6"/>
      <c r="D215" s="6"/>
      <c r="E215" s="6"/>
      <c r="F215" s="6"/>
      <c r="G215" s="6"/>
      <c r="H215" s="39"/>
      <c r="I215" s="6"/>
      <c r="J215" s="6"/>
      <c r="K215" s="59"/>
      <c r="L215" s="6"/>
      <c r="M215" s="6"/>
      <c r="N215" s="6"/>
      <c r="O215" s="6"/>
      <c r="P215" s="6"/>
    </row>
    <row r="216" ht="15.75" customHeight="1">
      <c r="A216" s="6"/>
      <c r="B216" s="6"/>
      <c r="C216" s="6"/>
      <c r="D216" s="6"/>
      <c r="E216" s="6"/>
      <c r="F216" s="6"/>
      <c r="G216" s="6"/>
      <c r="H216" s="39"/>
      <c r="I216" s="6"/>
      <c r="J216" s="6"/>
      <c r="K216" s="59"/>
      <c r="L216" s="6"/>
      <c r="M216" s="6"/>
      <c r="N216" s="6"/>
      <c r="O216" s="6"/>
      <c r="P216" s="6"/>
    </row>
    <row r="217" ht="15.75" customHeight="1">
      <c r="A217" s="6"/>
      <c r="B217" s="6"/>
      <c r="C217" s="6"/>
      <c r="D217" s="6"/>
      <c r="E217" s="6"/>
      <c r="F217" s="6"/>
      <c r="G217" s="6"/>
      <c r="H217" s="39"/>
      <c r="I217" s="6"/>
      <c r="J217" s="6"/>
      <c r="K217" s="59"/>
      <c r="L217" s="6"/>
      <c r="M217" s="6"/>
      <c r="N217" s="6"/>
      <c r="O217" s="6"/>
      <c r="P217" s="6"/>
    </row>
    <row r="218" ht="15.75" customHeight="1">
      <c r="A218" s="6"/>
      <c r="B218" s="6"/>
      <c r="C218" s="6"/>
      <c r="D218" s="6"/>
      <c r="E218" s="6"/>
      <c r="F218" s="6"/>
      <c r="G218" s="6"/>
      <c r="H218" s="39"/>
      <c r="I218" s="6"/>
      <c r="J218" s="6"/>
      <c r="K218" s="59"/>
      <c r="L218" s="6"/>
      <c r="M218" s="6"/>
      <c r="N218" s="6"/>
      <c r="O218" s="6"/>
      <c r="P218" s="6"/>
    </row>
    <row r="219" ht="15.75" customHeight="1">
      <c r="A219" s="6"/>
      <c r="B219" s="6"/>
      <c r="C219" s="6"/>
      <c r="D219" s="6"/>
      <c r="E219" s="6"/>
      <c r="F219" s="6"/>
      <c r="G219" s="6"/>
      <c r="H219" s="39"/>
      <c r="I219" s="6"/>
      <c r="J219" s="6"/>
      <c r="K219" s="59"/>
      <c r="L219" s="6"/>
      <c r="M219" s="6"/>
      <c r="N219" s="6"/>
      <c r="O219" s="6"/>
      <c r="P219" s="6"/>
    </row>
    <row r="220" ht="15.75" customHeight="1">
      <c r="A220" s="6"/>
      <c r="B220" s="6"/>
      <c r="C220" s="6"/>
      <c r="D220" s="6"/>
      <c r="E220" s="6"/>
      <c r="F220" s="6"/>
      <c r="G220" s="6"/>
      <c r="H220" s="39"/>
      <c r="I220" s="6"/>
      <c r="J220" s="6"/>
      <c r="K220" s="59"/>
      <c r="L220" s="6"/>
      <c r="M220" s="6"/>
      <c r="N220" s="6"/>
      <c r="O220" s="6"/>
      <c r="P220" s="6"/>
    </row>
    <row r="221" ht="15.75" customHeight="1">
      <c r="A221" s="6"/>
      <c r="B221" s="6"/>
      <c r="C221" s="6"/>
      <c r="D221" s="6"/>
      <c r="E221" s="6"/>
      <c r="F221" s="6"/>
      <c r="G221" s="6"/>
      <c r="H221" s="39"/>
      <c r="I221" s="6"/>
      <c r="J221" s="6"/>
      <c r="K221" s="59"/>
      <c r="L221" s="6"/>
      <c r="M221" s="6"/>
      <c r="N221" s="6"/>
      <c r="O221" s="6"/>
      <c r="P221" s="6"/>
    </row>
    <row r="222" ht="15.75" customHeight="1">
      <c r="A222" s="6"/>
      <c r="B222" s="6"/>
      <c r="C222" s="6"/>
      <c r="D222" s="6"/>
      <c r="E222" s="6"/>
      <c r="F222" s="6"/>
      <c r="G222" s="6"/>
      <c r="H222" s="39"/>
      <c r="I222" s="6"/>
      <c r="J222" s="6"/>
      <c r="K222" s="59"/>
      <c r="L222" s="6"/>
      <c r="M222" s="6"/>
      <c r="N222" s="6"/>
      <c r="O222" s="6"/>
      <c r="P222" s="6"/>
    </row>
    <row r="223" ht="15.75" customHeight="1">
      <c r="A223" s="6"/>
      <c r="B223" s="6"/>
      <c r="C223" s="6"/>
      <c r="D223" s="6"/>
      <c r="E223" s="6"/>
      <c r="F223" s="6"/>
      <c r="G223" s="6"/>
      <c r="H223" s="39"/>
      <c r="I223" s="6"/>
      <c r="J223" s="6"/>
      <c r="K223" s="59"/>
      <c r="L223" s="6"/>
      <c r="M223" s="6"/>
      <c r="N223" s="6"/>
      <c r="O223" s="6"/>
      <c r="P223" s="6"/>
    </row>
    <row r="224" ht="15.75" customHeight="1">
      <c r="A224" s="6"/>
      <c r="B224" s="6"/>
      <c r="C224" s="6"/>
      <c r="D224" s="6"/>
      <c r="E224" s="6"/>
      <c r="F224" s="6"/>
      <c r="G224" s="6"/>
      <c r="H224" s="39"/>
      <c r="I224" s="6"/>
      <c r="J224" s="6"/>
      <c r="K224" s="59"/>
      <c r="L224" s="6"/>
      <c r="M224" s="6"/>
      <c r="N224" s="6"/>
      <c r="O224" s="6"/>
      <c r="P224" s="6"/>
    </row>
    <row r="225" ht="15.75" customHeight="1">
      <c r="A225" s="6"/>
      <c r="B225" s="6"/>
      <c r="C225" s="6"/>
      <c r="D225" s="6"/>
      <c r="E225" s="6"/>
      <c r="F225" s="6"/>
      <c r="G225" s="6"/>
      <c r="H225" s="39"/>
      <c r="I225" s="6"/>
      <c r="J225" s="6"/>
      <c r="K225" s="59"/>
      <c r="L225" s="6"/>
      <c r="M225" s="6"/>
      <c r="N225" s="6"/>
      <c r="O225" s="6"/>
      <c r="P225" s="6"/>
    </row>
    <row r="226" ht="15.75" customHeight="1">
      <c r="A226" s="6"/>
      <c r="B226" s="6"/>
      <c r="C226" s="6"/>
      <c r="D226" s="6"/>
      <c r="E226" s="6"/>
      <c r="F226" s="6"/>
      <c r="G226" s="6"/>
      <c r="H226" s="39"/>
      <c r="I226" s="6"/>
      <c r="J226" s="6"/>
      <c r="K226" s="59"/>
      <c r="L226" s="6"/>
      <c r="M226" s="6"/>
      <c r="N226" s="6"/>
      <c r="O226" s="6"/>
      <c r="P226" s="6"/>
    </row>
    <row r="227" ht="15.75" customHeight="1">
      <c r="A227" s="6"/>
      <c r="B227" s="6"/>
      <c r="C227" s="6"/>
      <c r="D227" s="6"/>
      <c r="E227" s="6"/>
      <c r="F227" s="6"/>
      <c r="G227" s="6"/>
      <c r="H227" s="39"/>
      <c r="I227" s="6"/>
      <c r="J227" s="6"/>
      <c r="K227" s="59"/>
      <c r="L227" s="6"/>
      <c r="M227" s="6"/>
      <c r="N227" s="6"/>
      <c r="O227" s="6"/>
      <c r="P227" s="6"/>
    </row>
    <row r="228" ht="15.75" customHeight="1">
      <c r="A228" s="6"/>
      <c r="B228" s="6"/>
      <c r="C228" s="6"/>
      <c r="D228" s="6"/>
      <c r="E228" s="6"/>
      <c r="F228" s="6"/>
      <c r="G228" s="6"/>
      <c r="H228" s="39"/>
      <c r="I228" s="6"/>
      <c r="J228" s="6"/>
      <c r="K228" s="59"/>
      <c r="L228" s="6"/>
      <c r="M228" s="6"/>
      <c r="N228" s="6"/>
      <c r="O228" s="6"/>
      <c r="P228" s="6"/>
    </row>
    <row r="229" ht="15.75" customHeight="1">
      <c r="A229" s="6"/>
      <c r="B229" s="6"/>
      <c r="C229" s="6"/>
      <c r="D229" s="6"/>
      <c r="E229" s="6"/>
      <c r="F229" s="6"/>
      <c r="G229" s="6"/>
      <c r="H229" s="39"/>
      <c r="I229" s="6"/>
      <c r="J229" s="6"/>
      <c r="K229" s="59"/>
      <c r="L229" s="6"/>
      <c r="M229" s="6"/>
      <c r="N229" s="6"/>
      <c r="O229" s="6"/>
      <c r="P229" s="6"/>
    </row>
    <row r="230" ht="15.75" customHeight="1">
      <c r="A230" s="6"/>
      <c r="B230" s="6"/>
      <c r="C230" s="6"/>
      <c r="D230" s="6"/>
      <c r="E230" s="6"/>
      <c r="F230" s="6"/>
      <c r="G230" s="6"/>
      <c r="H230" s="39"/>
      <c r="I230" s="6"/>
      <c r="J230" s="6"/>
      <c r="K230" s="59"/>
      <c r="L230" s="6"/>
      <c r="M230" s="6"/>
      <c r="N230" s="6"/>
      <c r="O230" s="6"/>
      <c r="P230" s="6"/>
    </row>
    <row r="231" ht="15.75" customHeight="1">
      <c r="A231" s="6"/>
      <c r="B231" s="6"/>
      <c r="C231" s="6"/>
      <c r="D231" s="6"/>
      <c r="E231" s="6"/>
      <c r="F231" s="6"/>
      <c r="G231" s="6"/>
      <c r="H231" s="39"/>
      <c r="I231" s="6"/>
      <c r="J231" s="6"/>
      <c r="K231" s="59"/>
      <c r="L231" s="6"/>
      <c r="M231" s="6"/>
      <c r="N231" s="6"/>
      <c r="O231" s="6"/>
      <c r="P231" s="6"/>
    </row>
    <row r="232" ht="15.75" customHeight="1">
      <c r="A232" s="6"/>
      <c r="B232" s="6"/>
      <c r="C232" s="6"/>
      <c r="D232" s="6"/>
      <c r="E232" s="6"/>
      <c r="F232" s="6"/>
      <c r="G232" s="6"/>
      <c r="H232" s="39"/>
      <c r="I232" s="6"/>
      <c r="J232" s="6"/>
      <c r="K232" s="59"/>
      <c r="L232" s="6"/>
      <c r="M232" s="6"/>
      <c r="N232" s="6"/>
      <c r="O232" s="6"/>
      <c r="P232" s="6"/>
    </row>
    <row r="233" ht="15.75" customHeight="1">
      <c r="A233" s="6"/>
      <c r="B233" s="6"/>
      <c r="C233" s="6"/>
      <c r="D233" s="6"/>
      <c r="E233" s="6"/>
      <c r="F233" s="6"/>
      <c r="G233" s="6"/>
      <c r="H233" s="39"/>
      <c r="I233" s="6"/>
      <c r="J233" s="6"/>
      <c r="K233" s="59"/>
      <c r="L233" s="6"/>
      <c r="M233" s="6"/>
      <c r="N233" s="6"/>
      <c r="O233" s="6"/>
      <c r="P233" s="6"/>
    </row>
    <row r="234" ht="15.75" customHeight="1">
      <c r="A234" s="6"/>
      <c r="B234" s="6"/>
      <c r="C234" s="6"/>
      <c r="D234" s="6"/>
      <c r="E234" s="6"/>
      <c r="F234" s="6"/>
      <c r="G234" s="6"/>
      <c r="H234" s="39"/>
      <c r="I234" s="6"/>
      <c r="J234" s="6"/>
      <c r="K234" s="59"/>
      <c r="L234" s="6"/>
      <c r="M234" s="6"/>
      <c r="N234" s="6"/>
      <c r="O234" s="6"/>
      <c r="P234" s="6"/>
    </row>
    <row r="235" ht="15.75" customHeight="1">
      <c r="A235" s="6"/>
      <c r="B235" s="6"/>
      <c r="C235" s="6"/>
      <c r="D235" s="6"/>
      <c r="E235" s="6"/>
      <c r="F235" s="6"/>
      <c r="G235" s="6"/>
      <c r="H235" s="39"/>
      <c r="I235" s="6"/>
      <c r="J235" s="6"/>
      <c r="K235" s="59"/>
      <c r="L235" s="6"/>
      <c r="M235" s="6"/>
      <c r="N235" s="6"/>
      <c r="O235" s="6"/>
      <c r="P235" s="6"/>
    </row>
    <row r="236" ht="15.75" customHeight="1">
      <c r="A236" s="6"/>
      <c r="B236" s="6"/>
      <c r="C236" s="6"/>
      <c r="D236" s="6"/>
      <c r="E236" s="6"/>
      <c r="F236" s="6"/>
      <c r="G236" s="6"/>
      <c r="H236" s="39"/>
      <c r="I236" s="6"/>
      <c r="J236" s="6"/>
      <c r="K236" s="59"/>
      <c r="L236" s="6"/>
      <c r="M236" s="6"/>
      <c r="N236" s="6"/>
      <c r="O236" s="6"/>
      <c r="P236" s="6"/>
    </row>
    <row r="237" ht="15.75" customHeight="1">
      <c r="A237" s="6"/>
      <c r="B237" s="6"/>
      <c r="C237" s="6"/>
      <c r="D237" s="6"/>
      <c r="E237" s="6"/>
      <c r="F237" s="6"/>
      <c r="G237" s="6"/>
      <c r="H237" s="39"/>
      <c r="I237" s="6"/>
      <c r="J237" s="6"/>
      <c r="K237" s="59"/>
      <c r="L237" s="6"/>
      <c r="M237" s="6"/>
      <c r="N237" s="6"/>
      <c r="O237" s="6"/>
      <c r="P237" s="6"/>
    </row>
    <row r="238" ht="15.75" customHeight="1">
      <c r="A238" s="6"/>
      <c r="B238" s="6"/>
      <c r="C238" s="6"/>
      <c r="D238" s="6"/>
      <c r="E238" s="6"/>
      <c r="F238" s="6"/>
      <c r="G238" s="6"/>
      <c r="H238" s="39"/>
      <c r="I238" s="6"/>
      <c r="J238" s="6"/>
      <c r="K238" s="59"/>
      <c r="L238" s="6"/>
      <c r="M238" s="6"/>
      <c r="N238" s="6"/>
      <c r="O238" s="6"/>
      <c r="P238" s="6"/>
    </row>
    <row r="239" ht="15.75" customHeight="1">
      <c r="A239" s="6"/>
      <c r="B239" s="6"/>
      <c r="C239" s="6"/>
      <c r="D239" s="6"/>
      <c r="E239" s="6"/>
      <c r="F239" s="6"/>
      <c r="G239" s="6"/>
      <c r="H239" s="39"/>
      <c r="I239" s="6"/>
      <c r="J239" s="6"/>
      <c r="K239" s="59"/>
      <c r="L239" s="6"/>
      <c r="M239" s="6"/>
      <c r="N239" s="6"/>
      <c r="O239" s="6"/>
      <c r="P239" s="6"/>
    </row>
    <row r="240" ht="15.75" customHeight="1">
      <c r="A240" s="6"/>
      <c r="B240" s="6"/>
      <c r="C240" s="6"/>
      <c r="D240" s="6"/>
      <c r="E240" s="6"/>
      <c r="F240" s="6"/>
      <c r="G240" s="6"/>
      <c r="H240" s="39"/>
      <c r="I240" s="6"/>
      <c r="J240" s="6"/>
      <c r="K240" s="59"/>
      <c r="L240" s="6"/>
      <c r="M240" s="6"/>
      <c r="N240" s="6"/>
      <c r="O240" s="6"/>
      <c r="P240" s="6"/>
    </row>
    <row r="241" ht="15.75" customHeight="1">
      <c r="A241" s="6"/>
      <c r="B241" s="6"/>
      <c r="C241" s="6"/>
      <c r="D241" s="6"/>
      <c r="E241" s="6"/>
      <c r="F241" s="6"/>
      <c r="G241" s="6"/>
      <c r="H241" s="39"/>
      <c r="I241" s="6"/>
      <c r="J241" s="6"/>
      <c r="K241" s="59"/>
      <c r="L241" s="6"/>
      <c r="M241" s="6"/>
      <c r="N241" s="6"/>
      <c r="O241" s="6"/>
      <c r="P241" s="6"/>
    </row>
    <row r="242" ht="15.75" customHeight="1">
      <c r="A242" s="6"/>
      <c r="B242" s="6"/>
      <c r="C242" s="6"/>
      <c r="D242" s="6"/>
      <c r="E242" s="6"/>
      <c r="F242" s="6"/>
      <c r="G242" s="6"/>
      <c r="H242" s="39"/>
      <c r="I242" s="6"/>
      <c r="J242" s="6"/>
      <c r="K242" s="59"/>
      <c r="L242" s="6"/>
      <c r="M242" s="6"/>
      <c r="N242" s="6"/>
      <c r="O242" s="6"/>
      <c r="P242" s="6"/>
    </row>
    <row r="243" ht="15.75" customHeight="1">
      <c r="A243" s="6"/>
      <c r="B243" s="6"/>
      <c r="C243" s="6"/>
      <c r="D243" s="6"/>
      <c r="E243" s="6"/>
      <c r="F243" s="6"/>
      <c r="G243" s="6"/>
      <c r="H243" s="39"/>
      <c r="I243" s="6"/>
      <c r="J243" s="6"/>
      <c r="K243" s="59"/>
      <c r="L243" s="6"/>
      <c r="M243" s="6"/>
      <c r="N243" s="6"/>
      <c r="O243" s="6"/>
      <c r="P243" s="6"/>
    </row>
    <row r="244" ht="15.75" customHeight="1">
      <c r="A244" s="6"/>
      <c r="B244" s="6"/>
      <c r="C244" s="6"/>
      <c r="D244" s="6"/>
      <c r="E244" s="6"/>
      <c r="F244" s="6"/>
      <c r="G244" s="6"/>
      <c r="H244" s="39"/>
      <c r="I244" s="6"/>
      <c r="J244" s="6"/>
      <c r="K244" s="59"/>
      <c r="L244" s="6"/>
      <c r="M244" s="6"/>
      <c r="N244" s="6"/>
      <c r="O244" s="6"/>
      <c r="P244" s="6"/>
    </row>
    <row r="245" ht="15.75" customHeight="1">
      <c r="A245" s="6"/>
      <c r="B245" s="6"/>
      <c r="C245" s="6"/>
      <c r="D245" s="6"/>
      <c r="E245" s="6"/>
      <c r="F245" s="6"/>
      <c r="G245" s="6"/>
      <c r="H245" s="39"/>
      <c r="I245" s="6"/>
      <c r="J245" s="6"/>
      <c r="K245" s="59"/>
      <c r="L245" s="6"/>
      <c r="M245" s="6"/>
      <c r="N245" s="6"/>
      <c r="O245" s="6"/>
      <c r="P245" s="6"/>
    </row>
    <row r="246" ht="15.75" customHeight="1">
      <c r="A246" s="6"/>
      <c r="B246" s="6"/>
      <c r="C246" s="6"/>
      <c r="D246" s="6"/>
      <c r="E246" s="6"/>
      <c r="F246" s="6"/>
      <c r="G246" s="6"/>
      <c r="H246" s="39"/>
      <c r="I246" s="6"/>
      <c r="J246" s="6"/>
      <c r="K246" s="59"/>
      <c r="L246" s="6"/>
      <c r="M246" s="6"/>
      <c r="N246" s="6"/>
      <c r="O246" s="6"/>
      <c r="P246" s="6"/>
    </row>
    <row r="247" ht="15.75" customHeight="1">
      <c r="A247" s="6"/>
      <c r="B247" s="6"/>
      <c r="C247" s="6"/>
      <c r="D247" s="6"/>
      <c r="E247" s="6"/>
      <c r="F247" s="6"/>
      <c r="G247" s="6"/>
      <c r="H247" s="39"/>
      <c r="I247" s="6"/>
      <c r="J247" s="6"/>
      <c r="K247" s="59"/>
      <c r="L247" s="6"/>
      <c r="M247" s="6"/>
      <c r="N247" s="6"/>
      <c r="O247" s="6"/>
      <c r="P247" s="6"/>
    </row>
    <row r="248" ht="15.75" customHeight="1">
      <c r="A248" s="6"/>
      <c r="B248" s="6"/>
      <c r="C248" s="6"/>
      <c r="D248" s="6"/>
      <c r="E248" s="6"/>
      <c r="F248" s="6"/>
      <c r="G248" s="6"/>
      <c r="H248" s="39"/>
      <c r="I248" s="6"/>
      <c r="J248" s="6"/>
      <c r="K248" s="59"/>
      <c r="L248" s="6"/>
      <c r="M248" s="6"/>
      <c r="N248" s="6"/>
      <c r="O248" s="6"/>
      <c r="P248" s="6"/>
    </row>
    <row r="249" ht="15.75" customHeight="1">
      <c r="A249" s="6"/>
      <c r="B249" s="6"/>
      <c r="C249" s="6"/>
      <c r="D249" s="6"/>
      <c r="E249" s="6"/>
      <c r="F249" s="6"/>
      <c r="G249" s="6"/>
      <c r="H249" s="39"/>
      <c r="I249" s="6"/>
      <c r="J249" s="6"/>
      <c r="K249" s="59"/>
      <c r="L249" s="6"/>
      <c r="M249" s="6"/>
      <c r="N249" s="6"/>
      <c r="O249" s="6"/>
      <c r="P249" s="6"/>
    </row>
    <row r="250" ht="15.75" customHeight="1">
      <c r="A250" s="6"/>
      <c r="B250" s="6"/>
      <c r="C250" s="6"/>
      <c r="D250" s="6"/>
      <c r="E250" s="6"/>
      <c r="F250" s="6"/>
      <c r="G250" s="6"/>
      <c r="H250" s="39"/>
      <c r="I250" s="6"/>
      <c r="J250" s="6"/>
      <c r="K250" s="59"/>
      <c r="L250" s="6"/>
      <c r="M250" s="6"/>
      <c r="N250" s="6"/>
      <c r="O250" s="6"/>
      <c r="P250" s="6"/>
    </row>
    <row r="251" ht="15.75" customHeight="1">
      <c r="A251" s="6"/>
      <c r="B251" s="6"/>
      <c r="C251" s="6"/>
      <c r="D251" s="6"/>
      <c r="E251" s="6"/>
      <c r="F251" s="6"/>
      <c r="G251" s="6"/>
      <c r="H251" s="39"/>
      <c r="I251" s="6"/>
      <c r="J251" s="6"/>
      <c r="K251" s="59"/>
      <c r="L251" s="6"/>
      <c r="M251" s="6"/>
      <c r="N251" s="6"/>
      <c r="O251" s="6"/>
      <c r="P251" s="6"/>
    </row>
    <row r="252" ht="15.75" customHeight="1">
      <c r="A252" s="6"/>
      <c r="B252" s="6"/>
      <c r="C252" s="6"/>
      <c r="D252" s="6"/>
      <c r="E252" s="6"/>
      <c r="F252" s="6"/>
      <c r="G252" s="6"/>
      <c r="H252" s="39"/>
      <c r="I252" s="6"/>
      <c r="J252" s="6"/>
      <c r="K252" s="59"/>
      <c r="L252" s="6"/>
      <c r="M252" s="6"/>
      <c r="N252" s="6"/>
      <c r="O252" s="6"/>
      <c r="P252" s="6"/>
    </row>
    <row r="253" ht="15.75" customHeight="1">
      <c r="A253" s="6"/>
      <c r="B253" s="6"/>
      <c r="C253" s="6"/>
      <c r="D253" s="6"/>
      <c r="E253" s="6"/>
      <c r="F253" s="6"/>
      <c r="G253" s="6"/>
      <c r="H253" s="39"/>
      <c r="I253" s="6"/>
      <c r="J253" s="6"/>
      <c r="K253" s="59"/>
      <c r="L253" s="6"/>
      <c r="M253" s="6"/>
      <c r="N253" s="6"/>
      <c r="O253" s="6"/>
      <c r="P253" s="6"/>
    </row>
    <row r="254" ht="15.75" customHeight="1">
      <c r="A254" s="6"/>
      <c r="B254" s="6"/>
      <c r="C254" s="6"/>
      <c r="D254" s="6"/>
      <c r="E254" s="6"/>
      <c r="F254" s="6"/>
      <c r="G254" s="6"/>
      <c r="H254" s="39"/>
      <c r="I254" s="6"/>
      <c r="J254" s="6"/>
      <c r="K254" s="59"/>
      <c r="L254" s="6"/>
      <c r="M254" s="6"/>
      <c r="N254" s="6"/>
      <c r="O254" s="6"/>
      <c r="P254" s="6"/>
    </row>
    <row r="255" ht="15.75" customHeight="1">
      <c r="A255" s="6"/>
      <c r="B255" s="6"/>
      <c r="C255" s="6"/>
      <c r="D255" s="6"/>
      <c r="E255" s="6"/>
      <c r="F255" s="6"/>
      <c r="G255" s="6"/>
      <c r="H255" s="39"/>
      <c r="I255" s="6"/>
      <c r="J255" s="6"/>
      <c r="K255" s="59"/>
      <c r="L255" s="6"/>
      <c r="M255" s="6"/>
      <c r="N255" s="6"/>
      <c r="O255" s="6"/>
      <c r="P255" s="6"/>
    </row>
    <row r="256" ht="15.75" customHeight="1">
      <c r="A256" s="6"/>
      <c r="B256" s="6"/>
      <c r="C256" s="6"/>
      <c r="D256" s="6"/>
      <c r="E256" s="6"/>
      <c r="F256" s="6"/>
      <c r="G256" s="6"/>
      <c r="H256" s="39"/>
      <c r="I256" s="6"/>
      <c r="J256" s="6"/>
      <c r="K256" s="59"/>
      <c r="L256" s="6"/>
      <c r="M256" s="6"/>
      <c r="N256" s="6"/>
      <c r="O256" s="6"/>
      <c r="P256" s="6"/>
    </row>
    <row r="257" ht="15.75" customHeight="1">
      <c r="A257" s="6"/>
      <c r="B257" s="6"/>
      <c r="C257" s="6"/>
      <c r="D257" s="6"/>
      <c r="E257" s="6"/>
      <c r="F257" s="6"/>
      <c r="G257" s="6"/>
      <c r="H257" s="39"/>
      <c r="I257" s="6"/>
      <c r="J257" s="6"/>
      <c r="K257" s="59"/>
      <c r="L257" s="6"/>
      <c r="M257" s="6"/>
      <c r="N257" s="6"/>
      <c r="O257" s="6"/>
      <c r="P257" s="6"/>
    </row>
    <row r="258" ht="15.75" customHeight="1">
      <c r="A258" s="6"/>
      <c r="B258" s="6"/>
      <c r="C258" s="6"/>
      <c r="D258" s="6"/>
      <c r="E258" s="6"/>
      <c r="F258" s="6"/>
      <c r="G258" s="6"/>
      <c r="H258" s="39"/>
      <c r="I258" s="6"/>
      <c r="J258" s="6"/>
      <c r="K258" s="59"/>
      <c r="L258" s="6"/>
      <c r="M258" s="6"/>
      <c r="N258" s="6"/>
      <c r="O258" s="6"/>
      <c r="P258" s="6"/>
    </row>
    <row r="259" ht="15.75" customHeight="1">
      <c r="A259" s="6"/>
      <c r="B259" s="6"/>
      <c r="C259" s="6"/>
      <c r="D259" s="6"/>
      <c r="E259" s="6"/>
      <c r="F259" s="6"/>
      <c r="G259" s="6"/>
      <c r="H259" s="39"/>
      <c r="I259" s="6"/>
      <c r="J259" s="6"/>
      <c r="K259" s="59"/>
      <c r="L259" s="6"/>
      <c r="M259" s="6"/>
      <c r="N259" s="6"/>
      <c r="O259" s="6"/>
      <c r="P259" s="6"/>
    </row>
    <row r="260" ht="15.75" customHeight="1">
      <c r="A260" s="6"/>
      <c r="B260" s="6"/>
      <c r="C260" s="6"/>
      <c r="D260" s="6"/>
      <c r="E260" s="6"/>
      <c r="F260" s="6"/>
      <c r="G260" s="6"/>
      <c r="H260" s="39"/>
      <c r="I260" s="6"/>
      <c r="J260" s="6"/>
      <c r="K260" s="59"/>
      <c r="L260" s="6"/>
      <c r="M260" s="6"/>
      <c r="N260" s="6"/>
      <c r="O260" s="6"/>
      <c r="P260" s="6"/>
    </row>
    <row r="261" ht="15.75" customHeight="1">
      <c r="A261" s="6"/>
      <c r="B261" s="6"/>
      <c r="C261" s="6"/>
      <c r="D261" s="6"/>
      <c r="E261" s="6"/>
      <c r="F261" s="6"/>
      <c r="G261" s="6"/>
      <c r="H261" s="39"/>
      <c r="I261" s="6"/>
      <c r="J261" s="6"/>
      <c r="K261" s="59"/>
      <c r="L261" s="6"/>
      <c r="M261" s="6"/>
      <c r="N261" s="6"/>
      <c r="O261" s="6"/>
      <c r="P261" s="6"/>
    </row>
    <row r="262" ht="15.75" customHeight="1">
      <c r="A262" s="6"/>
      <c r="B262" s="6"/>
      <c r="C262" s="6"/>
      <c r="D262" s="6"/>
      <c r="E262" s="6"/>
      <c r="F262" s="6"/>
      <c r="G262" s="6"/>
      <c r="H262" s="39"/>
      <c r="I262" s="6"/>
      <c r="J262" s="6"/>
      <c r="K262" s="59"/>
      <c r="L262" s="6"/>
      <c r="M262" s="6"/>
      <c r="N262" s="6"/>
      <c r="O262" s="6"/>
      <c r="P262" s="6"/>
    </row>
    <row r="263" ht="15.75" customHeight="1">
      <c r="A263" s="6"/>
      <c r="B263" s="6"/>
      <c r="C263" s="6"/>
      <c r="D263" s="6"/>
      <c r="E263" s="6"/>
      <c r="F263" s="6"/>
      <c r="G263" s="6"/>
      <c r="H263" s="39"/>
      <c r="I263" s="6"/>
      <c r="J263" s="6"/>
      <c r="K263" s="59"/>
      <c r="L263" s="6"/>
      <c r="M263" s="6"/>
      <c r="N263" s="6"/>
      <c r="O263" s="6"/>
      <c r="P263" s="6"/>
    </row>
    <row r="264" ht="15.75" customHeight="1">
      <c r="A264" s="6"/>
      <c r="B264" s="6"/>
      <c r="C264" s="6"/>
      <c r="D264" s="6"/>
      <c r="E264" s="6"/>
      <c r="F264" s="6"/>
      <c r="G264" s="6"/>
      <c r="H264" s="39"/>
      <c r="I264" s="6"/>
      <c r="J264" s="6"/>
      <c r="K264" s="59"/>
      <c r="L264" s="6"/>
      <c r="M264" s="6"/>
      <c r="N264" s="6"/>
      <c r="O264" s="6"/>
      <c r="P264" s="6"/>
    </row>
    <row r="265" ht="15.75" customHeight="1">
      <c r="A265" s="6"/>
      <c r="B265" s="6"/>
      <c r="C265" s="6"/>
      <c r="D265" s="6"/>
      <c r="E265" s="6"/>
      <c r="F265" s="6"/>
      <c r="G265" s="6"/>
      <c r="H265" s="39"/>
      <c r="I265" s="6"/>
      <c r="J265" s="6"/>
      <c r="K265" s="59"/>
      <c r="L265" s="6"/>
      <c r="M265" s="6"/>
      <c r="N265" s="6"/>
      <c r="O265" s="6"/>
      <c r="P265" s="6"/>
    </row>
    <row r="266" ht="15.75" customHeight="1">
      <c r="A266" s="6"/>
      <c r="B266" s="6"/>
      <c r="C266" s="6"/>
      <c r="D266" s="6"/>
      <c r="E266" s="6"/>
      <c r="F266" s="6"/>
      <c r="G266" s="6"/>
      <c r="H266" s="39"/>
      <c r="I266" s="6"/>
      <c r="J266" s="6"/>
      <c r="K266" s="59"/>
      <c r="L266" s="6"/>
      <c r="M266" s="6"/>
      <c r="N266" s="6"/>
      <c r="O266" s="6"/>
      <c r="P266" s="6"/>
    </row>
    <row r="267" ht="15.75" customHeight="1">
      <c r="A267" s="6"/>
      <c r="B267" s="6"/>
      <c r="C267" s="6"/>
      <c r="D267" s="6"/>
      <c r="E267" s="6"/>
      <c r="F267" s="6"/>
      <c r="G267" s="6"/>
      <c r="H267" s="39"/>
      <c r="I267" s="6"/>
      <c r="J267" s="6"/>
      <c r="K267" s="59"/>
      <c r="L267" s="6"/>
      <c r="M267" s="6"/>
      <c r="N267" s="6"/>
      <c r="O267" s="6"/>
      <c r="P267" s="6"/>
    </row>
    <row r="268" ht="15.75" customHeight="1">
      <c r="A268" s="6"/>
      <c r="B268" s="6"/>
      <c r="C268" s="6"/>
      <c r="D268" s="6"/>
      <c r="E268" s="6"/>
      <c r="F268" s="6"/>
      <c r="G268" s="6"/>
      <c r="H268" s="39"/>
      <c r="I268" s="6"/>
      <c r="J268" s="6"/>
      <c r="K268" s="59"/>
      <c r="L268" s="6"/>
      <c r="M268" s="6"/>
      <c r="N268" s="6"/>
      <c r="O268" s="6"/>
      <c r="P268" s="6"/>
    </row>
    <row r="269" ht="15.75" customHeight="1">
      <c r="A269" s="6"/>
      <c r="B269" s="6"/>
      <c r="C269" s="6"/>
      <c r="D269" s="6"/>
      <c r="E269" s="6"/>
      <c r="F269" s="6"/>
      <c r="G269" s="6"/>
      <c r="H269" s="39"/>
      <c r="I269" s="6"/>
      <c r="J269" s="6"/>
      <c r="K269" s="59"/>
      <c r="L269" s="6"/>
      <c r="M269" s="6"/>
      <c r="N269" s="6"/>
      <c r="O269" s="6"/>
      <c r="P269" s="6"/>
    </row>
    <row r="270" ht="15.75" customHeight="1">
      <c r="A270" s="6"/>
      <c r="B270" s="6"/>
      <c r="C270" s="6"/>
      <c r="D270" s="6"/>
      <c r="E270" s="6"/>
      <c r="F270" s="6"/>
      <c r="G270" s="6"/>
      <c r="H270" s="39"/>
      <c r="I270" s="6"/>
      <c r="J270" s="6"/>
      <c r="K270" s="59"/>
      <c r="L270" s="6"/>
      <c r="M270" s="6"/>
      <c r="N270" s="6"/>
      <c r="O270" s="6"/>
      <c r="P270" s="6"/>
    </row>
    <row r="271" ht="15.75" customHeight="1">
      <c r="A271" s="6"/>
      <c r="B271" s="6"/>
      <c r="C271" s="6"/>
      <c r="D271" s="6"/>
      <c r="E271" s="6"/>
      <c r="F271" s="6"/>
      <c r="G271" s="6"/>
      <c r="H271" s="39"/>
      <c r="I271" s="6"/>
      <c r="J271" s="6"/>
      <c r="K271" s="59"/>
      <c r="L271" s="6"/>
      <c r="M271" s="6"/>
      <c r="N271" s="6"/>
      <c r="O271" s="6"/>
      <c r="P271" s="6"/>
    </row>
    <row r="272" ht="15.75" customHeight="1">
      <c r="A272" s="6"/>
      <c r="B272" s="6"/>
      <c r="C272" s="6"/>
      <c r="D272" s="6"/>
      <c r="E272" s="6"/>
      <c r="F272" s="6"/>
      <c r="G272" s="6"/>
      <c r="H272" s="39"/>
      <c r="I272" s="6"/>
      <c r="J272" s="6"/>
      <c r="K272" s="59"/>
      <c r="L272" s="6"/>
      <c r="M272" s="6"/>
      <c r="N272" s="6"/>
      <c r="O272" s="6"/>
      <c r="P272" s="6"/>
    </row>
    <row r="273" ht="15.75" customHeight="1">
      <c r="A273" s="6"/>
      <c r="B273" s="6"/>
      <c r="C273" s="6"/>
      <c r="D273" s="6"/>
      <c r="E273" s="6"/>
      <c r="F273" s="6"/>
      <c r="G273" s="6"/>
      <c r="H273" s="39"/>
      <c r="I273" s="6"/>
      <c r="J273" s="6"/>
      <c r="K273" s="59"/>
      <c r="L273" s="6"/>
      <c r="M273" s="6"/>
      <c r="N273" s="6"/>
      <c r="O273" s="6"/>
      <c r="P273" s="6"/>
    </row>
    <row r="274" ht="15.75" customHeight="1">
      <c r="A274" s="6"/>
      <c r="B274" s="6"/>
      <c r="C274" s="6"/>
      <c r="D274" s="6"/>
      <c r="E274" s="6"/>
      <c r="F274" s="6"/>
      <c r="G274" s="6"/>
      <c r="H274" s="39"/>
      <c r="I274" s="6"/>
      <c r="J274" s="6"/>
      <c r="K274" s="59"/>
      <c r="L274" s="6"/>
      <c r="M274" s="6"/>
      <c r="N274" s="6"/>
      <c r="O274" s="6"/>
      <c r="P274" s="6"/>
    </row>
    <row r="275" ht="15.75" customHeight="1">
      <c r="A275" s="6"/>
      <c r="B275" s="6"/>
      <c r="C275" s="6"/>
      <c r="D275" s="6"/>
      <c r="E275" s="6"/>
      <c r="F275" s="6"/>
      <c r="G275" s="6"/>
      <c r="H275" s="39"/>
      <c r="I275" s="6"/>
      <c r="J275" s="6"/>
      <c r="K275" s="59"/>
      <c r="L275" s="6"/>
      <c r="M275" s="6"/>
      <c r="N275" s="6"/>
      <c r="O275" s="6"/>
      <c r="P275" s="6"/>
    </row>
    <row r="276" ht="15.75" customHeight="1">
      <c r="A276" s="6"/>
      <c r="B276" s="6"/>
      <c r="C276" s="6"/>
      <c r="D276" s="6"/>
      <c r="E276" s="6"/>
      <c r="F276" s="6"/>
      <c r="G276" s="6"/>
      <c r="H276" s="39"/>
      <c r="I276" s="6"/>
      <c r="J276" s="6"/>
      <c r="K276" s="59"/>
      <c r="L276" s="6"/>
      <c r="M276" s="6"/>
      <c r="N276" s="6"/>
      <c r="O276" s="6"/>
      <c r="P276" s="6"/>
    </row>
    <row r="277" ht="15.75" customHeight="1">
      <c r="A277" s="6"/>
      <c r="B277" s="6"/>
      <c r="C277" s="6"/>
      <c r="D277" s="6"/>
      <c r="E277" s="6"/>
      <c r="F277" s="6"/>
      <c r="G277" s="6"/>
      <c r="H277" s="39"/>
      <c r="I277" s="6"/>
      <c r="J277" s="6"/>
      <c r="K277" s="59"/>
      <c r="L277" s="6"/>
      <c r="M277" s="6"/>
      <c r="N277" s="6"/>
      <c r="O277" s="6"/>
      <c r="P277" s="6"/>
    </row>
    <row r="278" ht="15.75" customHeight="1">
      <c r="A278" s="6"/>
      <c r="B278" s="6"/>
      <c r="C278" s="6"/>
      <c r="D278" s="6"/>
      <c r="E278" s="6"/>
      <c r="F278" s="6"/>
      <c r="G278" s="6"/>
      <c r="H278" s="39"/>
      <c r="I278" s="6"/>
      <c r="J278" s="6"/>
      <c r="K278" s="59"/>
      <c r="L278" s="6"/>
      <c r="M278" s="6"/>
      <c r="N278" s="6"/>
      <c r="O278" s="6"/>
      <c r="P278" s="6"/>
    </row>
    <row r="279" ht="15.75" customHeight="1">
      <c r="A279" s="6"/>
      <c r="B279" s="6"/>
      <c r="C279" s="6"/>
      <c r="D279" s="6"/>
      <c r="E279" s="6"/>
      <c r="F279" s="6"/>
      <c r="G279" s="6"/>
      <c r="H279" s="39"/>
      <c r="I279" s="6"/>
      <c r="J279" s="6"/>
      <c r="K279" s="59"/>
      <c r="L279" s="6"/>
      <c r="M279" s="6"/>
      <c r="N279" s="6"/>
      <c r="O279" s="6"/>
      <c r="P279" s="6"/>
    </row>
    <row r="280" ht="15.75" customHeight="1">
      <c r="A280" s="6"/>
      <c r="B280" s="6"/>
      <c r="C280" s="6"/>
      <c r="D280" s="6"/>
      <c r="E280" s="6"/>
      <c r="F280" s="6"/>
      <c r="G280" s="6"/>
      <c r="H280" s="39"/>
      <c r="I280" s="6"/>
      <c r="J280" s="6"/>
      <c r="K280" s="59"/>
      <c r="L280" s="6"/>
      <c r="M280" s="6"/>
      <c r="N280" s="6"/>
      <c r="O280" s="6"/>
      <c r="P280" s="6"/>
    </row>
    <row r="281" ht="15.75" customHeight="1">
      <c r="A281" s="6"/>
      <c r="B281" s="6"/>
      <c r="C281" s="6"/>
      <c r="D281" s="6"/>
      <c r="E281" s="6"/>
      <c r="F281" s="6"/>
      <c r="G281" s="6"/>
      <c r="H281" s="39"/>
      <c r="I281" s="6"/>
      <c r="J281" s="6"/>
      <c r="K281" s="59"/>
      <c r="L281" s="6"/>
      <c r="M281" s="6"/>
      <c r="N281" s="6"/>
      <c r="O281" s="6"/>
      <c r="P281" s="6"/>
    </row>
    <row r="282" ht="15.75" customHeight="1">
      <c r="A282" s="6"/>
      <c r="B282" s="6"/>
      <c r="C282" s="6"/>
      <c r="D282" s="6"/>
      <c r="E282" s="6"/>
      <c r="F282" s="6"/>
      <c r="G282" s="6"/>
      <c r="H282" s="39"/>
      <c r="I282" s="6"/>
      <c r="J282" s="6"/>
      <c r="K282" s="59"/>
      <c r="L282" s="6"/>
      <c r="M282" s="6"/>
      <c r="N282" s="6"/>
      <c r="O282" s="6"/>
      <c r="P282" s="6"/>
    </row>
    <row r="283" ht="15.75" customHeight="1">
      <c r="A283" s="6"/>
      <c r="B283" s="6"/>
      <c r="C283" s="6"/>
      <c r="D283" s="6"/>
      <c r="E283" s="6"/>
      <c r="F283" s="6"/>
      <c r="G283" s="6"/>
      <c r="H283" s="39"/>
      <c r="I283" s="6"/>
      <c r="J283" s="6"/>
      <c r="K283" s="59"/>
      <c r="L283" s="6"/>
      <c r="M283" s="6"/>
      <c r="N283" s="6"/>
      <c r="O283" s="6"/>
      <c r="P283" s="6"/>
    </row>
    <row r="284" ht="15.75" customHeight="1">
      <c r="A284" s="6"/>
      <c r="B284" s="6"/>
      <c r="C284" s="6"/>
      <c r="D284" s="6"/>
      <c r="E284" s="6"/>
      <c r="F284" s="6"/>
      <c r="G284" s="6"/>
      <c r="H284" s="39"/>
      <c r="I284" s="6"/>
      <c r="J284" s="6"/>
      <c r="K284" s="59"/>
      <c r="L284" s="6"/>
      <c r="M284" s="6"/>
      <c r="N284" s="6"/>
      <c r="O284" s="6"/>
      <c r="P284" s="6"/>
    </row>
    <row r="285" ht="15.75" customHeight="1">
      <c r="A285" s="6"/>
      <c r="B285" s="6"/>
      <c r="C285" s="6"/>
      <c r="D285" s="6"/>
      <c r="E285" s="6"/>
      <c r="F285" s="6"/>
      <c r="G285" s="6"/>
      <c r="H285" s="39"/>
      <c r="I285" s="6"/>
      <c r="J285" s="6"/>
      <c r="K285" s="59"/>
      <c r="L285" s="6"/>
      <c r="M285" s="6"/>
      <c r="N285" s="6"/>
      <c r="O285" s="6"/>
      <c r="P285" s="6"/>
    </row>
    <row r="286" ht="15.75" customHeight="1">
      <c r="A286" s="6"/>
      <c r="B286" s="6"/>
      <c r="C286" s="6"/>
      <c r="D286" s="6"/>
      <c r="E286" s="6"/>
      <c r="F286" s="6"/>
      <c r="G286" s="6"/>
      <c r="H286" s="39"/>
      <c r="I286" s="6"/>
      <c r="J286" s="6"/>
      <c r="K286" s="59"/>
      <c r="L286" s="6"/>
      <c r="M286" s="6"/>
      <c r="N286" s="6"/>
      <c r="O286" s="6"/>
      <c r="P286" s="6"/>
    </row>
    <row r="287" ht="15.75" customHeight="1">
      <c r="A287" s="6"/>
      <c r="B287" s="6"/>
      <c r="C287" s="6"/>
      <c r="D287" s="6"/>
      <c r="E287" s="6"/>
      <c r="F287" s="6"/>
      <c r="G287" s="6"/>
      <c r="H287" s="39"/>
      <c r="I287" s="6"/>
      <c r="J287" s="6"/>
      <c r="K287" s="59"/>
      <c r="L287" s="6"/>
      <c r="M287" s="6"/>
      <c r="N287" s="6"/>
      <c r="O287" s="6"/>
      <c r="P287" s="6"/>
    </row>
    <row r="288" ht="15.75" customHeight="1">
      <c r="A288" s="6"/>
      <c r="B288" s="6"/>
      <c r="C288" s="6"/>
      <c r="D288" s="6"/>
      <c r="E288" s="6"/>
      <c r="F288" s="6"/>
      <c r="G288" s="6"/>
      <c r="H288" s="39"/>
      <c r="I288" s="6"/>
      <c r="J288" s="6"/>
      <c r="K288" s="59"/>
      <c r="L288" s="6"/>
      <c r="M288" s="6"/>
      <c r="N288" s="6"/>
      <c r="O288" s="6"/>
      <c r="P288" s="6"/>
    </row>
    <row r="289" ht="15.75" customHeight="1">
      <c r="A289" s="6"/>
      <c r="B289" s="6"/>
      <c r="C289" s="6"/>
      <c r="D289" s="6"/>
      <c r="E289" s="6"/>
      <c r="F289" s="6"/>
      <c r="G289" s="6"/>
      <c r="H289" s="39"/>
      <c r="I289" s="6"/>
      <c r="J289" s="6"/>
      <c r="K289" s="59"/>
      <c r="L289" s="6"/>
      <c r="M289" s="6"/>
      <c r="N289" s="6"/>
      <c r="O289" s="6"/>
      <c r="P289" s="6"/>
    </row>
    <row r="290" ht="15.75" customHeight="1">
      <c r="A290" s="6"/>
      <c r="B290" s="6"/>
      <c r="C290" s="6"/>
      <c r="D290" s="6"/>
      <c r="E290" s="6"/>
      <c r="F290" s="6"/>
      <c r="G290" s="6"/>
      <c r="H290" s="39"/>
      <c r="I290" s="6"/>
      <c r="J290" s="6"/>
      <c r="K290" s="59"/>
      <c r="L290" s="6"/>
      <c r="M290" s="6"/>
      <c r="N290" s="6"/>
      <c r="O290" s="6"/>
      <c r="P290" s="6"/>
    </row>
    <row r="291" ht="15.75" customHeight="1">
      <c r="A291" s="6"/>
      <c r="B291" s="6"/>
      <c r="C291" s="6"/>
      <c r="D291" s="6"/>
      <c r="E291" s="6"/>
      <c r="F291" s="6"/>
      <c r="G291" s="6"/>
      <c r="H291" s="39"/>
      <c r="I291" s="6"/>
      <c r="J291" s="6"/>
      <c r="K291" s="59"/>
      <c r="L291" s="6"/>
      <c r="M291" s="6"/>
      <c r="N291" s="6"/>
      <c r="O291" s="6"/>
      <c r="P291" s="6"/>
    </row>
    <row r="292" ht="15.75" customHeight="1">
      <c r="A292" s="6"/>
      <c r="B292" s="6"/>
      <c r="C292" s="6"/>
      <c r="D292" s="6"/>
      <c r="E292" s="6"/>
      <c r="F292" s="6"/>
      <c r="G292" s="6"/>
      <c r="H292" s="39"/>
      <c r="I292" s="6"/>
      <c r="J292" s="6"/>
      <c r="K292" s="59"/>
      <c r="L292" s="6"/>
      <c r="M292" s="6"/>
      <c r="N292" s="6"/>
      <c r="O292" s="6"/>
      <c r="P292" s="6"/>
    </row>
    <row r="293" ht="15.75" customHeight="1">
      <c r="A293" s="6"/>
      <c r="B293" s="6"/>
      <c r="C293" s="6"/>
      <c r="D293" s="6"/>
      <c r="E293" s="6"/>
      <c r="F293" s="6"/>
      <c r="G293" s="6"/>
      <c r="H293" s="39"/>
      <c r="I293" s="6"/>
      <c r="J293" s="6"/>
      <c r="K293" s="59"/>
      <c r="L293" s="6"/>
      <c r="M293" s="6"/>
      <c r="N293" s="6"/>
      <c r="O293" s="6"/>
      <c r="P293" s="6"/>
    </row>
    <row r="294" ht="15.75" customHeight="1">
      <c r="A294" s="6"/>
      <c r="B294" s="6"/>
      <c r="C294" s="6"/>
      <c r="D294" s="6"/>
      <c r="E294" s="6"/>
      <c r="F294" s="6"/>
      <c r="G294" s="6"/>
      <c r="H294" s="39"/>
      <c r="I294" s="6"/>
      <c r="J294" s="6"/>
      <c r="K294" s="59"/>
      <c r="L294" s="6"/>
      <c r="M294" s="6"/>
      <c r="N294" s="6"/>
      <c r="O294" s="6"/>
      <c r="P294" s="6"/>
    </row>
    <row r="295" ht="15.75" customHeight="1">
      <c r="A295" s="6"/>
      <c r="B295" s="6"/>
      <c r="C295" s="6"/>
      <c r="D295" s="6"/>
      <c r="E295" s="6"/>
      <c r="F295" s="6"/>
      <c r="G295" s="6"/>
      <c r="H295" s="39"/>
      <c r="I295" s="6"/>
      <c r="J295" s="6"/>
      <c r="K295" s="59"/>
      <c r="L295" s="6"/>
      <c r="M295" s="6"/>
      <c r="N295" s="6"/>
      <c r="O295" s="6"/>
      <c r="P295" s="6"/>
    </row>
    <row r="296" ht="15.75" customHeight="1">
      <c r="A296" s="6"/>
      <c r="B296" s="6"/>
      <c r="C296" s="6"/>
      <c r="D296" s="6"/>
      <c r="E296" s="6"/>
      <c r="F296" s="6"/>
      <c r="G296" s="6"/>
      <c r="H296" s="39"/>
      <c r="I296" s="6"/>
      <c r="J296" s="6"/>
      <c r="K296" s="59"/>
      <c r="L296" s="6"/>
      <c r="M296" s="6"/>
      <c r="N296" s="6"/>
      <c r="O296" s="6"/>
      <c r="P296" s="6"/>
    </row>
    <row r="297" ht="15.75" customHeight="1">
      <c r="A297" s="6"/>
      <c r="B297" s="6"/>
      <c r="C297" s="6"/>
      <c r="D297" s="6"/>
      <c r="E297" s="6"/>
      <c r="F297" s="6"/>
      <c r="G297" s="6"/>
      <c r="H297" s="39"/>
      <c r="I297" s="6"/>
      <c r="J297" s="6"/>
      <c r="K297" s="59"/>
      <c r="L297" s="6"/>
      <c r="M297" s="6"/>
      <c r="N297" s="6"/>
      <c r="O297" s="6"/>
      <c r="P297" s="6"/>
    </row>
    <row r="298" ht="15.75" customHeight="1">
      <c r="A298" s="6"/>
      <c r="B298" s="6"/>
      <c r="C298" s="6"/>
      <c r="D298" s="6"/>
      <c r="E298" s="6"/>
      <c r="F298" s="6"/>
      <c r="G298" s="6"/>
      <c r="H298" s="39"/>
      <c r="I298" s="6"/>
      <c r="J298" s="6"/>
      <c r="K298" s="59"/>
      <c r="L298" s="6"/>
      <c r="M298" s="6"/>
      <c r="N298" s="6"/>
      <c r="O298" s="6"/>
      <c r="P298" s="6"/>
    </row>
    <row r="299" ht="15.75" customHeight="1">
      <c r="A299" s="6"/>
      <c r="B299" s="6"/>
      <c r="C299" s="6"/>
      <c r="D299" s="6"/>
      <c r="E299" s="6"/>
      <c r="F299" s="6"/>
      <c r="G299" s="6"/>
      <c r="H299" s="39"/>
      <c r="I299" s="6"/>
      <c r="J299" s="6"/>
      <c r="K299" s="59"/>
      <c r="L299" s="6"/>
      <c r="M299" s="6"/>
      <c r="N299" s="6"/>
      <c r="O299" s="6"/>
      <c r="P299" s="6"/>
    </row>
    <row r="300" ht="15.75" customHeight="1">
      <c r="A300" s="6"/>
      <c r="B300" s="6"/>
      <c r="C300" s="6"/>
      <c r="D300" s="6"/>
      <c r="E300" s="6"/>
      <c r="F300" s="6"/>
      <c r="G300" s="6"/>
      <c r="H300" s="39"/>
      <c r="I300" s="6"/>
      <c r="J300" s="6"/>
      <c r="K300" s="59"/>
      <c r="L300" s="6"/>
      <c r="M300" s="6"/>
      <c r="N300" s="6"/>
      <c r="O300" s="6"/>
      <c r="P300" s="6"/>
    </row>
    <row r="301" ht="15.75" customHeight="1">
      <c r="A301" s="6"/>
      <c r="B301" s="6"/>
      <c r="C301" s="6"/>
      <c r="D301" s="6"/>
      <c r="E301" s="6"/>
      <c r="F301" s="6"/>
      <c r="G301" s="6"/>
      <c r="H301" s="39"/>
      <c r="I301" s="6"/>
      <c r="J301" s="6"/>
      <c r="K301" s="59"/>
      <c r="L301" s="6"/>
      <c r="M301" s="6"/>
      <c r="N301" s="6"/>
      <c r="O301" s="6"/>
      <c r="P301" s="6"/>
    </row>
    <row r="302" ht="15.75" customHeight="1">
      <c r="A302" s="6"/>
      <c r="B302" s="6"/>
      <c r="C302" s="6"/>
      <c r="D302" s="6"/>
      <c r="E302" s="6"/>
      <c r="F302" s="6"/>
      <c r="G302" s="6"/>
      <c r="H302" s="39"/>
      <c r="I302" s="6"/>
      <c r="J302" s="6"/>
      <c r="K302" s="59"/>
      <c r="L302" s="6"/>
      <c r="M302" s="6"/>
      <c r="N302" s="6"/>
      <c r="O302" s="6"/>
      <c r="P302" s="6"/>
    </row>
    <row r="303" ht="15.75" customHeight="1">
      <c r="A303" s="6"/>
      <c r="B303" s="6"/>
      <c r="C303" s="6"/>
      <c r="D303" s="6"/>
      <c r="E303" s="6"/>
      <c r="F303" s="6"/>
      <c r="G303" s="6"/>
      <c r="H303" s="39"/>
      <c r="I303" s="6"/>
      <c r="J303" s="6"/>
      <c r="K303" s="59"/>
      <c r="L303" s="6"/>
      <c r="M303" s="6"/>
      <c r="N303" s="6"/>
      <c r="O303" s="6"/>
      <c r="P303" s="6"/>
    </row>
    <row r="304" ht="15.75" customHeight="1">
      <c r="A304" s="6"/>
      <c r="B304" s="6"/>
      <c r="C304" s="6"/>
      <c r="D304" s="6"/>
      <c r="E304" s="6"/>
      <c r="F304" s="6"/>
      <c r="G304" s="6"/>
      <c r="H304" s="39"/>
      <c r="I304" s="6"/>
      <c r="J304" s="6"/>
      <c r="K304" s="59"/>
      <c r="L304" s="6"/>
      <c r="M304" s="6"/>
      <c r="N304" s="6"/>
      <c r="O304" s="6"/>
      <c r="P304" s="6"/>
    </row>
    <row r="305" ht="15.75" customHeight="1">
      <c r="A305" s="6"/>
      <c r="B305" s="6"/>
      <c r="C305" s="6"/>
      <c r="D305" s="6"/>
      <c r="E305" s="6"/>
      <c r="F305" s="6"/>
      <c r="G305" s="6"/>
      <c r="H305" s="39"/>
      <c r="I305" s="6"/>
      <c r="J305" s="6"/>
      <c r="K305" s="59"/>
      <c r="L305" s="6"/>
      <c r="M305" s="6"/>
      <c r="N305" s="6"/>
      <c r="O305" s="6"/>
      <c r="P305" s="6"/>
    </row>
    <row r="306" ht="15.75" customHeight="1">
      <c r="A306" s="6"/>
      <c r="B306" s="6"/>
      <c r="C306" s="6"/>
      <c r="D306" s="6"/>
      <c r="E306" s="6"/>
      <c r="F306" s="6"/>
      <c r="G306" s="6"/>
      <c r="H306" s="39"/>
      <c r="I306" s="6"/>
      <c r="J306" s="6"/>
      <c r="K306" s="59"/>
      <c r="L306" s="6"/>
      <c r="M306" s="6"/>
      <c r="N306" s="6"/>
      <c r="O306" s="6"/>
      <c r="P306" s="6"/>
    </row>
    <row r="307" ht="15.75" customHeight="1">
      <c r="A307" s="6"/>
      <c r="B307" s="6"/>
      <c r="C307" s="6"/>
      <c r="D307" s="6"/>
      <c r="E307" s="6"/>
      <c r="F307" s="6"/>
      <c r="G307" s="6"/>
      <c r="H307" s="39"/>
      <c r="I307" s="6"/>
      <c r="J307" s="6"/>
      <c r="K307" s="59"/>
      <c r="L307" s="6"/>
      <c r="M307" s="6"/>
      <c r="N307" s="6"/>
      <c r="O307" s="6"/>
      <c r="P307" s="6"/>
    </row>
    <row r="308" ht="15.75" customHeight="1">
      <c r="A308" s="6"/>
      <c r="B308" s="6"/>
      <c r="C308" s="6"/>
      <c r="D308" s="6"/>
      <c r="E308" s="6"/>
      <c r="F308" s="6"/>
      <c r="G308" s="6"/>
      <c r="H308" s="39"/>
      <c r="I308" s="6"/>
      <c r="J308" s="6"/>
      <c r="K308" s="59"/>
      <c r="L308" s="6"/>
      <c r="M308" s="6"/>
      <c r="N308" s="6"/>
      <c r="O308" s="6"/>
      <c r="P308" s="6"/>
    </row>
    <row r="309" ht="15.75" customHeight="1">
      <c r="A309" s="6"/>
      <c r="B309" s="6"/>
      <c r="C309" s="6"/>
      <c r="D309" s="6"/>
      <c r="E309" s="6"/>
      <c r="F309" s="6"/>
      <c r="G309" s="6"/>
      <c r="H309" s="39"/>
      <c r="I309" s="6"/>
      <c r="J309" s="6"/>
      <c r="K309" s="59"/>
      <c r="L309" s="6"/>
      <c r="M309" s="6"/>
      <c r="N309" s="6"/>
      <c r="O309" s="6"/>
      <c r="P309" s="6"/>
    </row>
    <row r="310" ht="15.75" customHeight="1">
      <c r="A310" s="6"/>
      <c r="B310" s="6"/>
      <c r="C310" s="6"/>
      <c r="D310" s="6"/>
      <c r="E310" s="6"/>
      <c r="F310" s="6"/>
      <c r="G310" s="6"/>
      <c r="H310" s="39"/>
      <c r="I310" s="6"/>
      <c r="J310" s="6"/>
      <c r="K310" s="59"/>
      <c r="L310" s="6"/>
      <c r="M310" s="6"/>
      <c r="N310" s="6"/>
      <c r="O310" s="6"/>
      <c r="P310" s="6"/>
    </row>
    <row r="311" ht="15.75" customHeight="1">
      <c r="A311" s="6"/>
      <c r="B311" s="6"/>
      <c r="C311" s="6"/>
      <c r="D311" s="6"/>
      <c r="E311" s="6"/>
      <c r="F311" s="6"/>
      <c r="G311" s="6"/>
      <c r="H311" s="39"/>
      <c r="I311" s="6"/>
      <c r="J311" s="6"/>
      <c r="K311" s="59"/>
      <c r="L311" s="6"/>
      <c r="M311" s="6"/>
      <c r="N311" s="6"/>
      <c r="O311" s="6"/>
      <c r="P311" s="6"/>
    </row>
    <row r="312" ht="15.75" customHeight="1">
      <c r="A312" s="6"/>
      <c r="B312" s="6"/>
      <c r="C312" s="6"/>
      <c r="D312" s="6"/>
      <c r="E312" s="6"/>
      <c r="F312" s="6"/>
      <c r="G312" s="6"/>
      <c r="H312" s="39"/>
      <c r="I312" s="6"/>
      <c r="J312" s="6"/>
      <c r="K312" s="59"/>
      <c r="L312" s="6"/>
      <c r="M312" s="6"/>
      <c r="N312" s="6"/>
      <c r="O312" s="6"/>
      <c r="P312" s="6"/>
    </row>
    <row r="313" ht="15.75" customHeight="1">
      <c r="A313" s="6"/>
      <c r="B313" s="6"/>
      <c r="C313" s="6"/>
      <c r="D313" s="6"/>
      <c r="E313" s="6"/>
      <c r="F313" s="6"/>
      <c r="G313" s="6"/>
      <c r="H313" s="39"/>
      <c r="I313" s="6"/>
      <c r="J313" s="6"/>
      <c r="K313" s="59"/>
      <c r="L313" s="6"/>
      <c r="M313" s="6"/>
      <c r="N313" s="6"/>
      <c r="O313" s="6"/>
      <c r="P313" s="6"/>
    </row>
    <row r="314" ht="15.75" customHeight="1">
      <c r="A314" s="6"/>
      <c r="B314" s="6"/>
      <c r="C314" s="6"/>
      <c r="D314" s="6"/>
      <c r="E314" s="6"/>
      <c r="F314" s="6"/>
      <c r="G314" s="6"/>
      <c r="H314" s="39"/>
      <c r="I314" s="6"/>
      <c r="J314" s="6"/>
      <c r="K314" s="59"/>
      <c r="L314" s="6"/>
      <c r="M314" s="6"/>
      <c r="N314" s="6"/>
      <c r="O314" s="6"/>
      <c r="P314" s="6"/>
    </row>
    <row r="315" ht="15.75" customHeight="1">
      <c r="A315" s="6"/>
      <c r="B315" s="6"/>
      <c r="C315" s="6"/>
      <c r="D315" s="6"/>
      <c r="E315" s="6"/>
      <c r="F315" s="6"/>
      <c r="G315" s="6"/>
      <c r="H315" s="39"/>
      <c r="I315" s="6"/>
      <c r="J315" s="6"/>
      <c r="K315" s="59"/>
      <c r="L315" s="6"/>
      <c r="M315" s="6"/>
      <c r="N315" s="6"/>
      <c r="O315" s="6"/>
      <c r="P315" s="6"/>
    </row>
    <row r="316" ht="15.75" customHeight="1">
      <c r="A316" s="6"/>
      <c r="B316" s="6"/>
      <c r="C316" s="6"/>
      <c r="D316" s="6"/>
      <c r="E316" s="6"/>
      <c r="F316" s="6"/>
      <c r="G316" s="6"/>
      <c r="H316" s="39"/>
      <c r="I316" s="6"/>
      <c r="J316" s="6"/>
      <c r="K316" s="59"/>
      <c r="L316" s="6"/>
      <c r="M316" s="6"/>
      <c r="N316" s="6"/>
      <c r="O316" s="6"/>
      <c r="P316" s="6"/>
    </row>
    <row r="317" ht="15.75" customHeight="1">
      <c r="A317" s="6"/>
      <c r="B317" s="6"/>
      <c r="C317" s="6"/>
      <c r="D317" s="6"/>
      <c r="E317" s="6"/>
      <c r="F317" s="6"/>
      <c r="G317" s="6"/>
      <c r="H317" s="39"/>
      <c r="I317" s="6"/>
      <c r="J317" s="6"/>
      <c r="K317" s="59"/>
      <c r="L317" s="6"/>
      <c r="M317" s="6"/>
      <c r="N317" s="6"/>
      <c r="O317" s="6"/>
      <c r="P317" s="6"/>
    </row>
    <row r="318" ht="15.75" customHeight="1">
      <c r="A318" s="6"/>
      <c r="B318" s="6"/>
      <c r="C318" s="6"/>
      <c r="D318" s="6"/>
      <c r="E318" s="6"/>
      <c r="F318" s="6"/>
      <c r="G318" s="6"/>
      <c r="H318" s="39"/>
      <c r="I318" s="6"/>
      <c r="J318" s="6"/>
      <c r="K318" s="59"/>
      <c r="L318" s="6"/>
      <c r="M318" s="6"/>
      <c r="N318" s="6"/>
      <c r="O318" s="6"/>
      <c r="P318" s="6"/>
    </row>
    <row r="319" ht="15.75" customHeight="1">
      <c r="A319" s="6"/>
      <c r="B319" s="6"/>
      <c r="C319" s="6"/>
      <c r="D319" s="6"/>
      <c r="E319" s="6"/>
      <c r="F319" s="6"/>
      <c r="G319" s="6"/>
      <c r="H319" s="39"/>
      <c r="I319" s="6"/>
      <c r="J319" s="6"/>
      <c r="K319" s="59"/>
      <c r="L319" s="6"/>
      <c r="M319" s="6"/>
      <c r="N319" s="6"/>
      <c r="O319" s="6"/>
      <c r="P319" s="6"/>
    </row>
    <row r="320" ht="15.75" customHeight="1">
      <c r="A320" s="6"/>
      <c r="B320" s="6"/>
      <c r="C320" s="6"/>
      <c r="D320" s="6"/>
      <c r="E320" s="6"/>
      <c r="F320" s="6"/>
      <c r="G320" s="6"/>
      <c r="H320" s="39"/>
      <c r="I320" s="6"/>
      <c r="J320" s="6"/>
      <c r="K320" s="59"/>
      <c r="L320" s="6"/>
      <c r="M320" s="6"/>
      <c r="N320" s="6"/>
      <c r="O320" s="6"/>
      <c r="P320" s="6"/>
    </row>
    <row r="321" ht="15.75" customHeight="1">
      <c r="A321" s="6"/>
      <c r="B321" s="6"/>
      <c r="C321" s="6"/>
      <c r="D321" s="6"/>
      <c r="E321" s="6"/>
      <c r="F321" s="6"/>
      <c r="G321" s="6"/>
      <c r="H321" s="39"/>
      <c r="I321" s="6"/>
      <c r="J321" s="6"/>
      <c r="K321" s="59"/>
      <c r="L321" s="6"/>
      <c r="M321" s="6"/>
      <c r="N321" s="6"/>
      <c r="O321" s="6"/>
      <c r="P321" s="6"/>
    </row>
    <row r="322" ht="15.75" customHeight="1">
      <c r="A322" s="6"/>
      <c r="B322" s="6"/>
      <c r="C322" s="6"/>
      <c r="D322" s="6"/>
      <c r="E322" s="6"/>
      <c r="F322" s="6"/>
      <c r="G322" s="6"/>
      <c r="H322" s="39"/>
      <c r="I322" s="6"/>
      <c r="J322" s="6"/>
      <c r="K322" s="59"/>
      <c r="L322" s="6"/>
      <c r="M322" s="6"/>
      <c r="N322" s="6"/>
      <c r="O322" s="6"/>
      <c r="P322" s="6"/>
    </row>
    <row r="323" ht="15.75" customHeight="1">
      <c r="A323" s="6"/>
      <c r="B323" s="6"/>
      <c r="C323" s="6"/>
      <c r="D323" s="6"/>
      <c r="E323" s="6"/>
      <c r="F323" s="6"/>
      <c r="G323" s="6"/>
      <c r="H323" s="39"/>
      <c r="I323" s="6"/>
      <c r="J323" s="6"/>
      <c r="K323" s="59"/>
      <c r="L323" s="6"/>
      <c r="M323" s="6"/>
      <c r="N323" s="6"/>
      <c r="O323" s="6"/>
      <c r="P323" s="6"/>
    </row>
    <row r="324" ht="15.75" customHeight="1">
      <c r="A324" s="6"/>
      <c r="B324" s="6"/>
      <c r="C324" s="6"/>
      <c r="D324" s="6"/>
      <c r="E324" s="6"/>
      <c r="F324" s="6"/>
      <c r="G324" s="6"/>
      <c r="H324" s="39"/>
      <c r="I324" s="6"/>
      <c r="J324" s="6"/>
      <c r="K324" s="59"/>
      <c r="L324" s="6"/>
      <c r="M324" s="6"/>
      <c r="N324" s="6"/>
      <c r="O324" s="6"/>
      <c r="P324" s="6"/>
    </row>
    <row r="325" ht="15.75" customHeight="1">
      <c r="A325" s="6"/>
      <c r="B325" s="6"/>
      <c r="C325" s="6"/>
      <c r="D325" s="6"/>
      <c r="E325" s="6"/>
      <c r="F325" s="6"/>
      <c r="G325" s="6"/>
      <c r="H325" s="39"/>
      <c r="I325" s="6"/>
      <c r="J325" s="6"/>
      <c r="K325" s="59"/>
      <c r="L325" s="6"/>
      <c r="M325" s="6"/>
      <c r="N325" s="6"/>
      <c r="O325" s="6"/>
      <c r="P325" s="6"/>
    </row>
    <row r="326" ht="15.75" customHeight="1">
      <c r="A326" s="6"/>
      <c r="B326" s="6"/>
      <c r="C326" s="6"/>
      <c r="D326" s="6"/>
      <c r="E326" s="6"/>
      <c r="F326" s="6"/>
      <c r="G326" s="6"/>
      <c r="H326" s="39"/>
      <c r="I326" s="6"/>
      <c r="J326" s="6"/>
      <c r="K326" s="59"/>
      <c r="L326" s="6"/>
      <c r="M326" s="6"/>
      <c r="N326" s="6"/>
      <c r="O326" s="6"/>
      <c r="P326" s="6"/>
    </row>
    <row r="327" ht="15.75" customHeight="1">
      <c r="A327" s="6"/>
      <c r="B327" s="6"/>
      <c r="C327" s="6"/>
      <c r="D327" s="6"/>
      <c r="E327" s="6"/>
      <c r="F327" s="6"/>
      <c r="G327" s="6"/>
      <c r="H327" s="39"/>
      <c r="I327" s="6"/>
      <c r="J327" s="6"/>
      <c r="K327" s="59"/>
      <c r="L327" s="6"/>
      <c r="M327" s="6"/>
      <c r="N327" s="6"/>
      <c r="O327" s="6"/>
      <c r="P327" s="6"/>
    </row>
    <row r="328" ht="15.75" customHeight="1">
      <c r="A328" s="6"/>
      <c r="B328" s="6"/>
      <c r="C328" s="6"/>
      <c r="D328" s="6"/>
      <c r="E328" s="6"/>
      <c r="F328" s="6"/>
      <c r="G328" s="6"/>
      <c r="H328" s="39"/>
      <c r="I328" s="6"/>
      <c r="J328" s="6"/>
      <c r="K328" s="59"/>
      <c r="L328" s="6"/>
      <c r="M328" s="6"/>
      <c r="N328" s="6"/>
      <c r="O328" s="6"/>
      <c r="P328" s="6"/>
    </row>
    <row r="329" ht="15.75" customHeight="1">
      <c r="A329" s="6"/>
      <c r="B329" s="6"/>
      <c r="C329" s="6"/>
      <c r="D329" s="6"/>
      <c r="E329" s="6"/>
      <c r="F329" s="6"/>
      <c r="G329" s="6"/>
      <c r="H329" s="39"/>
      <c r="I329" s="6"/>
      <c r="J329" s="6"/>
      <c r="K329" s="59"/>
      <c r="L329" s="6"/>
      <c r="M329" s="6"/>
      <c r="N329" s="6"/>
      <c r="O329" s="6"/>
      <c r="P329" s="6"/>
    </row>
    <row r="330" ht="15.75" customHeight="1">
      <c r="A330" s="6"/>
      <c r="B330" s="6"/>
      <c r="C330" s="6"/>
      <c r="D330" s="6"/>
      <c r="E330" s="6"/>
      <c r="F330" s="6"/>
      <c r="G330" s="6"/>
      <c r="H330" s="39"/>
      <c r="I330" s="6"/>
      <c r="J330" s="6"/>
      <c r="K330" s="59"/>
      <c r="L330" s="6"/>
      <c r="M330" s="6"/>
      <c r="N330" s="6"/>
      <c r="O330" s="6"/>
      <c r="P330" s="6"/>
    </row>
    <row r="331" ht="15.75" customHeight="1">
      <c r="A331" s="6"/>
      <c r="B331" s="6"/>
      <c r="C331" s="6"/>
      <c r="D331" s="6"/>
      <c r="E331" s="6"/>
      <c r="F331" s="6"/>
      <c r="G331" s="6"/>
      <c r="H331" s="39"/>
      <c r="I331" s="6"/>
      <c r="J331" s="6"/>
      <c r="K331" s="59"/>
      <c r="L331" s="6"/>
      <c r="M331" s="6"/>
      <c r="N331" s="6"/>
      <c r="O331" s="6"/>
      <c r="P331" s="6"/>
    </row>
    <row r="332" ht="15.75" customHeight="1">
      <c r="A332" s="6"/>
      <c r="B332" s="6"/>
      <c r="C332" s="6"/>
      <c r="D332" s="6"/>
      <c r="E332" s="6"/>
      <c r="F332" s="6"/>
      <c r="G332" s="6"/>
      <c r="H332" s="39"/>
      <c r="I332" s="6"/>
      <c r="J332" s="6"/>
      <c r="K332" s="59"/>
      <c r="L332" s="6"/>
      <c r="M332" s="6"/>
      <c r="N332" s="6"/>
      <c r="O332" s="6"/>
      <c r="P332" s="6"/>
    </row>
    <row r="333" ht="15.75" customHeight="1">
      <c r="A333" s="6"/>
      <c r="B333" s="6"/>
      <c r="C333" s="6"/>
      <c r="D333" s="6"/>
      <c r="E333" s="6"/>
      <c r="F333" s="6"/>
      <c r="G333" s="6"/>
      <c r="H333" s="39"/>
      <c r="I333" s="6"/>
      <c r="J333" s="6"/>
      <c r="K333" s="59"/>
      <c r="L333" s="6"/>
      <c r="M333" s="6"/>
      <c r="N333" s="6"/>
      <c r="O333" s="6"/>
      <c r="P333" s="6"/>
    </row>
    <row r="334" ht="15.75" customHeight="1">
      <c r="A334" s="6"/>
      <c r="B334" s="6"/>
      <c r="C334" s="6"/>
      <c r="D334" s="6"/>
      <c r="E334" s="6"/>
      <c r="F334" s="6"/>
      <c r="G334" s="6"/>
      <c r="H334" s="39"/>
      <c r="I334" s="6"/>
      <c r="J334" s="6"/>
      <c r="K334" s="59"/>
      <c r="L334" s="6"/>
      <c r="M334" s="6"/>
      <c r="N334" s="6"/>
      <c r="O334" s="6"/>
      <c r="P334" s="6"/>
    </row>
    <row r="335" ht="15.75" customHeight="1">
      <c r="A335" s="6"/>
      <c r="B335" s="6"/>
      <c r="C335" s="6"/>
      <c r="D335" s="6"/>
      <c r="E335" s="6"/>
      <c r="F335" s="6"/>
      <c r="G335" s="6"/>
      <c r="H335" s="39"/>
      <c r="I335" s="6"/>
      <c r="J335" s="6"/>
      <c r="K335" s="59"/>
      <c r="L335" s="6"/>
      <c r="M335" s="6"/>
      <c r="N335" s="6"/>
      <c r="O335" s="6"/>
      <c r="P335" s="6"/>
    </row>
    <row r="336" ht="15.75" customHeight="1">
      <c r="A336" s="6"/>
      <c r="B336" s="6"/>
      <c r="C336" s="6"/>
      <c r="D336" s="6"/>
      <c r="E336" s="6"/>
      <c r="F336" s="6"/>
      <c r="G336" s="6"/>
      <c r="H336" s="39"/>
      <c r="I336" s="6"/>
      <c r="J336" s="6"/>
      <c r="K336" s="59"/>
      <c r="L336" s="6"/>
      <c r="M336" s="6"/>
      <c r="N336" s="6"/>
      <c r="O336" s="6"/>
      <c r="P336" s="6"/>
    </row>
    <row r="337" ht="15.75" customHeight="1">
      <c r="A337" s="6"/>
      <c r="B337" s="6"/>
      <c r="C337" s="6"/>
      <c r="D337" s="6"/>
      <c r="E337" s="6"/>
      <c r="F337" s="6"/>
      <c r="G337" s="6"/>
      <c r="H337" s="39"/>
      <c r="I337" s="6"/>
      <c r="J337" s="6"/>
      <c r="K337" s="59"/>
      <c r="L337" s="6"/>
      <c r="M337" s="6"/>
      <c r="N337" s="6"/>
      <c r="O337" s="6"/>
      <c r="P337" s="6"/>
    </row>
    <row r="338" ht="15.75" customHeight="1">
      <c r="A338" s="6"/>
      <c r="B338" s="6"/>
      <c r="C338" s="6"/>
      <c r="D338" s="6"/>
      <c r="E338" s="6"/>
      <c r="F338" s="6"/>
      <c r="G338" s="6"/>
      <c r="H338" s="39"/>
      <c r="I338" s="6"/>
      <c r="J338" s="6"/>
      <c r="K338" s="59"/>
      <c r="L338" s="6"/>
      <c r="M338" s="6"/>
      <c r="N338" s="6"/>
      <c r="O338" s="6"/>
      <c r="P338" s="6"/>
    </row>
    <row r="339" ht="15.75" customHeight="1">
      <c r="A339" s="6"/>
      <c r="B339" s="6"/>
      <c r="C339" s="6"/>
      <c r="D339" s="6"/>
      <c r="E339" s="6"/>
      <c r="F339" s="6"/>
      <c r="G339" s="6"/>
      <c r="H339" s="39"/>
      <c r="I339" s="6"/>
      <c r="J339" s="6"/>
      <c r="K339" s="59"/>
      <c r="L339" s="6"/>
      <c r="M339" s="6"/>
      <c r="N339" s="6"/>
      <c r="O339" s="6"/>
      <c r="P339" s="6"/>
    </row>
    <row r="340" ht="15.75" customHeight="1">
      <c r="A340" s="6"/>
      <c r="B340" s="6"/>
      <c r="C340" s="6"/>
      <c r="D340" s="6"/>
      <c r="E340" s="6"/>
      <c r="F340" s="6"/>
      <c r="G340" s="6"/>
      <c r="H340" s="39"/>
      <c r="I340" s="6"/>
      <c r="J340" s="6"/>
      <c r="K340" s="59"/>
      <c r="L340" s="6"/>
      <c r="M340" s="6"/>
      <c r="N340" s="6"/>
      <c r="O340" s="6"/>
      <c r="P340" s="6"/>
    </row>
    <row r="341" ht="15.75" customHeight="1">
      <c r="A341" s="6"/>
      <c r="B341" s="6"/>
      <c r="C341" s="6"/>
      <c r="D341" s="6"/>
      <c r="E341" s="6"/>
      <c r="F341" s="6"/>
      <c r="G341" s="6"/>
      <c r="H341" s="39"/>
      <c r="I341" s="6"/>
      <c r="J341" s="6"/>
      <c r="K341" s="59"/>
      <c r="L341" s="6"/>
      <c r="M341" s="6"/>
      <c r="N341" s="6"/>
      <c r="O341" s="6"/>
      <c r="P341" s="6"/>
    </row>
    <row r="342" ht="15.75" customHeight="1">
      <c r="A342" s="6"/>
      <c r="B342" s="6"/>
      <c r="C342" s="6"/>
      <c r="D342" s="6"/>
      <c r="E342" s="6"/>
      <c r="F342" s="6"/>
      <c r="G342" s="6"/>
      <c r="H342" s="39"/>
      <c r="I342" s="6"/>
      <c r="J342" s="6"/>
      <c r="K342" s="59"/>
      <c r="L342" s="6"/>
      <c r="M342" s="6"/>
      <c r="N342" s="6"/>
      <c r="O342" s="6"/>
      <c r="P342" s="6"/>
    </row>
    <row r="343" ht="15.75" customHeight="1">
      <c r="A343" s="6"/>
      <c r="B343" s="6"/>
      <c r="C343" s="6"/>
      <c r="D343" s="6"/>
      <c r="E343" s="6"/>
      <c r="F343" s="6"/>
      <c r="G343" s="6"/>
      <c r="H343" s="39"/>
      <c r="I343" s="6"/>
      <c r="J343" s="6"/>
      <c r="K343" s="59"/>
      <c r="L343" s="6"/>
      <c r="M343" s="6"/>
      <c r="N343" s="6"/>
      <c r="O343" s="6"/>
      <c r="P343" s="6"/>
    </row>
    <row r="344" ht="15.75" customHeight="1">
      <c r="A344" s="6"/>
      <c r="B344" s="6"/>
      <c r="C344" s="6"/>
      <c r="D344" s="6"/>
      <c r="E344" s="6"/>
      <c r="F344" s="6"/>
      <c r="G344" s="6"/>
      <c r="H344" s="39"/>
      <c r="I344" s="6"/>
      <c r="J344" s="6"/>
      <c r="K344" s="59"/>
      <c r="L344" s="6"/>
      <c r="M344" s="6"/>
      <c r="N344" s="6"/>
      <c r="O344" s="6"/>
      <c r="P344" s="6"/>
    </row>
    <row r="345" ht="15.75" customHeight="1">
      <c r="A345" s="6"/>
      <c r="B345" s="6"/>
      <c r="C345" s="6"/>
      <c r="D345" s="6"/>
      <c r="E345" s="6"/>
      <c r="F345" s="6"/>
      <c r="G345" s="6"/>
      <c r="H345" s="39"/>
      <c r="I345" s="6"/>
      <c r="J345" s="6"/>
      <c r="K345" s="59"/>
      <c r="L345" s="6"/>
      <c r="M345" s="6"/>
      <c r="N345" s="6"/>
      <c r="O345" s="6"/>
      <c r="P345" s="6"/>
    </row>
    <row r="346" ht="15.75" customHeight="1">
      <c r="A346" s="6"/>
      <c r="B346" s="6"/>
      <c r="C346" s="6"/>
      <c r="D346" s="6"/>
      <c r="E346" s="6"/>
      <c r="F346" s="6"/>
      <c r="G346" s="6"/>
      <c r="H346" s="39"/>
      <c r="I346" s="6"/>
      <c r="J346" s="6"/>
      <c r="K346" s="59"/>
      <c r="L346" s="6"/>
      <c r="M346" s="6"/>
      <c r="N346" s="6"/>
      <c r="O346" s="6"/>
      <c r="P346" s="6"/>
    </row>
    <row r="347" ht="15.75" customHeight="1">
      <c r="A347" s="6"/>
      <c r="B347" s="6"/>
      <c r="C347" s="6"/>
      <c r="D347" s="6"/>
      <c r="E347" s="6"/>
      <c r="F347" s="6"/>
      <c r="G347" s="6"/>
      <c r="H347" s="39"/>
      <c r="I347" s="6"/>
      <c r="J347" s="6"/>
      <c r="K347" s="59"/>
      <c r="L347" s="6"/>
      <c r="M347" s="6"/>
      <c r="N347" s="6"/>
      <c r="O347" s="6"/>
      <c r="P347" s="6"/>
    </row>
    <row r="348" ht="15.75" customHeight="1">
      <c r="A348" s="6"/>
      <c r="B348" s="6"/>
      <c r="C348" s="6"/>
      <c r="D348" s="6"/>
      <c r="E348" s="6"/>
      <c r="F348" s="6"/>
      <c r="G348" s="6"/>
      <c r="H348" s="39"/>
      <c r="I348" s="6"/>
      <c r="J348" s="6"/>
      <c r="K348" s="59"/>
      <c r="L348" s="6"/>
      <c r="M348" s="6"/>
      <c r="N348" s="6"/>
      <c r="O348" s="6"/>
      <c r="P348" s="6"/>
    </row>
    <row r="349" ht="15.75" customHeight="1">
      <c r="A349" s="6"/>
      <c r="B349" s="6"/>
      <c r="C349" s="6"/>
      <c r="D349" s="6"/>
      <c r="E349" s="6"/>
      <c r="F349" s="6"/>
      <c r="G349" s="6"/>
      <c r="H349" s="39"/>
      <c r="I349" s="6"/>
      <c r="J349" s="6"/>
      <c r="K349" s="59"/>
      <c r="L349" s="6"/>
      <c r="M349" s="6"/>
      <c r="N349" s="6"/>
      <c r="O349" s="6"/>
      <c r="P349" s="6"/>
    </row>
    <row r="350" ht="15.75" customHeight="1">
      <c r="A350" s="6"/>
      <c r="B350" s="6"/>
      <c r="C350" s="6"/>
      <c r="D350" s="6"/>
      <c r="E350" s="6"/>
      <c r="F350" s="6"/>
      <c r="G350" s="6"/>
      <c r="H350" s="39"/>
      <c r="I350" s="6"/>
      <c r="J350" s="6"/>
      <c r="K350" s="59"/>
      <c r="L350" s="6"/>
      <c r="M350" s="6"/>
      <c r="N350" s="6"/>
      <c r="O350" s="6"/>
      <c r="P350" s="6"/>
    </row>
    <row r="351" ht="15.75" customHeight="1">
      <c r="A351" s="6"/>
      <c r="B351" s="6"/>
      <c r="C351" s="6"/>
      <c r="D351" s="6"/>
      <c r="E351" s="6"/>
      <c r="F351" s="6"/>
      <c r="G351" s="6"/>
      <c r="H351" s="39"/>
      <c r="I351" s="6"/>
      <c r="J351" s="6"/>
      <c r="K351" s="59"/>
      <c r="L351" s="6"/>
      <c r="M351" s="6"/>
      <c r="N351" s="6"/>
      <c r="O351" s="6"/>
      <c r="P351" s="6"/>
    </row>
    <row r="352" ht="15.75" customHeight="1">
      <c r="A352" s="6"/>
      <c r="B352" s="6"/>
      <c r="C352" s="6"/>
      <c r="D352" s="6"/>
      <c r="E352" s="6"/>
      <c r="F352" s="6"/>
      <c r="G352" s="6"/>
      <c r="H352" s="39"/>
      <c r="I352" s="6"/>
      <c r="J352" s="6"/>
      <c r="K352" s="59"/>
      <c r="L352" s="6"/>
      <c r="M352" s="6"/>
      <c r="N352" s="6"/>
      <c r="O352" s="6"/>
      <c r="P352" s="6"/>
    </row>
    <row r="353" ht="15.75" customHeight="1">
      <c r="A353" s="6"/>
      <c r="B353" s="6"/>
      <c r="C353" s="6"/>
      <c r="D353" s="6"/>
      <c r="E353" s="6"/>
      <c r="F353" s="6"/>
      <c r="G353" s="6"/>
      <c r="H353" s="39"/>
      <c r="I353" s="6"/>
      <c r="J353" s="6"/>
      <c r="K353" s="59"/>
      <c r="L353" s="6"/>
      <c r="M353" s="6"/>
      <c r="N353" s="6"/>
      <c r="O353" s="6"/>
      <c r="P353" s="6"/>
    </row>
    <row r="354" ht="15.75" customHeight="1">
      <c r="A354" s="6"/>
      <c r="B354" s="6"/>
      <c r="C354" s="6"/>
      <c r="D354" s="6"/>
      <c r="E354" s="6"/>
      <c r="F354" s="6"/>
      <c r="G354" s="6"/>
      <c r="H354" s="39"/>
      <c r="I354" s="6"/>
      <c r="J354" s="6"/>
      <c r="K354" s="59"/>
      <c r="L354" s="6"/>
      <c r="M354" s="6"/>
      <c r="N354" s="6"/>
      <c r="O354" s="6"/>
      <c r="P354" s="6"/>
    </row>
    <row r="355" ht="15.75" customHeight="1">
      <c r="A355" s="6"/>
      <c r="B355" s="6"/>
      <c r="C355" s="6"/>
      <c r="D355" s="6"/>
      <c r="E355" s="6"/>
      <c r="F355" s="6"/>
      <c r="G355" s="6"/>
      <c r="H355" s="39"/>
      <c r="I355" s="6"/>
      <c r="J355" s="6"/>
      <c r="K355" s="59"/>
      <c r="L355" s="6"/>
      <c r="M355" s="6"/>
      <c r="N355" s="6"/>
      <c r="O355" s="6"/>
      <c r="P355" s="6"/>
    </row>
    <row r="356" ht="15.75" customHeight="1">
      <c r="A356" s="6"/>
      <c r="B356" s="6"/>
      <c r="C356" s="6"/>
      <c r="D356" s="6"/>
      <c r="E356" s="6"/>
      <c r="F356" s="6"/>
      <c r="G356" s="6"/>
      <c r="H356" s="39"/>
      <c r="I356" s="6"/>
      <c r="J356" s="6"/>
      <c r="K356" s="59"/>
      <c r="L356" s="6"/>
      <c r="M356" s="6"/>
      <c r="N356" s="6"/>
      <c r="O356" s="6"/>
      <c r="P356" s="6"/>
    </row>
    <row r="357" ht="15.75" customHeight="1">
      <c r="A357" s="6"/>
      <c r="B357" s="6"/>
      <c r="C357" s="6"/>
      <c r="D357" s="6"/>
      <c r="E357" s="6"/>
      <c r="F357" s="6"/>
      <c r="G357" s="6"/>
      <c r="H357" s="39"/>
      <c r="I357" s="6"/>
      <c r="J357" s="6"/>
      <c r="K357" s="59"/>
      <c r="L357" s="6"/>
      <c r="M357" s="6"/>
      <c r="N357" s="6"/>
      <c r="O357" s="6"/>
      <c r="P357" s="6"/>
    </row>
    <row r="358" ht="15.75" customHeight="1">
      <c r="A358" s="6"/>
      <c r="B358" s="6"/>
      <c r="C358" s="6"/>
      <c r="D358" s="6"/>
      <c r="E358" s="6"/>
      <c r="F358" s="6"/>
      <c r="G358" s="6"/>
      <c r="H358" s="39"/>
      <c r="I358" s="6"/>
      <c r="J358" s="6"/>
      <c r="K358" s="59"/>
      <c r="L358" s="6"/>
      <c r="M358" s="6"/>
      <c r="N358" s="6"/>
      <c r="O358" s="6"/>
      <c r="P358" s="6"/>
    </row>
    <row r="359" ht="15.75" customHeight="1">
      <c r="A359" s="6"/>
      <c r="B359" s="6"/>
      <c r="C359" s="6"/>
      <c r="D359" s="6"/>
      <c r="E359" s="6"/>
      <c r="F359" s="6"/>
      <c r="G359" s="6"/>
      <c r="H359" s="39"/>
      <c r="I359" s="6"/>
      <c r="J359" s="6"/>
      <c r="K359" s="59"/>
      <c r="L359" s="6"/>
      <c r="M359" s="6"/>
      <c r="N359" s="6"/>
      <c r="O359" s="6"/>
      <c r="P359" s="6"/>
    </row>
    <row r="360" ht="15.75" customHeight="1">
      <c r="A360" s="6"/>
      <c r="B360" s="6"/>
      <c r="C360" s="6"/>
      <c r="D360" s="6"/>
      <c r="E360" s="6"/>
      <c r="F360" s="6"/>
      <c r="G360" s="6"/>
      <c r="H360" s="39"/>
      <c r="I360" s="6"/>
      <c r="J360" s="6"/>
      <c r="K360" s="59"/>
      <c r="L360" s="6"/>
      <c r="M360" s="6"/>
      <c r="N360" s="6"/>
      <c r="O360" s="6"/>
      <c r="P360" s="6"/>
    </row>
    <row r="361" ht="15.75" customHeight="1">
      <c r="A361" s="6"/>
      <c r="B361" s="6"/>
      <c r="C361" s="6"/>
      <c r="D361" s="6"/>
      <c r="E361" s="6"/>
      <c r="F361" s="6"/>
      <c r="G361" s="6"/>
      <c r="H361" s="39"/>
      <c r="I361" s="6"/>
      <c r="J361" s="6"/>
      <c r="K361" s="59"/>
      <c r="L361" s="6"/>
      <c r="M361" s="6"/>
      <c r="N361" s="6"/>
      <c r="O361" s="6"/>
      <c r="P361" s="6"/>
    </row>
    <row r="362" ht="15.75" customHeight="1">
      <c r="A362" s="6"/>
      <c r="B362" s="6"/>
      <c r="C362" s="6"/>
      <c r="D362" s="6"/>
      <c r="E362" s="6"/>
      <c r="F362" s="6"/>
      <c r="G362" s="6"/>
      <c r="H362" s="39"/>
      <c r="I362" s="6"/>
      <c r="J362" s="6"/>
      <c r="K362" s="59"/>
      <c r="L362" s="6"/>
      <c r="M362" s="6"/>
      <c r="N362" s="6"/>
      <c r="O362" s="6"/>
      <c r="P362" s="6"/>
    </row>
    <row r="363" ht="15.75" customHeight="1">
      <c r="A363" s="6"/>
      <c r="B363" s="6"/>
      <c r="C363" s="6"/>
      <c r="D363" s="6"/>
      <c r="E363" s="6"/>
      <c r="F363" s="6"/>
      <c r="G363" s="6"/>
      <c r="H363" s="39"/>
      <c r="I363" s="6"/>
      <c r="J363" s="6"/>
      <c r="K363" s="59"/>
      <c r="L363" s="6"/>
      <c r="M363" s="6"/>
      <c r="N363" s="6"/>
      <c r="O363" s="6"/>
      <c r="P363" s="6"/>
    </row>
    <row r="364" ht="15.75" customHeight="1">
      <c r="A364" s="6"/>
      <c r="B364" s="6"/>
      <c r="C364" s="6"/>
      <c r="D364" s="6"/>
      <c r="E364" s="6"/>
      <c r="F364" s="6"/>
      <c r="G364" s="6"/>
      <c r="H364" s="39"/>
      <c r="I364" s="6"/>
      <c r="J364" s="6"/>
      <c r="K364" s="59"/>
      <c r="L364" s="6"/>
      <c r="M364" s="6"/>
      <c r="N364" s="6"/>
      <c r="O364" s="6"/>
      <c r="P364" s="6"/>
    </row>
    <row r="365" ht="15.75" customHeight="1">
      <c r="A365" s="6"/>
      <c r="B365" s="6"/>
      <c r="C365" s="6"/>
      <c r="D365" s="6"/>
      <c r="E365" s="6"/>
      <c r="F365" s="6"/>
      <c r="G365" s="6"/>
      <c r="H365" s="39"/>
      <c r="I365" s="6"/>
      <c r="J365" s="6"/>
      <c r="K365" s="59"/>
      <c r="L365" s="6"/>
      <c r="M365" s="6"/>
      <c r="N365" s="6"/>
      <c r="O365" s="6"/>
      <c r="P365" s="6"/>
    </row>
    <row r="366" ht="15.75" customHeight="1">
      <c r="A366" s="6"/>
      <c r="B366" s="6"/>
      <c r="C366" s="6"/>
      <c r="D366" s="6"/>
      <c r="E366" s="6"/>
      <c r="F366" s="6"/>
      <c r="G366" s="6"/>
      <c r="H366" s="39"/>
      <c r="I366" s="6"/>
      <c r="J366" s="6"/>
      <c r="K366" s="59"/>
      <c r="L366" s="6"/>
      <c r="M366" s="6"/>
      <c r="N366" s="6"/>
      <c r="O366" s="6"/>
      <c r="P366" s="6"/>
    </row>
    <row r="367" ht="15.75" customHeight="1">
      <c r="A367" s="6"/>
      <c r="B367" s="6"/>
      <c r="C367" s="6"/>
      <c r="D367" s="6"/>
      <c r="E367" s="6"/>
      <c r="F367" s="6"/>
      <c r="G367" s="6"/>
      <c r="H367" s="39"/>
      <c r="I367" s="6"/>
      <c r="J367" s="6"/>
      <c r="K367" s="59"/>
      <c r="L367" s="6"/>
      <c r="M367" s="6"/>
      <c r="N367" s="6"/>
      <c r="O367" s="6"/>
      <c r="P367" s="6"/>
    </row>
    <row r="368" ht="15.75" customHeight="1">
      <c r="A368" s="6"/>
      <c r="B368" s="6"/>
      <c r="C368" s="6"/>
      <c r="D368" s="6"/>
      <c r="E368" s="6"/>
      <c r="F368" s="6"/>
      <c r="G368" s="6"/>
      <c r="H368" s="39"/>
      <c r="I368" s="6"/>
      <c r="J368" s="6"/>
      <c r="K368" s="59"/>
      <c r="L368" s="6"/>
      <c r="M368" s="6"/>
      <c r="N368" s="6"/>
      <c r="O368" s="6"/>
      <c r="P368" s="6"/>
    </row>
    <row r="369" ht="15.75" customHeight="1">
      <c r="A369" s="6"/>
      <c r="B369" s="6"/>
      <c r="C369" s="6"/>
      <c r="D369" s="6"/>
      <c r="E369" s="6"/>
      <c r="F369" s="6"/>
      <c r="G369" s="6"/>
      <c r="H369" s="39"/>
      <c r="I369" s="6"/>
      <c r="J369" s="6"/>
      <c r="K369" s="59"/>
      <c r="L369" s="6"/>
      <c r="M369" s="6"/>
      <c r="N369" s="6"/>
      <c r="O369" s="6"/>
      <c r="P369" s="6"/>
    </row>
    <row r="370" ht="15.75" customHeight="1">
      <c r="A370" s="6"/>
      <c r="B370" s="6"/>
      <c r="C370" s="6"/>
      <c r="D370" s="6"/>
      <c r="E370" s="6"/>
      <c r="F370" s="6"/>
      <c r="G370" s="6"/>
      <c r="H370" s="39"/>
      <c r="I370" s="6"/>
      <c r="J370" s="6"/>
      <c r="K370" s="59"/>
      <c r="L370" s="6"/>
      <c r="M370" s="6"/>
      <c r="N370" s="6"/>
      <c r="O370" s="6"/>
      <c r="P370" s="6"/>
    </row>
    <row r="371" ht="15.75" customHeight="1">
      <c r="A371" s="6"/>
      <c r="B371" s="6"/>
      <c r="C371" s="6"/>
      <c r="D371" s="6"/>
      <c r="E371" s="6"/>
      <c r="F371" s="6"/>
      <c r="G371" s="6"/>
      <c r="H371" s="39"/>
      <c r="I371" s="6"/>
      <c r="J371" s="6"/>
      <c r="K371" s="59"/>
      <c r="L371" s="6"/>
      <c r="M371" s="6"/>
      <c r="N371" s="6"/>
      <c r="O371" s="6"/>
      <c r="P371" s="6"/>
    </row>
    <row r="372" ht="15.75" customHeight="1">
      <c r="A372" s="6"/>
      <c r="B372" s="6"/>
      <c r="C372" s="6"/>
      <c r="D372" s="6"/>
      <c r="E372" s="6"/>
      <c r="F372" s="6"/>
      <c r="G372" s="6"/>
      <c r="H372" s="39"/>
      <c r="I372" s="6"/>
      <c r="J372" s="6"/>
      <c r="K372" s="59"/>
      <c r="L372" s="6"/>
      <c r="M372" s="6"/>
      <c r="N372" s="6"/>
      <c r="O372" s="6"/>
      <c r="P372" s="6"/>
    </row>
    <row r="373" ht="15.75" customHeight="1">
      <c r="A373" s="6"/>
      <c r="B373" s="6"/>
      <c r="C373" s="6"/>
      <c r="D373" s="6"/>
      <c r="E373" s="6"/>
      <c r="F373" s="6"/>
      <c r="G373" s="6"/>
      <c r="H373" s="39"/>
      <c r="I373" s="6"/>
      <c r="J373" s="6"/>
      <c r="K373" s="59"/>
      <c r="L373" s="6"/>
      <c r="M373" s="6"/>
      <c r="N373" s="6"/>
      <c r="O373" s="6"/>
      <c r="P373" s="6"/>
    </row>
    <row r="374" ht="15.75" customHeight="1">
      <c r="A374" s="6"/>
      <c r="B374" s="6"/>
      <c r="C374" s="6"/>
      <c r="D374" s="6"/>
      <c r="E374" s="6"/>
      <c r="F374" s="6"/>
      <c r="G374" s="6"/>
      <c r="H374" s="39"/>
      <c r="I374" s="6"/>
      <c r="J374" s="6"/>
      <c r="K374" s="59"/>
      <c r="L374" s="6"/>
      <c r="M374" s="6"/>
      <c r="N374" s="6"/>
      <c r="O374" s="6"/>
      <c r="P374" s="6"/>
    </row>
    <row r="375" ht="15.75" customHeight="1">
      <c r="A375" s="6"/>
      <c r="B375" s="6"/>
      <c r="C375" s="6"/>
      <c r="D375" s="6"/>
      <c r="E375" s="6"/>
      <c r="F375" s="6"/>
      <c r="G375" s="6"/>
      <c r="H375" s="39"/>
      <c r="I375" s="6"/>
      <c r="J375" s="6"/>
      <c r="K375" s="59"/>
      <c r="L375" s="6"/>
      <c r="M375" s="6"/>
      <c r="N375" s="6"/>
      <c r="O375" s="6"/>
      <c r="P375" s="6"/>
    </row>
    <row r="376" ht="15.75" customHeight="1">
      <c r="A376" s="6"/>
      <c r="B376" s="6"/>
      <c r="C376" s="6"/>
      <c r="D376" s="6"/>
      <c r="E376" s="6"/>
      <c r="F376" s="6"/>
      <c r="G376" s="6"/>
      <c r="H376" s="39"/>
      <c r="I376" s="6"/>
      <c r="J376" s="6"/>
      <c r="K376" s="59"/>
      <c r="L376" s="6"/>
      <c r="M376" s="6"/>
      <c r="N376" s="6"/>
      <c r="O376" s="6"/>
      <c r="P376" s="6"/>
    </row>
    <row r="377" ht="15.75" customHeight="1">
      <c r="A377" s="6"/>
      <c r="B377" s="6"/>
      <c r="C377" s="6"/>
      <c r="D377" s="6"/>
      <c r="E377" s="6"/>
      <c r="F377" s="6"/>
      <c r="G377" s="6"/>
      <c r="H377" s="39"/>
      <c r="I377" s="6"/>
      <c r="J377" s="6"/>
      <c r="K377" s="59"/>
      <c r="L377" s="6"/>
      <c r="M377" s="6"/>
      <c r="N377" s="6"/>
      <c r="O377" s="6"/>
      <c r="P377" s="6"/>
    </row>
    <row r="378" ht="15.75" customHeight="1">
      <c r="A378" s="6"/>
      <c r="B378" s="6"/>
      <c r="C378" s="6"/>
      <c r="D378" s="6"/>
      <c r="E378" s="6"/>
      <c r="F378" s="6"/>
      <c r="G378" s="6"/>
      <c r="H378" s="39"/>
      <c r="I378" s="6"/>
      <c r="J378" s="6"/>
      <c r="K378" s="59"/>
      <c r="L378" s="6"/>
      <c r="M378" s="6"/>
      <c r="N378" s="6"/>
      <c r="O378" s="6"/>
      <c r="P378" s="6"/>
    </row>
    <row r="379" ht="15.75" customHeight="1">
      <c r="A379" s="6"/>
      <c r="B379" s="6"/>
      <c r="C379" s="6"/>
      <c r="D379" s="6"/>
      <c r="E379" s="6"/>
      <c r="F379" s="6"/>
      <c r="G379" s="6"/>
      <c r="H379" s="39"/>
      <c r="I379" s="6"/>
      <c r="J379" s="6"/>
      <c r="K379" s="59"/>
      <c r="L379" s="6"/>
      <c r="M379" s="6"/>
      <c r="N379" s="6"/>
      <c r="O379" s="6"/>
      <c r="P379" s="6"/>
    </row>
    <row r="380" ht="15.75" customHeight="1">
      <c r="A380" s="6"/>
      <c r="B380" s="6"/>
      <c r="C380" s="6"/>
      <c r="D380" s="6"/>
      <c r="E380" s="6"/>
      <c r="F380" s="6"/>
      <c r="G380" s="6"/>
      <c r="H380" s="39"/>
      <c r="I380" s="6"/>
      <c r="J380" s="6"/>
      <c r="K380" s="59"/>
      <c r="L380" s="6"/>
      <c r="M380" s="6"/>
      <c r="N380" s="6"/>
      <c r="O380" s="6"/>
      <c r="P380" s="6"/>
    </row>
    <row r="381" ht="15.75" customHeight="1">
      <c r="A381" s="6"/>
      <c r="B381" s="6"/>
      <c r="C381" s="6"/>
      <c r="D381" s="6"/>
      <c r="E381" s="6"/>
      <c r="F381" s="6"/>
      <c r="G381" s="6"/>
      <c r="H381" s="39"/>
      <c r="I381" s="6"/>
      <c r="J381" s="6"/>
      <c r="K381" s="59"/>
      <c r="L381" s="6"/>
      <c r="M381" s="6"/>
      <c r="N381" s="6"/>
      <c r="O381" s="6"/>
      <c r="P381" s="6"/>
    </row>
    <row r="382" ht="15.75" customHeight="1">
      <c r="A382" s="6"/>
      <c r="B382" s="6"/>
      <c r="C382" s="6"/>
      <c r="D382" s="6"/>
      <c r="E382" s="6"/>
      <c r="F382" s="6"/>
      <c r="G382" s="6"/>
      <c r="H382" s="39"/>
      <c r="I382" s="6"/>
      <c r="J382" s="6"/>
      <c r="K382" s="59"/>
      <c r="L382" s="6"/>
      <c r="M382" s="6"/>
      <c r="N382" s="6"/>
      <c r="O382" s="6"/>
      <c r="P382" s="6"/>
    </row>
    <row r="383" ht="15.75" customHeight="1">
      <c r="A383" s="6"/>
      <c r="B383" s="6"/>
      <c r="C383" s="6"/>
      <c r="D383" s="6"/>
      <c r="E383" s="6"/>
      <c r="F383" s="6"/>
      <c r="G383" s="6"/>
      <c r="H383" s="39"/>
      <c r="I383" s="6"/>
      <c r="J383" s="6"/>
      <c r="K383" s="59"/>
      <c r="L383" s="6"/>
      <c r="M383" s="6"/>
      <c r="N383" s="6"/>
      <c r="O383" s="6"/>
      <c r="P383" s="6"/>
    </row>
    <row r="384" ht="15.75" customHeight="1">
      <c r="A384" s="6"/>
      <c r="B384" s="6"/>
      <c r="C384" s="6"/>
      <c r="D384" s="6"/>
      <c r="E384" s="6"/>
      <c r="F384" s="6"/>
      <c r="G384" s="6"/>
      <c r="H384" s="39"/>
      <c r="I384" s="6"/>
      <c r="J384" s="6"/>
      <c r="K384" s="59"/>
      <c r="L384" s="6"/>
      <c r="M384" s="6"/>
      <c r="N384" s="6"/>
      <c r="O384" s="6"/>
      <c r="P384" s="6"/>
    </row>
    <row r="385" ht="15.75" customHeight="1">
      <c r="A385" s="6"/>
      <c r="B385" s="6"/>
      <c r="C385" s="6"/>
      <c r="D385" s="6"/>
      <c r="E385" s="6"/>
      <c r="F385" s="6"/>
      <c r="G385" s="6"/>
      <c r="H385" s="39"/>
      <c r="I385" s="6"/>
      <c r="J385" s="6"/>
      <c r="K385" s="59"/>
      <c r="L385" s="6"/>
      <c r="M385" s="6"/>
      <c r="N385" s="6"/>
      <c r="O385" s="6"/>
      <c r="P385" s="6"/>
    </row>
    <row r="386" ht="15.75" customHeight="1">
      <c r="A386" s="6"/>
      <c r="B386" s="6"/>
      <c r="C386" s="6"/>
      <c r="D386" s="6"/>
      <c r="E386" s="6"/>
      <c r="F386" s="6"/>
      <c r="G386" s="6"/>
      <c r="H386" s="39"/>
      <c r="I386" s="6"/>
      <c r="J386" s="6"/>
      <c r="K386" s="59"/>
      <c r="L386" s="6"/>
      <c r="M386" s="6"/>
      <c r="N386" s="6"/>
      <c r="O386" s="6"/>
      <c r="P386" s="6"/>
    </row>
    <row r="387" ht="15.75" customHeight="1">
      <c r="A387" s="6"/>
      <c r="B387" s="6"/>
      <c r="C387" s="6"/>
      <c r="D387" s="6"/>
      <c r="E387" s="6"/>
      <c r="F387" s="6"/>
      <c r="G387" s="6"/>
      <c r="H387" s="39"/>
      <c r="I387" s="6"/>
      <c r="J387" s="6"/>
      <c r="K387" s="59"/>
      <c r="L387" s="6"/>
      <c r="M387" s="6"/>
      <c r="N387" s="6"/>
      <c r="O387" s="6"/>
      <c r="P387" s="6"/>
    </row>
    <row r="388" ht="15.75" customHeight="1">
      <c r="A388" s="6"/>
      <c r="B388" s="6"/>
      <c r="C388" s="6"/>
      <c r="D388" s="6"/>
      <c r="E388" s="6"/>
      <c r="F388" s="6"/>
      <c r="G388" s="6"/>
      <c r="H388" s="39"/>
      <c r="I388" s="6"/>
      <c r="J388" s="6"/>
      <c r="K388" s="59"/>
      <c r="L388" s="6"/>
      <c r="M388" s="6"/>
      <c r="N388" s="6"/>
      <c r="O388" s="6"/>
      <c r="P388" s="6"/>
    </row>
    <row r="389" ht="15.75" customHeight="1">
      <c r="A389" s="6"/>
      <c r="B389" s="6"/>
      <c r="C389" s="6"/>
      <c r="D389" s="6"/>
      <c r="E389" s="6"/>
      <c r="F389" s="6"/>
      <c r="G389" s="6"/>
      <c r="H389" s="39"/>
      <c r="I389" s="6"/>
      <c r="J389" s="6"/>
      <c r="K389" s="59"/>
      <c r="L389" s="6"/>
      <c r="M389" s="6"/>
      <c r="N389" s="6"/>
      <c r="O389" s="6"/>
      <c r="P389" s="6"/>
    </row>
    <row r="390" ht="15.75" customHeight="1">
      <c r="A390" s="6"/>
      <c r="B390" s="6"/>
      <c r="C390" s="6"/>
      <c r="D390" s="6"/>
      <c r="E390" s="6"/>
      <c r="F390" s="6"/>
      <c r="G390" s="6"/>
      <c r="H390" s="39"/>
      <c r="I390" s="6"/>
      <c r="J390" s="6"/>
      <c r="K390" s="59"/>
      <c r="L390" s="6"/>
      <c r="M390" s="6"/>
      <c r="N390" s="6"/>
      <c r="O390" s="6"/>
      <c r="P390" s="6"/>
    </row>
    <row r="391" ht="15.75" customHeight="1">
      <c r="A391" s="6"/>
      <c r="B391" s="6"/>
      <c r="C391" s="6"/>
      <c r="D391" s="6"/>
      <c r="E391" s="6"/>
      <c r="F391" s="6"/>
      <c r="G391" s="6"/>
      <c r="H391" s="39"/>
      <c r="I391" s="6"/>
      <c r="J391" s="6"/>
      <c r="K391" s="59"/>
      <c r="L391" s="6"/>
      <c r="M391" s="6"/>
      <c r="N391" s="6"/>
      <c r="O391" s="6"/>
      <c r="P391" s="6"/>
    </row>
    <row r="392" ht="15.75" customHeight="1">
      <c r="A392" s="6"/>
      <c r="B392" s="6"/>
      <c r="C392" s="6"/>
      <c r="D392" s="6"/>
      <c r="E392" s="6"/>
      <c r="F392" s="6"/>
      <c r="G392" s="6"/>
      <c r="H392" s="39"/>
      <c r="I392" s="6"/>
      <c r="J392" s="6"/>
      <c r="K392" s="59"/>
      <c r="L392" s="6"/>
      <c r="M392" s="6"/>
      <c r="N392" s="6"/>
      <c r="O392" s="6"/>
      <c r="P392" s="6"/>
    </row>
    <row r="393" ht="15.75" customHeight="1">
      <c r="A393" s="6"/>
      <c r="B393" s="6"/>
      <c r="C393" s="6"/>
      <c r="D393" s="6"/>
      <c r="E393" s="6"/>
      <c r="F393" s="6"/>
      <c r="G393" s="6"/>
      <c r="H393" s="39"/>
      <c r="I393" s="6"/>
      <c r="J393" s="6"/>
      <c r="K393" s="59"/>
      <c r="L393" s="6"/>
      <c r="M393" s="6"/>
      <c r="N393" s="6"/>
      <c r="O393" s="6"/>
      <c r="P393" s="6"/>
    </row>
    <row r="394" ht="15.75" customHeight="1">
      <c r="A394" s="6"/>
      <c r="B394" s="6"/>
      <c r="C394" s="6"/>
      <c r="D394" s="6"/>
      <c r="E394" s="6"/>
      <c r="F394" s="6"/>
      <c r="G394" s="6"/>
      <c r="H394" s="39"/>
      <c r="I394" s="6"/>
      <c r="J394" s="6"/>
      <c r="K394" s="59"/>
      <c r="L394" s="6"/>
      <c r="M394" s="6"/>
      <c r="N394" s="6"/>
      <c r="O394" s="6"/>
      <c r="P394" s="6"/>
    </row>
    <row r="395" ht="15.75" customHeight="1">
      <c r="A395" s="60"/>
      <c r="B395" s="60"/>
      <c r="C395" s="60"/>
      <c r="D395" s="60"/>
      <c r="E395" s="60"/>
      <c r="F395" s="60"/>
      <c r="G395" s="60"/>
      <c r="H395" s="61"/>
      <c r="I395" s="60"/>
      <c r="J395" s="60"/>
      <c r="K395" s="62"/>
      <c r="L395" s="60"/>
      <c r="M395" s="60"/>
      <c r="N395" s="60"/>
      <c r="O395" s="60"/>
      <c r="P395" s="60"/>
    </row>
    <row r="396" ht="15.75" customHeight="1">
      <c r="A396" s="60"/>
      <c r="B396" s="60"/>
      <c r="C396" s="60"/>
      <c r="D396" s="60"/>
      <c r="E396" s="60"/>
      <c r="F396" s="60"/>
      <c r="G396" s="60"/>
      <c r="H396" s="61"/>
      <c r="I396" s="60"/>
      <c r="J396" s="60"/>
      <c r="K396" s="62"/>
      <c r="L396" s="60"/>
      <c r="M396" s="60"/>
      <c r="N396" s="60"/>
      <c r="O396" s="60"/>
      <c r="P396" s="60"/>
    </row>
    <row r="397" ht="15.75" customHeight="1">
      <c r="A397" s="60"/>
      <c r="B397" s="60"/>
      <c r="C397" s="60"/>
      <c r="D397" s="60"/>
      <c r="E397" s="60"/>
      <c r="F397" s="60"/>
      <c r="G397" s="60"/>
      <c r="H397" s="61"/>
      <c r="I397" s="60"/>
      <c r="J397" s="60"/>
      <c r="K397" s="62"/>
      <c r="L397" s="60"/>
      <c r="M397" s="60"/>
      <c r="N397" s="60"/>
      <c r="O397" s="60"/>
      <c r="P397" s="60"/>
    </row>
    <row r="398" ht="15.75" customHeight="1">
      <c r="A398" s="60"/>
      <c r="B398" s="60"/>
      <c r="C398" s="60"/>
      <c r="D398" s="60"/>
      <c r="E398" s="60"/>
      <c r="F398" s="60"/>
      <c r="G398" s="60"/>
      <c r="H398" s="61"/>
      <c r="I398" s="60"/>
      <c r="J398" s="60"/>
      <c r="K398" s="62"/>
      <c r="L398" s="60"/>
      <c r="M398" s="60"/>
      <c r="N398" s="60"/>
      <c r="O398" s="60"/>
      <c r="P398" s="60"/>
    </row>
    <row r="399" ht="15.75" customHeight="1">
      <c r="A399" s="60"/>
      <c r="B399" s="60"/>
      <c r="C399" s="60"/>
      <c r="D399" s="60"/>
      <c r="E399" s="60"/>
      <c r="F399" s="60"/>
      <c r="G399" s="60"/>
      <c r="H399" s="61"/>
      <c r="I399" s="60"/>
      <c r="J399" s="60"/>
      <c r="K399" s="62"/>
      <c r="L399" s="60"/>
      <c r="M399" s="60"/>
      <c r="N399" s="60"/>
      <c r="O399" s="60"/>
      <c r="P399" s="60"/>
    </row>
    <row r="400" ht="15.75" customHeight="1">
      <c r="A400" s="60"/>
      <c r="B400" s="60"/>
      <c r="C400" s="60"/>
      <c r="D400" s="60"/>
      <c r="E400" s="60"/>
      <c r="F400" s="60"/>
      <c r="G400" s="60"/>
      <c r="H400" s="61"/>
      <c r="I400" s="60"/>
      <c r="J400" s="60"/>
      <c r="K400" s="62"/>
      <c r="L400" s="60"/>
      <c r="M400" s="60"/>
      <c r="N400" s="60"/>
      <c r="O400" s="60"/>
      <c r="P400" s="60"/>
    </row>
    <row r="401" ht="15.75" customHeight="1">
      <c r="A401" s="60"/>
      <c r="B401" s="60"/>
      <c r="C401" s="60"/>
      <c r="D401" s="60"/>
      <c r="E401" s="60"/>
      <c r="F401" s="60"/>
      <c r="G401" s="60"/>
      <c r="H401" s="61"/>
      <c r="I401" s="60"/>
      <c r="J401" s="60"/>
      <c r="K401" s="62"/>
      <c r="L401" s="60"/>
      <c r="M401" s="60"/>
      <c r="N401" s="60"/>
      <c r="O401" s="60"/>
      <c r="P401" s="60"/>
    </row>
    <row r="402" ht="15.75" customHeight="1">
      <c r="A402" s="60"/>
      <c r="B402" s="60"/>
      <c r="C402" s="60"/>
      <c r="D402" s="60"/>
      <c r="E402" s="60"/>
      <c r="F402" s="60"/>
      <c r="G402" s="60"/>
      <c r="H402" s="61"/>
      <c r="I402" s="60"/>
      <c r="J402" s="60"/>
      <c r="K402" s="62"/>
      <c r="L402" s="60"/>
      <c r="M402" s="60"/>
      <c r="N402" s="60"/>
      <c r="O402" s="60"/>
      <c r="P402" s="60"/>
    </row>
    <row r="403" ht="15.75" customHeight="1">
      <c r="A403" s="60"/>
      <c r="B403" s="60"/>
      <c r="C403" s="60"/>
      <c r="D403" s="60"/>
      <c r="E403" s="60"/>
      <c r="F403" s="60"/>
      <c r="G403" s="60"/>
      <c r="H403" s="61"/>
      <c r="I403" s="60"/>
      <c r="J403" s="60"/>
      <c r="K403" s="62"/>
      <c r="L403" s="60"/>
      <c r="M403" s="60"/>
      <c r="N403" s="60"/>
      <c r="O403" s="60"/>
      <c r="P403" s="60"/>
    </row>
    <row r="404" ht="15.75" customHeight="1">
      <c r="A404" s="60"/>
      <c r="B404" s="60"/>
      <c r="C404" s="60"/>
      <c r="D404" s="60"/>
      <c r="E404" s="60"/>
      <c r="F404" s="60"/>
      <c r="G404" s="60"/>
      <c r="H404" s="61"/>
      <c r="I404" s="60"/>
      <c r="J404" s="60"/>
      <c r="K404" s="62"/>
      <c r="L404" s="60"/>
      <c r="M404" s="60"/>
      <c r="N404" s="60"/>
      <c r="O404" s="60"/>
      <c r="P404" s="60"/>
    </row>
    <row r="405" ht="15.75" customHeight="1">
      <c r="A405" s="60"/>
      <c r="B405" s="60"/>
      <c r="C405" s="60"/>
      <c r="D405" s="60"/>
      <c r="E405" s="60"/>
      <c r="F405" s="60"/>
      <c r="G405" s="60"/>
      <c r="H405" s="61"/>
      <c r="I405" s="60"/>
      <c r="J405" s="60"/>
      <c r="K405" s="62"/>
      <c r="L405" s="60"/>
      <c r="M405" s="60"/>
      <c r="N405" s="60"/>
      <c r="O405" s="60"/>
      <c r="P405" s="60"/>
    </row>
    <row r="406" ht="15.75" customHeight="1">
      <c r="A406" s="60"/>
      <c r="B406" s="60"/>
      <c r="C406" s="60"/>
      <c r="D406" s="60"/>
      <c r="E406" s="60"/>
      <c r="F406" s="60"/>
      <c r="G406" s="60"/>
      <c r="H406" s="61"/>
      <c r="I406" s="60"/>
      <c r="J406" s="60"/>
      <c r="K406" s="62"/>
      <c r="L406" s="60"/>
      <c r="M406" s="60"/>
      <c r="N406" s="60"/>
      <c r="O406" s="60"/>
      <c r="P406" s="60"/>
    </row>
    <row r="407" ht="15.75" customHeight="1">
      <c r="A407" s="60"/>
      <c r="B407" s="60"/>
      <c r="C407" s="60"/>
      <c r="D407" s="60"/>
      <c r="E407" s="60"/>
      <c r="F407" s="60"/>
      <c r="G407" s="60"/>
      <c r="H407" s="61"/>
      <c r="I407" s="60"/>
      <c r="J407" s="60"/>
      <c r="K407" s="62"/>
      <c r="L407" s="60"/>
      <c r="M407" s="60"/>
      <c r="N407" s="60"/>
      <c r="O407" s="60"/>
      <c r="P407" s="60"/>
    </row>
    <row r="408" ht="15.75" customHeight="1">
      <c r="A408" s="60"/>
      <c r="B408" s="60"/>
      <c r="C408" s="60"/>
      <c r="D408" s="60"/>
      <c r="E408" s="60"/>
      <c r="F408" s="60"/>
      <c r="G408" s="60"/>
      <c r="H408" s="61"/>
      <c r="I408" s="60"/>
      <c r="J408" s="60"/>
      <c r="K408" s="62"/>
      <c r="L408" s="60"/>
      <c r="M408" s="60"/>
      <c r="N408" s="60"/>
      <c r="O408" s="60"/>
      <c r="P408" s="60"/>
    </row>
    <row r="409" ht="15.75" customHeight="1">
      <c r="A409" s="60"/>
      <c r="B409" s="60"/>
      <c r="C409" s="60"/>
      <c r="D409" s="60"/>
      <c r="E409" s="60"/>
      <c r="F409" s="60"/>
      <c r="G409" s="60"/>
      <c r="H409" s="61"/>
      <c r="I409" s="60"/>
      <c r="J409" s="60"/>
      <c r="K409" s="62"/>
      <c r="L409" s="60"/>
      <c r="M409" s="60"/>
      <c r="N409" s="60"/>
      <c r="O409" s="60"/>
      <c r="P409" s="60"/>
    </row>
    <row r="410" ht="15.75" customHeight="1">
      <c r="A410" s="60"/>
      <c r="B410" s="60"/>
      <c r="C410" s="60"/>
      <c r="D410" s="60"/>
      <c r="E410" s="60"/>
      <c r="F410" s="60"/>
      <c r="G410" s="60"/>
      <c r="H410" s="61"/>
      <c r="I410" s="60"/>
      <c r="J410" s="60"/>
      <c r="K410" s="62"/>
      <c r="L410" s="60"/>
      <c r="M410" s="60"/>
      <c r="N410" s="60"/>
      <c r="O410" s="60"/>
      <c r="P410" s="60"/>
    </row>
    <row r="411" ht="15.75" customHeight="1">
      <c r="A411" s="60"/>
      <c r="B411" s="60"/>
      <c r="C411" s="60"/>
      <c r="D411" s="60"/>
      <c r="E411" s="60"/>
      <c r="F411" s="60"/>
      <c r="G411" s="60"/>
      <c r="H411" s="61"/>
      <c r="I411" s="60"/>
      <c r="J411" s="60"/>
      <c r="K411" s="62"/>
      <c r="L411" s="60"/>
      <c r="M411" s="60"/>
      <c r="N411" s="60"/>
      <c r="O411" s="60"/>
      <c r="P411" s="60"/>
    </row>
    <row r="412" ht="15.75" customHeight="1">
      <c r="A412" s="60"/>
      <c r="B412" s="60"/>
      <c r="C412" s="60"/>
      <c r="D412" s="60"/>
      <c r="E412" s="60"/>
      <c r="F412" s="60"/>
      <c r="G412" s="60"/>
      <c r="H412" s="61"/>
      <c r="I412" s="60"/>
      <c r="J412" s="60"/>
      <c r="K412" s="62"/>
      <c r="L412" s="60"/>
      <c r="M412" s="60"/>
      <c r="N412" s="60"/>
      <c r="O412" s="60"/>
      <c r="P412" s="60"/>
    </row>
    <row r="413" ht="15.75" customHeight="1">
      <c r="A413" s="60"/>
      <c r="B413" s="60"/>
      <c r="C413" s="60"/>
      <c r="D413" s="60"/>
      <c r="E413" s="60"/>
      <c r="F413" s="60"/>
      <c r="G413" s="60"/>
      <c r="H413" s="61"/>
      <c r="I413" s="60"/>
      <c r="J413" s="60"/>
      <c r="K413" s="62"/>
      <c r="L413" s="60"/>
      <c r="M413" s="60"/>
      <c r="N413" s="60"/>
      <c r="O413" s="60"/>
      <c r="P413" s="60"/>
    </row>
    <row r="414" ht="15.75" customHeight="1">
      <c r="A414" s="60"/>
      <c r="B414" s="60"/>
      <c r="C414" s="60"/>
      <c r="D414" s="60"/>
      <c r="E414" s="60"/>
      <c r="F414" s="60"/>
      <c r="G414" s="60"/>
      <c r="H414" s="61"/>
      <c r="I414" s="60"/>
      <c r="J414" s="60"/>
      <c r="K414" s="62"/>
      <c r="L414" s="60"/>
      <c r="M414" s="60"/>
      <c r="N414" s="60"/>
      <c r="O414" s="60"/>
      <c r="P414" s="60"/>
    </row>
    <row r="415" ht="15.75" customHeight="1">
      <c r="A415" s="60"/>
      <c r="B415" s="60"/>
      <c r="C415" s="60"/>
      <c r="D415" s="60"/>
      <c r="E415" s="60"/>
      <c r="F415" s="60"/>
      <c r="G415" s="60"/>
      <c r="H415" s="61"/>
      <c r="I415" s="60"/>
      <c r="J415" s="60"/>
      <c r="K415" s="62"/>
      <c r="L415" s="60"/>
      <c r="M415" s="60"/>
      <c r="N415" s="60"/>
      <c r="O415" s="60"/>
      <c r="P415" s="60"/>
    </row>
    <row r="416" ht="15.75" customHeight="1">
      <c r="A416" s="60"/>
      <c r="B416" s="60"/>
      <c r="C416" s="60"/>
      <c r="D416" s="60"/>
      <c r="E416" s="60"/>
      <c r="F416" s="60"/>
      <c r="G416" s="60"/>
      <c r="H416" s="61"/>
      <c r="I416" s="60"/>
      <c r="J416" s="60"/>
      <c r="K416" s="62"/>
      <c r="L416" s="60"/>
      <c r="M416" s="60"/>
      <c r="N416" s="60"/>
      <c r="O416" s="60"/>
      <c r="P416" s="60"/>
    </row>
    <row r="417" ht="15.75" customHeight="1">
      <c r="A417" s="60"/>
      <c r="B417" s="60"/>
      <c r="C417" s="60"/>
      <c r="D417" s="60"/>
      <c r="E417" s="60"/>
      <c r="F417" s="60"/>
      <c r="G417" s="60"/>
      <c r="H417" s="61"/>
      <c r="I417" s="60"/>
      <c r="J417" s="60"/>
      <c r="K417" s="62"/>
      <c r="L417" s="60"/>
      <c r="M417" s="60"/>
      <c r="N417" s="60"/>
      <c r="O417" s="60"/>
      <c r="P417" s="60"/>
    </row>
    <row r="418" ht="15.75" customHeight="1">
      <c r="A418" s="60"/>
      <c r="B418" s="60"/>
      <c r="C418" s="60"/>
      <c r="D418" s="60"/>
      <c r="E418" s="60"/>
      <c r="F418" s="60"/>
      <c r="G418" s="60"/>
      <c r="H418" s="61"/>
      <c r="I418" s="60"/>
      <c r="J418" s="60"/>
      <c r="K418" s="62"/>
      <c r="L418" s="60"/>
      <c r="M418" s="60"/>
      <c r="N418" s="60"/>
      <c r="O418" s="60"/>
      <c r="P418" s="60"/>
    </row>
    <row r="419" ht="15.75" customHeight="1">
      <c r="A419" s="60"/>
      <c r="B419" s="60"/>
      <c r="C419" s="60"/>
      <c r="D419" s="60"/>
      <c r="E419" s="60"/>
      <c r="F419" s="60"/>
      <c r="G419" s="60"/>
      <c r="H419" s="61"/>
      <c r="I419" s="60"/>
      <c r="J419" s="60"/>
      <c r="K419" s="62"/>
      <c r="L419" s="60"/>
      <c r="M419" s="60"/>
      <c r="N419" s="60"/>
      <c r="O419" s="60"/>
      <c r="P419" s="60"/>
    </row>
    <row r="420" ht="15.75" customHeight="1">
      <c r="A420" s="60"/>
      <c r="B420" s="60"/>
      <c r="C420" s="60"/>
      <c r="D420" s="60"/>
      <c r="E420" s="60"/>
      <c r="F420" s="60"/>
      <c r="G420" s="60"/>
      <c r="H420" s="61"/>
      <c r="I420" s="60"/>
      <c r="J420" s="60"/>
      <c r="K420" s="62"/>
      <c r="L420" s="60"/>
      <c r="M420" s="60"/>
      <c r="N420" s="60"/>
      <c r="O420" s="60"/>
      <c r="P420" s="60"/>
    </row>
    <row r="421" ht="15.75" customHeight="1">
      <c r="A421" s="60"/>
      <c r="B421" s="60"/>
      <c r="C421" s="60"/>
      <c r="D421" s="60"/>
      <c r="E421" s="60"/>
      <c r="F421" s="60"/>
      <c r="G421" s="60"/>
      <c r="H421" s="61"/>
      <c r="I421" s="60"/>
      <c r="J421" s="60"/>
      <c r="K421" s="62"/>
      <c r="L421" s="60"/>
      <c r="M421" s="60"/>
      <c r="N421" s="60"/>
      <c r="O421" s="60"/>
      <c r="P421" s="60"/>
    </row>
    <row r="422" ht="15.75" customHeight="1">
      <c r="A422" s="60"/>
      <c r="B422" s="60"/>
      <c r="C422" s="60"/>
      <c r="D422" s="60"/>
      <c r="E422" s="60"/>
      <c r="F422" s="60"/>
      <c r="G422" s="60"/>
      <c r="H422" s="61"/>
      <c r="I422" s="60"/>
      <c r="J422" s="60"/>
      <c r="K422" s="62"/>
      <c r="L422" s="60"/>
      <c r="M422" s="60"/>
      <c r="N422" s="60"/>
      <c r="O422" s="60"/>
      <c r="P422" s="60"/>
    </row>
    <row r="423" ht="15.75" customHeight="1">
      <c r="A423" s="60"/>
      <c r="B423" s="60"/>
      <c r="C423" s="60"/>
      <c r="D423" s="60"/>
      <c r="E423" s="60"/>
      <c r="F423" s="60"/>
      <c r="G423" s="60"/>
      <c r="H423" s="61"/>
      <c r="I423" s="60"/>
      <c r="J423" s="60"/>
      <c r="K423" s="62"/>
      <c r="L423" s="60"/>
      <c r="M423" s="60"/>
      <c r="N423" s="60"/>
      <c r="O423" s="60"/>
      <c r="P423" s="60"/>
    </row>
    <row r="424" ht="15.75" customHeight="1">
      <c r="A424" s="60"/>
      <c r="B424" s="60"/>
      <c r="C424" s="60"/>
      <c r="D424" s="60"/>
      <c r="E424" s="60"/>
      <c r="F424" s="60"/>
      <c r="G424" s="60"/>
      <c r="H424" s="61"/>
      <c r="I424" s="60"/>
      <c r="J424" s="60"/>
      <c r="K424" s="62"/>
      <c r="L424" s="60"/>
      <c r="M424" s="60"/>
      <c r="N424" s="60"/>
      <c r="O424" s="60"/>
      <c r="P424" s="60"/>
    </row>
    <row r="425" ht="15.75" customHeight="1">
      <c r="A425" s="60"/>
      <c r="B425" s="60"/>
      <c r="C425" s="60"/>
      <c r="D425" s="60"/>
      <c r="E425" s="60"/>
      <c r="F425" s="60"/>
      <c r="G425" s="60"/>
      <c r="H425" s="61"/>
      <c r="I425" s="60"/>
      <c r="J425" s="60"/>
      <c r="K425" s="62"/>
      <c r="L425" s="60"/>
      <c r="M425" s="60"/>
      <c r="N425" s="60"/>
      <c r="O425" s="60"/>
      <c r="P425" s="60"/>
    </row>
    <row r="426" ht="15.75" customHeight="1">
      <c r="A426" s="60"/>
      <c r="B426" s="60"/>
      <c r="C426" s="60"/>
      <c r="D426" s="60"/>
      <c r="E426" s="60"/>
      <c r="F426" s="60"/>
      <c r="G426" s="60"/>
      <c r="H426" s="61"/>
      <c r="I426" s="60"/>
      <c r="J426" s="60"/>
      <c r="K426" s="62"/>
      <c r="L426" s="60"/>
      <c r="M426" s="60"/>
      <c r="N426" s="60"/>
      <c r="O426" s="60"/>
      <c r="P426" s="60"/>
    </row>
    <row r="427" ht="15.75" customHeight="1">
      <c r="A427" s="60"/>
      <c r="B427" s="60"/>
      <c r="C427" s="60"/>
      <c r="D427" s="60"/>
      <c r="E427" s="60"/>
      <c r="F427" s="60"/>
      <c r="G427" s="60"/>
      <c r="H427" s="61"/>
      <c r="I427" s="60"/>
      <c r="J427" s="60"/>
      <c r="K427" s="62"/>
      <c r="L427" s="60"/>
      <c r="M427" s="60"/>
      <c r="N427" s="60"/>
      <c r="O427" s="60"/>
      <c r="P427" s="60"/>
    </row>
    <row r="428" ht="15.75" customHeight="1">
      <c r="A428" s="60"/>
      <c r="B428" s="60"/>
      <c r="C428" s="60"/>
      <c r="D428" s="60"/>
      <c r="E428" s="60"/>
      <c r="F428" s="60"/>
      <c r="G428" s="60"/>
      <c r="H428" s="61"/>
      <c r="I428" s="60"/>
      <c r="J428" s="60"/>
      <c r="K428" s="62"/>
      <c r="L428" s="60"/>
      <c r="M428" s="60"/>
      <c r="N428" s="60"/>
      <c r="O428" s="60"/>
      <c r="P428" s="60"/>
    </row>
    <row r="429" ht="15.75" customHeight="1">
      <c r="A429" s="60"/>
      <c r="B429" s="60"/>
      <c r="C429" s="60"/>
      <c r="D429" s="60"/>
      <c r="E429" s="60"/>
      <c r="F429" s="60"/>
      <c r="G429" s="60"/>
      <c r="H429" s="61"/>
      <c r="I429" s="60"/>
      <c r="J429" s="60"/>
      <c r="K429" s="62"/>
      <c r="L429" s="60"/>
      <c r="M429" s="60"/>
      <c r="N429" s="60"/>
      <c r="O429" s="60"/>
      <c r="P429" s="60"/>
    </row>
    <row r="430" ht="15.75" customHeight="1">
      <c r="A430" s="60"/>
      <c r="B430" s="60"/>
      <c r="C430" s="60"/>
      <c r="D430" s="60"/>
      <c r="E430" s="60"/>
      <c r="F430" s="60"/>
      <c r="G430" s="60"/>
      <c r="H430" s="61"/>
      <c r="I430" s="60"/>
      <c r="J430" s="60"/>
      <c r="K430" s="62"/>
      <c r="L430" s="60"/>
      <c r="M430" s="60"/>
      <c r="N430" s="60"/>
      <c r="O430" s="60"/>
      <c r="P430" s="60"/>
    </row>
    <row r="431" ht="15.75" customHeight="1">
      <c r="A431" s="60"/>
      <c r="B431" s="60"/>
      <c r="C431" s="60"/>
      <c r="D431" s="60"/>
      <c r="E431" s="60"/>
      <c r="F431" s="60"/>
      <c r="G431" s="60"/>
      <c r="H431" s="61"/>
      <c r="I431" s="60"/>
      <c r="J431" s="60"/>
      <c r="K431" s="62"/>
      <c r="L431" s="60"/>
      <c r="M431" s="60"/>
      <c r="N431" s="60"/>
      <c r="O431" s="60"/>
      <c r="P431" s="60"/>
    </row>
    <row r="432" ht="15.75" customHeight="1">
      <c r="A432" s="60"/>
      <c r="B432" s="60"/>
      <c r="C432" s="60"/>
      <c r="D432" s="60"/>
      <c r="E432" s="60"/>
      <c r="F432" s="60"/>
      <c r="G432" s="60"/>
      <c r="H432" s="61"/>
      <c r="I432" s="60"/>
      <c r="J432" s="60"/>
      <c r="K432" s="62"/>
      <c r="L432" s="60"/>
      <c r="M432" s="60"/>
      <c r="N432" s="60"/>
      <c r="O432" s="60"/>
      <c r="P432" s="60"/>
    </row>
    <row r="433" ht="15.75" customHeight="1">
      <c r="A433" s="60"/>
      <c r="B433" s="60"/>
      <c r="C433" s="60"/>
      <c r="D433" s="60"/>
      <c r="E433" s="60"/>
      <c r="F433" s="60"/>
      <c r="G433" s="60"/>
      <c r="H433" s="61"/>
      <c r="I433" s="60"/>
      <c r="J433" s="60"/>
      <c r="K433" s="62"/>
      <c r="L433" s="60"/>
      <c r="M433" s="60"/>
      <c r="N433" s="60"/>
      <c r="O433" s="60"/>
      <c r="P433" s="60"/>
    </row>
    <row r="434" ht="15.75" customHeight="1">
      <c r="A434" s="60"/>
      <c r="B434" s="60"/>
      <c r="C434" s="60"/>
      <c r="D434" s="60"/>
      <c r="E434" s="60"/>
      <c r="F434" s="60"/>
      <c r="G434" s="60"/>
      <c r="H434" s="61"/>
      <c r="I434" s="60"/>
      <c r="J434" s="60"/>
      <c r="K434" s="62"/>
      <c r="L434" s="60"/>
      <c r="M434" s="60"/>
      <c r="N434" s="60"/>
      <c r="O434" s="60"/>
      <c r="P434" s="60"/>
    </row>
    <row r="435" ht="15.75" customHeight="1">
      <c r="A435" s="60"/>
      <c r="B435" s="60"/>
      <c r="C435" s="60"/>
      <c r="D435" s="60"/>
      <c r="E435" s="60"/>
      <c r="F435" s="60"/>
      <c r="G435" s="60"/>
      <c r="H435" s="61"/>
      <c r="I435" s="60"/>
      <c r="J435" s="60"/>
      <c r="K435" s="62"/>
      <c r="L435" s="60"/>
      <c r="M435" s="60"/>
      <c r="N435" s="60"/>
      <c r="O435" s="60"/>
      <c r="P435" s="60"/>
    </row>
    <row r="436" ht="15.75" customHeight="1">
      <c r="A436" s="60"/>
      <c r="B436" s="60"/>
      <c r="C436" s="60"/>
      <c r="D436" s="60"/>
      <c r="E436" s="60"/>
      <c r="F436" s="60"/>
      <c r="G436" s="60"/>
      <c r="H436" s="61"/>
      <c r="I436" s="60"/>
      <c r="J436" s="60"/>
      <c r="K436" s="62"/>
      <c r="L436" s="60"/>
      <c r="M436" s="60"/>
      <c r="N436" s="60"/>
      <c r="O436" s="60"/>
      <c r="P436" s="60"/>
    </row>
    <row r="437" ht="15.75" customHeight="1">
      <c r="A437" s="60"/>
      <c r="B437" s="60"/>
      <c r="C437" s="60"/>
      <c r="D437" s="60"/>
      <c r="E437" s="60"/>
      <c r="F437" s="60"/>
      <c r="G437" s="60"/>
      <c r="H437" s="61"/>
      <c r="I437" s="60"/>
      <c r="J437" s="60"/>
      <c r="K437" s="62"/>
      <c r="L437" s="60"/>
      <c r="M437" s="60"/>
      <c r="N437" s="60"/>
      <c r="O437" s="60"/>
      <c r="P437" s="60"/>
    </row>
    <row r="438" ht="15.75" customHeight="1">
      <c r="A438" s="60"/>
      <c r="B438" s="60"/>
      <c r="C438" s="60"/>
      <c r="D438" s="60"/>
      <c r="E438" s="60"/>
      <c r="F438" s="60"/>
      <c r="G438" s="60"/>
      <c r="H438" s="61"/>
      <c r="I438" s="60"/>
      <c r="J438" s="60"/>
      <c r="K438" s="62"/>
      <c r="L438" s="60"/>
      <c r="M438" s="60"/>
      <c r="N438" s="60"/>
      <c r="O438" s="60"/>
      <c r="P438" s="60"/>
    </row>
    <row r="439" ht="15.75" customHeight="1">
      <c r="A439" s="60"/>
      <c r="B439" s="60"/>
      <c r="C439" s="60"/>
      <c r="D439" s="60"/>
      <c r="E439" s="60"/>
      <c r="F439" s="60"/>
      <c r="G439" s="60"/>
      <c r="H439" s="61"/>
      <c r="I439" s="60"/>
      <c r="J439" s="60"/>
      <c r="K439" s="62"/>
      <c r="L439" s="60"/>
      <c r="M439" s="60"/>
      <c r="N439" s="60"/>
      <c r="O439" s="60"/>
      <c r="P439" s="60"/>
    </row>
    <row r="440" ht="15.75" customHeight="1">
      <c r="A440" s="60"/>
      <c r="B440" s="60"/>
      <c r="C440" s="60"/>
      <c r="D440" s="60"/>
      <c r="E440" s="60"/>
      <c r="F440" s="60"/>
      <c r="G440" s="60"/>
      <c r="H440" s="61"/>
      <c r="I440" s="60"/>
      <c r="J440" s="60"/>
      <c r="K440" s="62"/>
      <c r="L440" s="60"/>
      <c r="M440" s="60"/>
      <c r="N440" s="60"/>
      <c r="O440" s="60"/>
      <c r="P440" s="60"/>
    </row>
    <row r="441" ht="15.75" customHeight="1">
      <c r="A441" s="60"/>
      <c r="B441" s="60"/>
      <c r="C441" s="60"/>
      <c r="D441" s="60"/>
      <c r="E441" s="60"/>
      <c r="F441" s="60"/>
      <c r="G441" s="60"/>
      <c r="H441" s="61"/>
      <c r="I441" s="60"/>
      <c r="J441" s="60"/>
      <c r="K441" s="62"/>
      <c r="L441" s="60"/>
      <c r="M441" s="60"/>
      <c r="N441" s="60"/>
      <c r="O441" s="60"/>
      <c r="P441" s="60"/>
    </row>
    <row r="442" ht="15.75" customHeight="1">
      <c r="A442" s="60"/>
      <c r="B442" s="60"/>
      <c r="C442" s="60"/>
      <c r="D442" s="60"/>
      <c r="E442" s="60"/>
      <c r="F442" s="60"/>
      <c r="G442" s="60"/>
      <c r="H442" s="61"/>
      <c r="I442" s="60"/>
      <c r="J442" s="60"/>
      <c r="K442" s="62"/>
      <c r="L442" s="60"/>
      <c r="M442" s="60"/>
      <c r="N442" s="60"/>
      <c r="O442" s="60"/>
      <c r="P442" s="60"/>
    </row>
    <row r="443" ht="15.75" customHeight="1">
      <c r="A443" s="60"/>
      <c r="B443" s="60"/>
      <c r="C443" s="60"/>
      <c r="D443" s="60"/>
      <c r="E443" s="60"/>
      <c r="F443" s="60"/>
      <c r="G443" s="60"/>
      <c r="H443" s="61"/>
      <c r="I443" s="60"/>
      <c r="J443" s="60"/>
      <c r="K443" s="62"/>
      <c r="L443" s="60"/>
      <c r="M443" s="60"/>
      <c r="N443" s="60"/>
      <c r="O443" s="60"/>
      <c r="P443" s="60"/>
    </row>
    <row r="444" ht="15.75" customHeight="1">
      <c r="A444" s="60"/>
      <c r="B444" s="60"/>
      <c r="C444" s="60"/>
      <c r="D444" s="60"/>
      <c r="E444" s="60"/>
      <c r="F444" s="60"/>
      <c r="G444" s="60"/>
      <c r="H444" s="61"/>
      <c r="I444" s="60"/>
      <c r="J444" s="60"/>
      <c r="K444" s="62"/>
      <c r="L444" s="60"/>
      <c r="M444" s="60"/>
      <c r="N444" s="60"/>
      <c r="O444" s="60"/>
      <c r="P444" s="60"/>
    </row>
    <row r="445" ht="15.75" customHeight="1">
      <c r="A445" s="60"/>
      <c r="B445" s="60"/>
      <c r="C445" s="60"/>
      <c r="D445" s="60"/>
      <c r="E445" s="60"/>
      <c r="F445" s="60"/>
      <c r="G445" s="60"/>
      <c r="H445" s="61"/>
      <c r="I445" s="60"/>
      <c r="J445" s="60"/>
      <c r="K445" s="62"/>
      <c r="L445" s="60"/>
      <c r="M445" s="60"/>
      <c r="N445" s="60"/>
      <c r="O445" s="60"/>
      <c r="P445" s="60"/>
    </row>
    <row r="446" ht="15.75" customHeight="1">
      <c r="A446" s="60"/>
      <c r="B446" s="60"/>
      <c r="C446" s="60"/>
      <c r="D446" s="60"/>
      <c r="E446" s="60"/>
      <c r="F446" s="60"/>
      <c r="G446" s="60"/>
      <c r="H446" s="61"/>
      <c r="I446" s="60"/>
      <c r="J446" s="60"/>
      <c r="K446" s="62"/>
      <c r="L446" s="60"/>
      <c r="M446" s="60"/>
      <c r="N446" s="60"/>
      <c r="O446" s="60"/>
      <c r="P446" s="60"/>
    </row>
    <row r="447" ht="15.75" customHeight="1">
      <c r="A447" s="60"/>
      <c r="B447" s="60"/>
      <c r="C447" s="60"/>
      <c r="D447" s="60"/>
      <c r="E447" s="60"/>
      <c r="F447" s="60"/>
      <c r="G447" s="60"/>
      <c r="H447" s="61"/>
      <c r="I447" s="60"/>
      <c r="J447" s="60"/>
      <c r="K447" s="62"/>
      <c r="L447" s="60"/>
      <c r="M447" s="60"/>
      <c r="N447" s="60"/>
      <c r="O447" s="60"/>
      <c r="P447" s="60"/>
    </row>
    <row r="448" ht="15.75" customHeight="1">
      <c r="A448" s="60"/>
      <c r="B448" s="60"/>
      <c r="C448" s="60"/>
      <c r="D448" s="60"/>
      <c r="E448" s="60"/>
      <c r="F448" s="60"/>
      <c r="G448" s="60"/>
      <c r="H448" s="61"/>
      <c r="I448" s="60"/>
      <c r="J448" s="60"/>
      <c r="K448" s="62"/>
      <c r="L448" s="60"/>
      <c r="M448" s="60"/>
      <c r="N448" s="60"/>
      <c r="O448" s="60"/>
      <c r="P448" s="60"/>
    </row>
    <row r="449" ht="15.75" customHeight="1">
      <c r="A449" s="60"/>
      <c r="B449" s="60"/>
      <c r="C449" s="60"/>
      <c r="D449" s="60"/>
      <c r="E449" s="60"/>
      <c r="F449" s="60"/>
      <c r="G449" s="60"/>
      <c r="H449" s="61"/>
      <c r="I449" s="60"/>
      <c r="J449" s="60"/>
      <c r="K449" s="62"/>
      <c r="L449" s="60"/>
      <c r="M449" s="60"/>
      <c r="N449" s="60"/>
      <c r="O449" s="60"/>
      <c r="P449" s="60"/>
    </row>
    <row r="450" ht="15.75" customHeight="1">
      <c r="A450" s="60"/>
      <c r="B450" s="60"/>
      <c r="C450" s="60"/>
      <c r="D450" s="60"/>
      <c r="E450" s="60"/>
      <c r="F450" s="60"/>
      <c r="G450" s="60"/>
      <c r="H450" s="61"/>
      <c r="I450" s="60"/>
      <c r="J450" s="60"/>
      <c r="K450" s="62"/>
      <c r="L450" s="60"/>
      <c r="M450" s="60"/>
      <c r="N450" s="60"/>
      <c r="O450" s="60"/>
      <c r="P450" s="60"/>
    </row>
    <row r="451" ht="15.75" customHeight="1">
      <c r="A451" s="60"/>
      <c r="B451" s="60"/>
      <c r="C451" s="60"/>
      <c r="D451" s="60"/>
      <c r="E451" s="60"/>
      <c r="F451" s="60"/>
      <c r="G451" s="60"/>
      <c r="H451" s="61"/>
      <c r="I451" s="60"/>
      <c r="J451" s="60"/>
      <c r="K451" s="62"/>
      <c r="L451" s="60"/>
      <c r="M451" s="60"/>
      <c r="N451" s="60"/>
      <c r="O451" s="60"/>
      <c r="P451" s="60"/>
    </row>
    <row r="452" ht="15.75" customHeight="1">
      <c r="A452" s="60"/>
      <c r="B452" s="60"/>
      <c r="C452" s="60"/>
      <c r="D452" s="60"/>
      <c r="E452" s="60"/>
      <c r="F452" s="60"/>
      <c r="G452" s="60"/>
      <c r="H452" s="61"/>
      <c r="I452" s="60"/>
      <c r="J452" s="60"/>
      <c r="K452" s="62"/>
      <c r="L452" s="60"/>
      <c r="M452" s="60"/>
      <c r="N452" s="60"/>
      <c r="O452" s="60"/>
      <c r="P452" s="60"/>
    </row>
    <row r="453" ht="15.75" customHeight="1">
      <c r="A453" s="60"/>
      <c r="B453" s="60"/>
      <c r="C453" s="60"/>
      <c r="D453" s="60"/>
      <c r="E453" s="60"/>
      <c r="F453" s="60"/>
      <c r="G453" s="60"/>
      <c r="H453" s="61"/>
      <c r="I453" s="60"/>
      <c r="J453" s="60"/>
      <c r="K453" s="62"/>
      <c r="L453" s="60"/>
      <c r="M453" s="60"/>
      <c r="N453" s="60"/>
      <c r="O453" s="60"/>
      <c r="P453" s="60"/>
    </row>
    <row r="454" ht="15.75" customHeight="1">
      <c r="A454" s="60"/>
      <c r="B454" s="60"/>
      <c r="C454" s="60"/>
      <c r="D454" s="60"/>
      <c r="E454" s="60"/>
      <c r="F454" s="60"/>
      <c r="G454" s="60"/>
      <c r="H454" s="61"/>
      <c r="I454" s="60"/>
      <c r="J454" s="60"/>
      <c r="K454" s="62"/>
      <c r="L454" s="60"/>
      <c r="M454" s="60"/>
      <c r="N454" s="60"/>
      <c r="O454" s="60"/>
      <c r="P454" s="60"/>
    </row>
    <row r="455" ht="15.75" customHeight="1">
      <c r="A455" s="60"/>
      <c r="B455" s="60"/>
      <c r="C455" s="60"/>
      <c r="D455" s="60"/>
      <c r="E455" s="60"/>
      <c r="F455" s="60"/>
      <c r="G455" s="60"/>
      <c r="H455" s="61"/>
      <c r="I455" s="60"/>
      <c r="J455" s="60"/>
      <c r="K455" s="62"/>
      <c r="L455" s="60"/>
      <c r="M455" s="60"/>
      <c r="N455" s="60"/>
      <c r="O455" s="60"/>
      <c r="P455" s="60"/>
    </row>
    <row r="456" ht="15.75" customHeight="1">
      <c r="A456" s="60"/>
      <c r="B456" s="60"/>
      <c r="C456" s="60"/>
      <c r="D456" s="60"/>
      <c r="E456" s="60"/>
      <c r="F456" s="60"/>
      <c r="G456" s="60"/>
      <c r="H456" s="61"/>
      <c r="I456" s="60"/>
      <c r="J456" s="60"/>
      <c r="K456" s="62"/>
      <c r="L456" s="60"/>
      <c r="M456" s="60"/>
      <c r="N456" s="60"/>
      <c r="O456" s="60"/>
      <c r="P456" s="60"/>
    </row>
    <row r="457" ht="15.75" customHeight="1">
      <c r="A457" s="60"/>
      <c r="B457" s="60"/>
      <c r="C457" s="60"/>
      <c r="D457" s="60"/>
      <c r="E457" s="60"/>
      <c r="F457" s="60"/>
      <c r="G457" s="60"/>
      <c r="H457" s="61"/>
      <c r="I457" s="60"/>
      <c r="J457" s="60"/>
      <c r="K457" s="62"/>
      <c r="L457" s="60"/>
      <c r="M457" s="60"/>
      <c r="N457" s="60"/>
      <c r="O457" s="60"/>
      <c r="P457" s="60"/>
    </row>
    <row r="458" ht="15.75" customHeight="1">
      <c r="A458" s="60"/>
      <c r="B458" s="60"/>
      <c r="C458" s="60"/>
      <c r="D458" s="60"/>
      <c r="E458" s="60"/>
      <c r="F458" s="60"/>
      <c r="G458" s="60"/>
      <c r="H458" s="61"/>
      <c r="I458" s="60"/>
      <c r="J458" s="60"/>
      <c r="K458" s="62"/>
      <c r="L458" s="60"/>
      <c r="M458" s="60"/>
      <c r="N458" s="60"/>
      <c r="O458" s="60"/>
      <c r="P458" s="60"/>
    </row>
    <row r="459" ht="15.75" customHeight="1">
      <c r="A459" s="60"/>
      <c r="B459" s="60"/>
      <c r="C459" s="60"/>
      <c r="D459" s="60"/>
      <c r="E459" s="60"/>
      <c r="F459" s="60"/>
      <c r="G459" s="60"/>
      <c r="H459" s="61"/>
      <c r="I459" s="60"/>
      <c r="J459" s="60"/>
      <c r="K459" s="62"/>
      <c r="L459" s="60"/>
      <c r="M459" s="60"/>
      <c r="N459" s="60"/>
      <c r="O459" s="60"/>
      <c r="P459" s="60"/>
    </row>
    <row r="460" ht="15.75" customHeight="1">
      <c r="A460" s="60"/>
      <c r="B460" s="60"/>
      <c r="C460" s="60"/>
      <c r="D460" s="60"/>
      <c r="E460" s="60"/>
      <c r="F460" s="60"/>
      <c r="G460" s="60"/>
      <c r="H460" s="61"/>
      <c r="I460" s="60"/>
      <c r="J460" s="60"/>
      <c r="K460" s="62"/>
      <c r="L460" s="60"/>
      <c r="M460" s="60"/>
      <c r="N460" s="60"/>
      <c r="O460" s="60"/>
      <c r="P460" s="60"/>
    </row>
    <row r="461" ht="15.75" customHeight="1">
      <c r="A461" s="60"/>
      <c r="B461" s="60"/>
      <c r="C461" s="60"/>
      <c r="D461" s="60"/>
      <c r="E461" s="60"/>
      <c r="F461" s="60"/>
      <c r="G461" s="60"/>
      <c r="H461" s="61"/>
      <c r="I461" s="60"/>
      <c r="J461" s="60"/>
      <c r="K461" s="62"/>
      <c r="L461" s="60"/>
      <c r="M461" s="60"/>
      <c r="N461" s="60"/>
      <c r="O461" s="60"/>
      <c r="P461" s="60"/>
    </row>
    <row r="462" ht="15.75" customHeight="1">
      <c r="A462" s="60"/>
      <c r="B462" s="60"/>
      <c r="C462" s="60"/>
      <c r="D462" s="60"/>
      <c r="E462" s="60"/>
      <c r="F462" s="60"/>
      <c r="G462" s="60"/>
      <c r="H462" s="61"/>
      <c r="I462" s="60"/>
      <c r="J462" s="60"/>
      <c r="K462" s="62"/>
      <c r="L462" s="60"/>
      <c r="M462" s="60"/>
      <c r="N462" s="60"/>
      <c r="O462" s="60"/>
      <c r="P462" s="60"/>
    </row>
    <row r="463" ht="15.75" customHeight="1">
      <c r="A463" s="60"/>
      <c r="B463" s="60"/>
      <c r="C463" s="60"/>
      <c r="D463" s="60"/>
      <c r="E463" s="60"/>
      <c r="F463" s="60"/>
      <c r="G463" s="60"/>
      <c r="H463" s="61"/>
      <c r="I463" s="60"/>
      <c r="J463" s="60"/>
      <c r="K463" s="62"/>
      <c r="L463" s="60"/>
      <c r="M463" s="60"/>
      <c r="N463" s="60"/>
      <c r="O463" s="60"/>
      <c r="P463" s="60"/>
    </row>
    <row r="464" ht="15.75" customHeight="1">
      <c r="A464" s="60"/>
      <c r="B464" s="60"/>
      <c r="C464" s="60"/>
      <c r="D464" s="60"/>
      <c r="E464" s="60"/>
      <c r="F464" s="60"/>
      <c r="G464" s="60"/>
      <c r="H464" s="61"/>
      <c r="I464" s="60"/>
      <c r="J464" s="60"/>
      <c r="K464" s="62"/>
      <c r="L464" s="60"/>
      <c r="M464" s="60"/>
      <c r="N464" s="60"/>
      <c r="O464" s="60"/>
      <c r="P464" s="60"/>
    </row>
    <row r="465" ht="15.75" customHeight="1">
      <c r="A465" s="60"/>
      <c r="B465" s="60"/>
      <c r="C465" s="60"/>
      <c r="D465" s="60"/>
      <c r="E465" s="60"/>
      <c r="F465" s="60"/>
      <c r="G465" s="60"/>
      <c r="H465" s="61"/>
      <c r="I465" s="60"/>
      <c r="J465" s="60"/>
      <c r="K465" s="62"/>
      <c r="L465" s="60"/>
      <c r="M465" s="60"/>
      <c r="N465" s="60"/>
      <c r="O465" s="60"/>
      <c r="P465" s="60"/>
    </row>
    <row r="466" ht="15.75" customHeight="1">
      <c r="A466" s="60"/>
      <c r="B466" s="60"/>
      <c r="C466" s="60"/>
      <c r="D466" s="60"/>
      <c r="E466" s="60"/>
      <c r="F466" s="60"/>
      <c r="G466" s="60"/>
      <c r="H466" s="61"/>
      <c r="I466" s="60"/>
      <c r="J466" s="60"/>
      <c r="K466" s="62"/>
      <c r="L466" s="60"/>
      <c r="M466" s="60"/>
      <c r="N466" s="60"/>
      <c r="O466" s="60"/>
      <c r="P466" s="60"/>
    </row>
    <row r="467" ht="15.75" customHeight="1">
      <c r="A467" s="60"/>
      <c r="B467" s="60"/>
      <c r="C467" s="60"/>
      <c r="D467" s="60"/>
      <c r="E467" s="60"/>
      <c r="F467" s="60"/>
      <c r="G467" s="60"/>
      <c r="H467" s="61"/>
      <c r="I467" s="60"/>
      <c r="J467" s="60"/>
      <c r="K467" s="62"/>
      <c r="L467" s="60"/>
      <c r="M467" s="60"/>
      <c r="N467" s="60"/>
      <c r="O467" s="60"/>
      <c r="P467" s="60"/>
    </row>
    <row r="468" ht="15.75" customHeight="1">
      <c r="A468" s="60"/>
      <c r="B468" s="60"/>
      <c r="C468" s="60"/>
      <c r="D468" s="60"/>
      <c r="E468" s="60"/>
      <c r="F468" s="60"/>
      <c r="G468" s="60"/>
      <c r="H468" s="61"/>
      <c r="I468" s="60"/>
      <c r="J468" s="60"/>
      <c r="K468" s="62"/>
      <c r="L468" s="60"/>
      <c r="M468" s="60"/>
      <c r="N468" s="60"/>
      <c r="O468" s="60"/>
      <c r="P468" s="60"/>
    </row>
    <row r="469" ht="15.75" customHeight="1">
      <c r="A469" s="60"/>
      <c r="B469" s="60"/>
      <c r="C469" s="60"/>
      <c r="D469" s="60"/>
      <c r="E469" s="60"/>
      <c r="F469" s="60"/>
      <c r="G469" s="60"/>
      <c r="H469" s="61"/>
      <c r="I469" s="60"/>
      <c r="J469" s="60"/>
      <c r="K469" s="62"/>
      <c r="L469" s="60"/>
      <c r="M469" s="60"/>
      <c r="N469" s="60"/>
      <c r="O469" s="60"/>
      <c r="P469" s="60"/>
    </row>
    <row r="470" ht="15.75" customHeight="1">
      <c r="A470" s="60"/>
      <c r="B470" s="60"/>
      <c r="C470" s="60"/>
      <c r="D470" s="60"/>
      <c r="E470" s="60"/>
      <c r="F470" s="60"/>
      <c r="G470" s="60"/>
      <c r="H470" s="61"/>
      <c r="I470" s="60"/>
      <c r="J470" s="60"/>
      <c r="K470" s="62"/>
      <c r="L470" s="60"/>
      <c r="M470" s="60"/>
      <c r="N470" s="60"/>
      <c r="O470" s="60"/>
      <c r="P470" s="60"/>
    </row>
    <row r="471" ht="15.75" customHeight="1">
      <c r="A471" s="60"/>
      <c r="B471" s="60"/>
      <c r="C471" s="60"/>
      <c r="D471" s="60"/>
      <c r="E471" s="60"/>
      <c r="F471" s="60"/>
      <c r="G471" s="60"/>
      <c r="H471" s="61"/>
      <c r="I471" s="60"/>
      <c r="J471" s="60"/>
      <c r="K471" s="62"/>
      <c r="L471" s="60"/>
      <c r="M471" s="60"/>
      <c r="N471" s="60"/>
      <c r="O471" s="60"/>
      <c r="P471" s="60"/>
    </row>
    <row r="472" ht="15.75" customHeight="1">
      <c r="A472" s="60"/>
      <c r="B472" s="60"/>
      <c r="C472" s="60"/>
      <c r="D472" s="60"/>
      <c r="E472" s="60"/>
      <c r="F472" s="60"/>
      <c r="G472" s="60"/>
      <c r="H472" s="61"/>
      <c r="I472" s="60"/>
      <c r="J472" s="60"/>
      <c r="K472" s="62"/>
      <c r="L472" s="60"/>
      <c r="M472" s="60"/>
      <c r="N472" s="60"/>
      <c r="O472" s="60"/>
      <c r="P472" s="60"/>
    </row>
    <row r="473" ht="15.75" customHeight="1">
      <c r="A473" s="60"/>
      <c r="B473" s="60"/>
      <c r="C473" s="60"/>
      <c r="D473" s="60"/>
      <c r="E473" s="60"/>
      <c r="F473" s="60"/>
      <c r="G473" s="60"/>
      <c r="H473" s="61"/>
      <c r="I473" s="60"/>
      <c r="J473" s="60"/>
      <c r="K473" s="62"/>
      <c r="L473" s="60"/>
      <c r="M473" s="60"/>
      <c r="N473" s="60"/>
      <c r="O473" s="60"/>
      <c r="P473" s="60"/>
    </row>
    <row r="474" ht="15.75" customHeight="1">
      <c r="A474" s="60"/>
      <c r="B474" s="60"/>
      <c r="C474" s="60"/>
      <c r="D474" s="60"/>
      <c r="E474" s="60"/>
      <c r="F474" s="60"/>
      <c r="G474" s="60"/>
      <c r="H474" s="61"/>
      <c r="I474" s="60"/>
      <c r="J474" s="60"/>
      <c r="K474" s="62"/>
      <c r="L474" s="60"/>
      <c r="M474" s="60"/>
      <c r="N474" s="60"/>
      <c r="O474" s="60"/>
      <c r="P474" s="60"/>
    </row>
    <row r="475" ht="15.75" customHeight="1">
      <c r="A475" s="60"/>
      <c r="B475" s="60"/>
      <c r="C475" s="60"/>
      <c r="D475" s="60"/>
      <c r="E475" s="60"/>
      <c r="F475" s="60"/>
      <c r="G475" s="60"/>
      <c r="H475" s="61"/>
      <c r="I475" s="60"/>
      <c r="J475" s="60"/>
      <c r="K475" s="62"/>
      <c r="L475" s="60"/>
      <c r="M475" s="60"/>
      <c r="N475" s="60"/>
      <c r="O475" s="60"/>
      <c r="P475" s="60"/>
    </row>
    <row r="476" ht="15.75" customHeight="1">
      <c r="A476" s="60"/>
      <c r="B476" s="60"/>
      <c r="C476" s="60"/>
      <c r="D476" s="60"/>
      <c r="E476" s="60"/>
      <c r="F476" s="60"/>
      <c r="G476" s="60"/>
      <c r="H476" s="61"/>
      <c r="I476" s="60"/>
      <c r="J476" s="60"/>
      <c r="K476" s="62"/>
      <c r="L476" s="60"/>
      <c r="M476" s="60"/>
      <c r="N476" s="60"/>
      <c r="O476" s="60"/>
      <c r="P476" s="60"/>
    </row>
    <row r="477" ht="15.75" customHeight="1">
      <c r="A477" s="60"/>
      <c r="B477" s="60"/>
      <c r="C477" s="60"/>
      <c r="D477" s="60"/>
      <c r="E477" s="60"/>
      <c r="F477" s="60"/>
      <c r="G477" s="60"/>
      <c r="H477" s="61"/>
      <c r="I477" s="60"/>
      <c r="J477" s="60"/>
      <c r="K477" s="62"/>
      <c r="L477" s="60"/>
      <c r="M477" s="60"/>
      <c r="N477" s="60"/>
      <c r="O477" s="60"/>
      <c r="P477" s="60"/>
    </row>
    <row r="478" ht="15.75" customHeight="1">
      <c r="A478" s="60"/>
      <c r="B478" s="60"/>
      <c r="C478" s="60"/>
      <c r="D478" s="60"/>
      <c r="E478" s="60"/>
      <c r="F478" s="60"/>
      <c r="G478" s="60"/>
      <c r="H478" s="61"/>
      <c r="I478" s="60"/>
      <c r="J478" s="60"/>
      <c r="K478" s="62"/>
      <c r="L478" s="60"/>
      <c r="M478" s="60"/>
      <c r="N478" s="60"/>
      <c r="O478" s="60"/>
      <c r="P478" s="60"/>
    </row>
    <row r="479" ht="15.75" customHeight="1">
      <c r="A479" s="60"/>
      <c r="B479" s="60"/>
      <c r="C479" s="60"/>
      <c r="D479" s="60"/>
      <c r="E479" s="60"/>
      <c r="F479" s="60"/>
      <c r="G479" s="60"/>
      <c r="H479" s="61"/>
      <c r="I479" s="60"/>
      <c r="J479" s="60"/>
      <c r="K479" s="62"/>
      <c r="L479" s="60"/>
      <c r="M479" s="60"/>
      <c r="N479" s="60"/>
      <c r="O479" s="60"/>
      <c r="P479" s="60"/>
    </row>
    <row r="480" ht="15.75" customHeight="1">
      <c r="A480" s="60"/>
      <c r="B480" s="60"/>
      <c r="C480" s="60"/>
      <c r="D480" s="60"/>
      <c r="E480" s="60"/>
      <c r="F480" s="60"/>
      <c r="G480" s="60"/>
      <c r="H480" s="61"/>
      <c r="I480" s="60"/>
      <c r="J480" s="60"/>
      <c r="K480" s="62"/>
      <c r="L480" s="60"/>
      <c r="M480" s="60"/>
      <c r="N480" s="60"/>
      <c r="O480" s="60"/>
      <c r="P480" s="60"/>
    </row>
    <row r="481" ht="15.75" customHeight="1">
      <c r="A481" s="60"/>
      <c r="B481" s="60"/>
      <c r="C481" s="60"/>
      <c r="D481" s="60"/>
      <c r="E481" s="60"/>
      <c r="F481" s="60"/>
      <c r="G481" s="60"/>
      <c r="H481" s="61"/>
      <c r="I481" s="60"/>
      <c r="J481" s="60"/>
      <c r="K481" s="62"/>
      <c r="L481" s="60"/>
      <c r="M481" s="60"/>
      <c r="N481" s="60"/>
      <c r="O481" s="60"/>
      <c r="P481" s="60"/>
    </row>
    <row r="482" ht="15.75" customHeight="1">
      <c r="A482" s="60"/>
      <c r="B482" s="60"/>
      <c r="C482" s="60"/>
      <c r="D482" s="60"/>
      <c r="E482" s="60"/>
      <c r="F482" s="60"/>
      <c r="G482" s="60"/>
      <c r="H482" s="61"/>
      <c r="I482" s="60"/>
      <c r="J482" s="60"/>
      <c r="K482" s="62"/>
      <c r="L482" s="60"/>
      <c r="M482" s="60"/>
      <c r="N482" s="60"/>
      <c r="O482" s="60"/>
      <c r="P482" s="60"/>
    </row>
    <row r="483" ht="15.75" customHeight="1">
      <c r="A483" s="60"/>
      <c r="B483" s="60"/>
      <c r="C483" s="60"/>
      <c r="D483" s="60"/>
      <c r="E483" s="60"/>
      <c r="F483" s="60"/>
      <c r="G483" s="60"/>
      <c r="H483" s="61"/>
      <c r="I483" s="60"/>
      <c r="J483" s="60"/>
      <c r="K483" s="62"/>
      <c r="L483" s="60"/>
      <c r="M483" s="60"/>
      <c r="N483" s="60"/>
      <c r="O483" s="60"/>
      <c r="P483" s="60"/>
    </row>
    <row r="484" ht="15.75" customHeight="1">
      <c r="A484" s="60"/>
      <c r="B484" s="60"/>
      <c r="C484" s="60"/>
      <c r="D484" s="60"/>
      <c r="E484" s="60"/>
      <c r="F484" s="60"/>
      <c r="G484" s="60"/>
      <c r="H484" s="61"/>
      <c r="I484" s="60"/>
      <c r="J484" s="60"/>
      <c r="K484" s="62"/>
      <c r="L484" s="60"/>
      <c r="M484" s="60"/>
      <c r="N484" s="60"/>
      <c r="O484" s="60"/>
      <c r="P484" s="60"/>
    </row>
    <row r="485" ht="15.75" customHeight="1">
      <c r="A485" s="60"/>
      <c r="B485" s="60"/>
      <c r="C485" s="60"/>
      <c r="D485" s="60"/>
      <c r="E485" s="60"/>
      <c r="F485" s="60"/>
      <c r="G485" s="60"/>
      <c r="H485" s="61"/>
      <c r="I485" s="60"/>
      <c r="J485" s="60"/>
      <c r="K485" s="62"/>
      <c r="L485" s="60"/>
      <c r="M485" s="60"/>
      <c r="N485" s="60"/>
      <c r="O485" s="60"/>
      <c r="P485" s="60"/>
    </row>
    <row r="486" ht="15.75" customHeight="1">
      <c r="A486" s="60"/>
      <c r="B486" s="60"/>
      <c r="C486" s="60"/>
      <c r="D486" s="60"/>
      <c r="E486" s="60"/>
      <c r="F486" s="60"/>
      <c r="G486" s="60"/>
      <c r="H486" s="61"/>
      <c r="I486" s="60"/>
      <c r="J486" s="60"/>
      <c r="K486" s="62"/>
      <c r="L486" s="60"/>
      <c r="M486" s="60"/>
      <c r="N486" s="60"/>
      <c r="O486" s="60"/>
      <c r="P486" s="60"/>
    </row>
    <row r="487" ht="15.75" customHeight="1">
      <c r="A487" s="60"/>
      <c r="B487" s="60"/>
      <c r="C487" s="60"/>
      <c r="D487" s="60"/>
      <c r="E487" s="60"/>
      <c r="F487" s="60"/>
      <c r="G487" s="60"/>
      <c r="H487" s="61"/>
      <c r="I487" s="60"/>
      <c r="J487" s="60"/>
      <c r="K487" s="62"/>
      <c r="L487" s="60"/>
      <c r="M487" s="60"/>
      <c r="N487" s="60"/>
      <c r="O487" s="60"/>
      <c r="P487" s="60"/>
    </row>
    <row r="488" ht="15.75" customHeight="1">
      <c r="A488" s="60"/>
      <c r="B488" s="60"/>
      <c r="C488" s="60"/>
      <c r="D488" s="60"/>
      <c r="E488" s="60"/>
      <c r="F488" s="60"/>
      <c r="G488" s="60"/>
      <c r="H488" s="61"/>
      <c r="I488" s="60"/>
      <c r="J488" s="60"/>
      <c r="K488" s="62"/>
      <c r="L488" s="60"/>
      <c r="M488" s="60"/>
      <c r="N488" s="60"/>
      <c r="O488" s="60"/>
      <c r="P488" s="60"/>
    </row>
    <row r="489" ht="15.75" customHeight="1">
      <c r="A489" s="60"/>
      <c r="B489" s="60"/>
      <c r="C489" s="60"/>
      <c r="D489" s="60"/>
      <c r="E489" s="60"/>
      <c r="F489" s="60"/>
      <c r="G489" s="60"/>
      <c r="H489" s="61"/>
      <c r="I489" s="60"/>
      <c r="J489" s="60"/>
      <c r="K489" s="62"/>
      <c r="L489" s="60"/>
      <c r="M489" s="60"/>
      <c r="N489" s="60"/>
      <c r="O489" s="60"/>
      <c r="P489" s="60"/>
    </row>
    <row r="490" ht="15.75" customHeight="1">
      <c r="A490" s="60"/>
      <c r="B490" s="60"/>
      <c r="C490" s="60"/>
      <c r="D490" s="60"/>
      <c r="E490" s="60"/>
      <c r="F490" s="60"/>
      <c r="G490" s="60"/>
      <c r="H490" s="61"/>
      <c r="I490" s="60"/>
      <c r="J490" s="60"/>
      <c r="K490" s="62"/>
      <c r="L490" s="60"/>
      <c r="M490" s="60"/>
      <c r="N490" s="60"/>
      <c r="O490" s="60"/>
      <c r="P490" s="60"/>
    </row>
    <row r="491" ht="15.75" customHeight="1">
      <c r="A491" s="60"/>
      <c r="B491" s="60"/>
      <c r="C491" s="60"/>
      <c r="D491" s="60"/>
      <c r="E491" s="60"/>
      <c r="F491" s="60"/>
      <c r="G491" s="60"/>
      <c r="H491" s="61"/>
      <c r="I491" s="60"/>
      <c r="J491" s="60"/>
      <c r="K491" s="62"/>
      <c r="L491" s="60"/>
      <c r="M491" s="60"/>
      <c r="N491" s="60"/>
      <c r="O491" s="60"/>
      <c r="P491" s="60"/>
    </row>
    <row r="492" ht="15.75" customHeight="1">
      <c r="A492" s="60"/>
      <c r="B492" s="60"/>
      <c r="C492" s="60"/>
      <c r="D492" s="60"/>
      <c r="E492" s="60"/>
      <c r="F492" s="60"/>
      <c r="G492" s="60"/>
      <c r="H492" s="61"/>
      <c r="I492" s="60"/>
      <c r="J492" s="60"/>
      <c r="K492" s="62"/>
      <c r="L492" s="60"/>
      <c r="M492" s="60"/>
      <c r="N492" s="60"/>
      <c r="O492" s="60"/>
      <c r="P492" s="60"/>
    </row>
    <row r="493" ht="15.75" customHeight="1">
      <c r="A493" s="60"/>
      <c r="B493" s="60"/>
      <c r="C493" s="60"/>
      <c r="D493" s="60"/>
      <c r="E493" s="60"/>
      <c r="F493" s="60"/>
      <c r="G493" s="60"/>
      <c r="H493" s="61"/>
      <c r="I493" s="60"/>
      <c r="J493" s="60"/>
      <c r="K493" s="62"/>
      <c r="L493" s="60"/>
      <c r="M493" s="60"/>
      <c r="N493" s="60"/>
      <c r="O493" s="60"/>
      <c r="P493" s="60"/>
    </row>
    <row r="494" ht="15.75" customHeight="1">
      <c r="A494" s="60"/>
      <c r="B494" s="60"/>
      <c r="C494" s="60"/>
      <c r="D494" s="60"/>
      <c r="E494" s="60"/>
      <c r="F494" s="60"/>
      <c r="G494" s="60"/>
      <c r="H494" s="61"/>
      <c r="I494" s="60"/>
      <c r="J494" s="60"/>
      <c r="K494" s="62"/>
      <c r="L494" s="60"/>
      <c r="M494" s="60"/>
      <c r="N494" s="60"/>
      <c r="O494" s="60"/>
      <c r="P494" s="60"/>
    </row>
    <row r="495" ht="15.75" customHeight="1">
      <c r="A495" s="60"/>
      <c r="B495" s="60"/>
      <c r="C495" s="60"/>
      <c r="D495" s="60"/>
      <c r="E495" s="60"/>
      <c r="F495" s="60"/>
      <c r="G495" s="60"/>
      <c r="H495" s="61"/>
      <c r="I495" s="60"/>
      <c r="J495" s="60"/>
      <c r="K495" s="62"/>
      <c r="L495" s="60"/>
      <c r="M495" s="60"/>
      <c r="N495" s="60"/>
      <c r="O495" s="60"/>
      <c r="P495" s="60"/>
    </row>
    <row r="496" ht="15.75" customHeight="1">
      <c r="A496" s="60"/>
      <c r="B496" s="60"/>
      <c r="C496" s="60"/>
      <c r="D496" s="60"/>
      <c r="E496" s="60"/>
      <c r="F496" s="60"/>
      <c r="G496" s="60"/>
      <c r="H496" s="61"/>
      <c r="I496" s="60"/>
      <c r="J496" s="60"/>
      <c r="K496" s="62"/>
      <c r="L496" s="60"/>
      <c r="M496" s="60"/>
      <c r="N496" s="60"/>
      <c r="O496" s="60"/>
      <c r="P496" s="60"/>
    </row>
    <row r="497" ht="15.75" customHeight="1">
      <c r="A497" s="60"/>
      <c r="B497" s="60"/>
      <c r="C497" s="60"/>
      <c r="D497" s="60"/>
      <c r="E497" s="60"/>
      <c r="F497" s="60"/>
      <c r="G497" s="60"/>
      <c r="H497" s="61"/>
      <c r="I497" s="60"/>
      <c r="J497" s="60"/>
      <c r="K497" s="62"/>
      <c r="L497" s="60"/>
      <c r="M497" s="60"/>
      <c r="N497" s="60"/>
      <c r="O497" s="60"/>
      <c r="P497" s="60"/>
    </row>
    <row r="498" ht="15.75" customHeight="1">
      <c r="A498" s="60"/>
      <c r="B498" s="60"/>
      <c r="C498" s="60"/>
      <c r="D498" s="60"/>
      <c r="E498" s="60"/>
      <c r="F498" s="60"/>
      <c r="G498" s="60"/>
      <c r="H498" s="61"/>
      <c r="I498" s="60"/>
      <c r="J498" s="60"/>
      <c r="K498" s="62"/>
      <c r="L498" s="60"/>
      <c r="M498" s="60"/>
      <c r="N498" s="60"/>
      <c r="O498" s="60"/>
      <c r="P498" s="60"/>
    </row>
    <row r="499" ht="15.75" customHeight="1">
      <c r="A499" s="60"/>
      <c r="B499" s="60"/>
      <c r="C499" s="60"/>
      <c r="D499" s="60"/>
      <c r="E499" s="60"/>
      <c r="F499" s="60"/>
      <c r="G499" s="60"/>
      <c r="H499" s="61"/>
      <c r="I499" s="60"/>
      <c r="J499" s="60"/>
      <c r="K499" s="62"/>
      <c r="L499" s="60"/>
      <c r="M499" s="60"/>
      <c r="N499" s="60"/>
      <c r="O499" s="60"/>
      <c r="P499" s="60"/>
    </row>
    <row r="500" ht="15.75" customHeight="1">
      <c r="A500" s="60"/>
      <c r="B500" s="60"/>
      <c r="C500" s="60"/>
      <c r="D500" s="60"/>
      <c r="E500" s="60"/>
      <c r="F500" s="60"/>
      <c r="G500" s="60"/>
      <c r="H500" s="61"/>
      <c r="I500" s="60"/>
      <c r="J500" s="60"/>
      <c r="K500" s="62"/>
      <c r="L500" s="60"/>
      <c r="M500" s="60"/>
      <c r="N500" s="60"/>
      <c r="O500" s="60"/>
      <c r="P500" s="60"/>
    </row>
    <row r="501" ht="15.75" customHeight="1">
      <c r="A501" s="60"/>
      <c r="B501" s="60"/>
      <c r="C501" s="60"/>
      <c r="D501" s="60"/>
      <c r="E501" s="60"/>
      <c r="F501" s="60"/>
      <c r="G501" s="60"/>
      <c r="H501" s="61"/>
      <c r="I501" s="60"/>
      <c r="J501" s="60"/>
      <c r="K501" s="62"/>
      <c r="L501" s="60"/>
      <c r="M501" s="60"/>
      <c r="N501" s="60"/>
      <c r="O501" s="60"/>
      <c r="P501" s="60"/>
    </row>
    <row r="502" ht="15.75" customHeight="1">
      <c r="A502" s="60"/>
      <c r="B502" s="60"/>
      <c r="C502" s="60"/>
      <c r="D502" s="60"/>
      <c r="E502" s="60"/>
      <c r="F502" s="60"/>
      <c r="G502" s="60"/>
      <c r="H502" s="61"/>
      <c r="I502" s="60"/>
      <c r="J502" s="60"/>
      <c r="K502" s="62"/>
      <c r="L502" s="60"/>
      <c r="M502" s="60"/>
      <c r="N502" s="60"/>
      <c r="O502" s="60"/>
      <c r="P502" s="60"/>
    </row>
    <row r="503" ht="15.75" customHeight="1">
      <c r="A503" s="60"/>
      <c r="B503" s="60"/>
      <c r="C503" s="60"/>
      <c r="D503" s="60"/>
      <c r="E503" s="60"/>
      <c r="F503" s="60"/>
      <c r="G503" s="60"/>
      <c r="H503" s="61"/>
      <c r="I503" s="60"/>
      <c r="J503" s="60"/>
      <c r="K503" s="62"/>
      <c r="L503" s="60"/>
      <c r="M503" s="60"/>
      <c r="N503" s="60"/>
      <c r="O503" s="60"/>
      <c r="P503" s="60"/>
    </row>
    <row r="504" ht="15.75" customHeight="1">
      <c r="A504" s="60"/>
      <c r="B504" s="60"/>
      <c r="C504" s="60"/>
      <c r="D504" s="60"/>
      <c r="E504" s="60"/>
      <c r="F504" s="60"/>
      <c r="G504" s="60"/>
      <c r="H504" s="61"/>
      <c r="I504" s="60"/>
      <c r="J504" s="60"/>
      <c r="K504" s="62"/>
      <c r="L504" s="60"/>
      <c r="M504" s="60"/>
      <c r="N504" s="60"/>
      <c r="O504" s="60"/>
      <c r="P504" s="60"/>
    </row>
    <row r="505" ht="15.75" customHeight="1">
      <c r="A505" s="60"/>
      <c r="B505" s="60"/>
      <c r="C505" s="60"/>
      <c r="D505" s="60"/>
      <c r="E505" s="60"/>
      <c r="F505" s="60"/>
      <c r="G505" s="60"/>
      <c r="H505" s="61"/>
      <c r="I505" s="60"/>
      <c r="J505" s="60"/>
      <c r="K505" s="62"/>
      <c r="L505" s="60"/>
      <c r="M505" s="60"/>
      <c r="N505" s="60"/>
      <c r="O505" s="60"/>
      <c r="P505" s="60"/>
    </row>
    <row r="506" ht="15.75" customHeight="1">
      <c r="A506" s="60"/>
      <c r="B506" s="60"/>
      <c r="C506" s="60"/>
      <c r="D506" s="60"/>
      <c r="E506" s="60"/>
      <c r="F506" s="60"/>
      <c r="G506" s="60"/>
      <c r="H506" s="61"/>
      <c r="I506" s="60"/>
      <c r="J506" s="60"/>
      <c r="K506" s="62"/>
      <c r="L506" s="60"/>
      <c r="M506" s="60"/>
      <c r="N506" s="60"/>
      <c r="O506" s="60"/>
      <c r="P506" s="60"/>
    </row>
    <row r="507" ht="15.75" customHeight="1">
      <c r="A507" s="60"/>
      <c r="B507" s="60"/>
      <c r="C507" s="60"/>
      <c r="D507" s="60"/>
      <c r="E507" s="60"/>
      <c r="F507" s="60"/>
      <c r="G507" s="60"/>
      <c r="H507" s="61"/>
      <c r="I507" s="60"/>
      <c r="J507" s="60"/>
      <c r="K507" s="62"/>
      <c r="L507" s="60"/>
      <c r="M507" s="60"/>
      <c r="N507" s="60"/>
      <c r="O507" s="60"/>
      <c r="P507" s="60"/>
    </row>
    <row r="508" ht="15.75" customHeight="1">
      <c r="A508" s="60"/>
      <c r="B508" s="60"/>
      <c r="C508" s="60"/>
      <c r="D508" s="60"/>
      <c r="E508" s="60"/>
      <c r="F508" s="60"/>
      <c r="G508" s="60"/>
      <c r="H508" s="61"/>
      <c r="I508" s="60"/>
      <c r="J508" s="60"/>
      <c r="K508" s="62"/>
      <c r="L508" s="60"/>
      <c r="M508" s="60"/>
      <c r="N508" s="60"/>
      <c r="O508" s="60"/>
      <c r="P508" s="60"/>
    </row>
    <row r="509" ht="15.75" customHeight="1">
      <c r="A509" s="60"/>
      <c r="B509" s="60"/>
      <c r="C509" s="60"/>
      <c r="D509" s="60"/>
      <c r="E509" s="60"/>
      <c r="F509" s="60"/>
      <c r="G509" s="60"/>
      <c r="H509" s="61"/>
      <c r="I509" s="60"/>
      <c r="J509" s="60"/>
      <c r="K509" s="62"/>
      <c r="L509" s="60"/>
      <c r="M509" s="60"/>
      <c r="N509" s="60"/>
      <c r="O509" s="60"/>
      <c r="P509" s="60"/>
    </row>
    <row r="510" ht="15.75" customHeight="1">
      <c r="A510" s="60"/>
      <c r="B510" s="60"/>
      <c r="C510" s="60"/>
      <c r="D510" s="60"/>
      <c r="E510" s="60"/>
      <c r="F510" s="60"/>
      <c r="G510" s="60"/>
      <c r="H510" s="61"/>
      <c r="I510" s="60"/>
      <c r="J510" s="60"/>
      <c r="K510" s="62"/>
      <c r="L510" s="60"/>
      <c r="M510" s="60"/>
      <c r="N510" s="60"/>
      <c r="O510" s="60"/>
      <c r="P510" s="60"/>
    </row>
    <row r="511" ht="15.75" customHeight="1">
      <c r="A511" s="60"/>
      <c r="B511" s="60"/>
      <c r="C511" s="60"/>
      <c r="D511" s="60"/>
      <c r="E511" s="60"/>
      <c r="F511" s="60"/>
      <c r="G511" s="60"/>
      <c r="H511" s="61"/>
      <c r="I511" s="60"/>
      <c r="J511" s="60"/>
      <c r="K511" s="62"/>
      <c r="L511" s="60"/>
      <c r="M511" s="60"/>
      <c r="N511" s="60"/>
      <c r="O511" s="60"/>
      <c r="P511" s="60"/>
    </row>
    <row r="512" ht="15.75" customHeight="1">
      <c r="A512" s="60"/>
      <c r="B512" s="60"/>
      <c r="C512" s="60"/>
      <c r="D512" s="60"/>
      <c r="E512" s="60"/>
      <c r="F512" s="60"/>
      <c r="G512" s="60"/>
      <c r="H512" s="61"/>
      <c r="I512" s="60"/>
      <c r="J512" s="60"/>
      <c r="K512" s="62"/>
      <c r="L512" s="60"/>
      <c r="M512" s="60"/>
      <c r="N512" s="60"/>
      <c r="O512" s="60"/>
      <c r="P512" s="60"/>
    </row>
    <row r="513" ht="15.75" customHeight="1">
      <c r="A513" s="60"/>
      <c r="B513" s="60"/>
      <c r="C513" s="60"/>
      <c r="D513" s="60"/>
      <c r="E513" s="60"/>
      <c r="F513" s="60"/>
      <c r="G513" s="60"/>
      <c r="H513" s="61"/>
      <c r="I513" s="60"/>
      <c r="J513" s="60"/>
      <c r="K513" s="62"/>
      <c r="L513" s="60"/>
      <c r="M513" s="60"/>
      <c r="N513" s="60"/>
      <c r="O513" s="60"/>
      <c r="P513" s="60"/>
    </row>
    <row r="514" ht="15.75" customHeight="1">
      <c r="A514" s="60"/>
      <c r="B514" s="60"/>
      <c r="C514" s="60"/>
      <c r="D514" s="60"/>
      <c r="E514" s="60"/>
      <c r="F514" s="60"/>
      <c r="G514" s="60"/>
      <c r="H514" s="61"/>
      <c r="I514" s="60"/>
      <c r="J514" s="60"/>
      <c r="K514" s="62"/>
      <c r="L514" s="60"/>
      <c r="M514" s="60"/>
      <c r="N514" s="60"/>
      <c r="O514" s="60"/>
      <c r="P514" s="60"/>
    </row>
    <row r="515" ht="15.75" customHeight="1">
      <c r="A515" s="60"/>
      <c r="B515" s="60"/>
      <c r="C515" s="60"/>
      <c r="D515" s="60"/>
      <c r="E515" s="60"/>
      <c r="F515" s="60"/>
      <c r="G515" s="60"/>
      <c r="H515" s="61"/>
      <c r="I515" s="60"/>
      <c r="J515" s="60"/>
      <c r="K515" s="62"/>
      <c r="L515" s="60"/>
      <c r="M515" s="60"/>
      <c r="N515" s="60"/>
      <c r="O515" s="60"/>
      <c r="P515" s="60"/>
    </row>
    <row r="516" ht="15.75" customHeight="1">
      <c r="A516" s="60"/>
      <c r="B516" s="60"/>
      <c r="C516" s="60"/>
      <c r="D516" s="60"/>
      <c r="E516" s="60"/>
      <c r="F516" s="60"/>
      <c r="G516" s="60"/>
      <c r="H516" s="61"/>
      <c r="I516" s="60"/>
      <c r="J516" s="60"/>
      <c r="K516" s="62"/>
      <c r="L516" s="60"/>
      <c r="M516" s="60"/>
      <c r="N516" s="60"/>
      <c r="O516" s="60"/>
      <c r="P516" s="60"/>
    </row>
    <row r="517" ht="15.75" customHeight="1">
      <c r="A517" s="60"/>
      <c r="B517" s="60"/>
      <c r="C517" s="60"/>
      <c r="D517" s="60"/>
      <c r="E517" s="60"/>
      <c r="F517" s="60"/>
      <c r="G517" s="60"/>
      <c r="H517" s="61"/>
      <c r="I517" s="60"/>
      <c r="J517" s="60"/>
      <c r="K517" s="62"/>
      <c r="L517" s="60"/>
      <c r="M517" s="60"/>
      <c r="N517" s="60"/>
      <c r="O517" s="60"/>
      <c r="P517" s="60"/>
    </row>
    <row r="518" ht="15.75" customHeight="1">
      <c r="A518" s="60"/>
      <c r="B518" s="60"/>
      <c r="C518" s="60"/>
      <c r="D518" s="60"/>
      <c r="E518" s="60"/>
      <c r="F518" s="60"/>
      <c r="G518" s="60"/>
      <c r="H518" s="61"/>
      <c r="I518" s="60"/>
      <c r="J518" s="60"/>
      <c r="K518" s="62"/>
      <c r="L518" s="60"/>
      <c r="M518" s="60"/>
      <c r="N518" s="60"/>
      <c r="O518" s="60"/>
      <c r="P518" s="60"/>
    </row>
    <row r="519" ht="15.75" customHeight="1">
      <c r="A519" s="60"/>
      <c r="B519" s="60"/>
      <c r="C519" s="60"/>
      <c r="D519" s="60"/>
      <c r="E519" s="60"/>
      <c r="F519" s="60"/>
      <c r="G519" s="60"/>
      <c r="H519" s="61"/>
      <c r="I519" s="60"/>
      <c r="J519" s="60"/>
      <c r="K519" s="62"/>
      <c r="L519" s="60"/>
      <c r="M519" s="60"/>
      <c r="N519" s="60"/>
      <c r="O519" s="60"/>
      <c r="P519" s="60"/>
    </row>
    <row r="520" ht="15.75" customHeight="1">
      <c r="A520" s="60"/>
      <c r="B520" s="60"/>
      <c r="C520" s="60"/>
      <c r="D520" s="60"/>
      <c r="E520" s="60"/>
      <c r="F520" s="60"/>
      <c r="G520" s="60"/>
      <c r="H520" s="61"/>
      <c r="I520" s="60"/>
      <c r="J520" s="60"/>
      <c r="K520" s="62"/>
      <c r="L520" s="60"/>
      <c r="M520" s="60"/>
      <c r="N520" s="60"/>
      <c r="O520" s="60"/>
      <c r="P520" s="60"/>
    </row>
    <row r="521" ht="15.75" customHeight="1">
      <c r="A521" s="60"/>
      <c r="B521" s="60"/>
      <c r="C521" s="60"/>
      <c r="D521" s="60"/>
      <c r="E521" s="60"/>
      <c r="F521" s="60"/>
      <c r="G521" s="60"/>
      <c r="H521" s="61"/>
      <c r="I521" s="60"/>
      <c r="J521" s="60"/>
      <c r="K521" s="62"/>
      <c r="L521" s="60"/>
      <c r="M521" s="60"/>
      <c r="N521" s="60"/>
      <c r="O521" s="60"/>
      <c r="P521" s="60"/>
    </row>
    <row r="522" ht="15.75" customHeight="1">
      <c r="A522" s="60"/>
      <c r="B522" s="60"/>
      <c r="C522" s="60"/>
      <c r="D522" s="60"/>
      <c r="E522" s="60"/>
      <c r="F522" s="60"/>
      <c r="G522" s="60"/>
      <c r="H522" s="61"/>
      <c r="I522" s="60"/>
      <c r="J522" s="60"/>
      <c r="K522" s="62"/>
      <c r="L522" s="60"/>
      <c r="M522" s="60"/>
      <c r="N522" s="60"/>
      <c r="O522" s="60"/>
      <c r="P522" s="60"/>
    </row>
    <row r="523" ht="15.75" customHeight="1">
      <c r="A523" s="60"/>
      <c r="B523" s="60"/>
      <c r="C523" s="60"/>
      <c r="D523" s="60"/>
      <c r="E523" s="60"/>
      <c r="F523" s="60"/>
      <c r="G523" s="60"/>
      <c r="H523" s="61"/>
      <c r="I523" s="60"/>
      <c r="J523" s="60"/>
      <c r="K523" s="62"/>
      <c r="L523" s="60"/>
      <c r="M523" s="60"/>
      <c r="N523" s="60"/>
      <c r="O523" s="60"/>
      <c r="P523" s="60"/>
    </row>
    <row r="524" ht="15.75" customHeight="1">
      <c r="A524" s="60"/>
      <c r="B524" s="60"/>
      <c r="C524" s="60"/>
      <c r="D524" s="60"/>
      <c r="E524" s="60"/>
      <c r="F524" s="60"/>
      <c r="G524" s="60"/>
      <c r="H524" s="61"/>
      <c r="I524" s="60"/>
      <c r="J524" s="60"/>
      <c r="K524" s="62"/>
      <c r="L524" s="60"/>
      <c r="M524" s="60"/>
      <c r="N524" s="60"/>
      <c r="O524" s="60"/>
      <c r="P524" s="60"/>
    </row>
    <row r="525" ht="15.75" customHeight="1">
      <c r="A525" s="60"/>
      <c r="B525" s="60"/>
      <c r="C525" s="60"/>
      <c r="D525" s="60"/>
      <c r="E525" s="60"/>
      <c r="F525" s="60"/>
      <c r="G525" s="60"/>
      <c r="H525" s="61"/>
      <c r="I525" s="60"/>
      <c r="J525" s="60"/>
      <c r="K525" s="62"/>
      <c r="L525" s="60"/>
      <c r="M525" s="60"/>
      <c r="N525" s="60"/>
      <c r="O525" s="60"/>
      <c r="P525" s="60"/>
    </row>
    <row r="526" ht="15.75" customHeight="1">
      <c r="A526" s="60"/>
      <c r="B526" s="60"/>
      <c r="C526" s="60"/>
      <c r="D526" s="60"/>
      <c r="E526" s="60"/>
      <c r="F526" s="60"/>
      <c r="G526" s="60"/>
      <c r="H526" s="61"/>
      <c r="I526" s="60"/>
      <c r="J526" s="60"/>
      <c r="K526" s="62"/>
      <c r="L526" s="60"/>
      <c r="M526" s="60"/>
      <c r="N526" s="60"/>
      <c r="O526" s="60"/>
      <c r="P526" s="60"/>
    </row>
    <row r="527" ht="15.75" customHeight="1">
      <c r="A527" s="60"/>
      <c r="B527" s="60"/>
      <c r="C527" s="60"/>
      <c r="D527" s="60"/>
      <c r="E527" s="60"/>
      <c r="F527" s="60"/>
      <c r="G527" s="60"/>
      <c r="H527" s="61"/>
      <c r="I527" s="60"/>
      <c r="J527" s="60"/>
      <c r="K527" s="62"/>
      <c r="L527" s="60"/>
      <c r="M527" s="60"/>
      <c r="N527" s="60"/>
      <c r="O527" s="60"/>
      <c r="P527" s="60"/>
    </row>
    <row r="528" ht="15.75" customHeight="1">
      <c r="A528" s="60"/>
      <c r="B528" s="60"/>
      <c r="C528" s="60"/>
      <c r="D528" s="60"/>
      <c r="E528" s="60"/>
      <c r="F528" s="60"/>
      <c r="G528" s="60"/>
      <c r="H528" s="61"/>
      <c r="I528" s="60"/>
      <c r="J528" s="60"/>
      <c r="K528" s="62"/>
      <c r="L528" s="60"/>
      <c r="M528" s="60"/>
      <c r="N528" s="60"/>
      <c r="O528" s="60"/>
      <c r="P528" s="60"/>
    </row>
    <row r="529" ht="15.75" customHeight="1">
      <c r="A529" s="60"/>
      <c r="B529" s="60"/>
      <c r="C529" s="60"/>
      <c r="D529" s="60"/>
      <c r="E529" s="60"/>
      <c r="F529" s="60"/>
      <c r="G529" s="60"/>
      <c r="H529" s="61"/>
      <c r="I529" s="60"/>
      <c r="J529" s="60"/>
      <c r="K529" s="62"/>
      <c r="L529" s="60"/>
      <c r="M529" s="60"/>
      <c r="N529" s="60"/>
      <c r="O529" s="60"/>
      <c r="P529" s="60"/>
    </row>
    <row r="530" ht="15.75" customHeight="1">
      <c r="A530" s="60"/>
      <c r="B530" s="60"/>
      <c r="C530" s="60"/>
      <c r="D530" s="60"/>
      <c r="E530" s="60"/>
      <c r="F530" s="60"/>
      <c r="G530" s="60"/>
      <c r="H530" s="61"/>
      <c r="I530" s="60"/>
      <c r="J530" s="60"/>
      <c r="K530" s="62"/>
      <c r="L530" s="60"/>
      <c r="M530" s="60"/>
      <c r="N530" s="60"/>
      <c r="O530" s="60"/>
      <c r="P530" s="60"/>
    </row>
    <row r="531" ht="15.75" customHeight="1">
      <c r="A531" s="60"/>
      <c r="B531" s="60"/>
      <c r="C531" s="60"/>
      <c r="D531" s="60"/>
      <c r="E531" s="60"/>
      <c r="F531" s="60"/>
      <c r="G531" s="60"/>
      <c r="H531" s="61"/>
      <c r="I531" s="60"/>
      <c r="J531" s="60"/>
      <c r="K531" s="62"/>
      <c r="L531" s="60"/>
      <c r="M531" s="60"/>
      <c r="N531" s="60"/>
      <c r="O531" s="60"/>
      <c r="P531" s="60"/>
    </row>
    <row r="532" ht="15.75" customHeight="1">
      <c r="A532" s="60"/>
      <c r="B532" s="60"/>
      <c r="C532" s="60"/>
      <c r="D532" s="60"/>
      <c r="E532" s="60"/>
      <c r="F532" s="60"/>
      <c r="G532" s="60"/>
      <c r="H532" s="61"/>
      <c r="I532" s="60"/>
      <c r="J532" s="60"/>
      <c r="K532" s="62"/>
      <c r="L532" s="60"/>
      <c r="M532" s="60"/>
      <c r="N532" s="60"/>
      <c r="O532" s="60"/>
      <c r="P532" s="60"/>
    </row>
    <row r="533" ht="15.75" customHeight="1">
      <c r="A533" s="60"/>
      <c r="B533" s="60"/>
      <c r="C533" s="60"/>
      <c r="D533" s="60"/>
      <c r="E533" s="60"/>
      <c r="F533" s="60"/>
      <c r="G533" s="60"/>
      <c r="H533" s="61"/>
      <c r="I533" s="60"/>
      <c r="J533" s="60"/>
      <c r="K533" s="62"/>
      <c r="L533" s="60"/>
      <c r="M533" s="60"/>
      <c r="N533" s="60"/>
      <c r="O533" s="60"/>
      <c r="P533" s="60"/>
    </row>
    <row r="534" ht="15.75" customHeight="1">
      <c r="A534" s="60"/>
      <c r="B534" s="60"/>
      <c r="C534" s="60"/>
      <c r="D534" s="60"/>
      <c r="E534" s="60"/>
      <c r="F534" s="60"/>
      <c r="G534" s="60"/>
      <c r="H534" s="61"/>
      <c r="I534" s="60"/>
      <c r="J534" s="60"/>
      <c r="K534" s="62"/>
      <c r="L534" s="60"/>
      <c r="M534" s="60"/>
      <c r="N534" s="60"/>
      <c r="O534" s="60"/>
      <c r="P534" s="60"/>
    </row>
    <row r="535" ht="15.75" customHeight="1">
      <c r="A535" s="60"/>
      <c r="B535" s="60"/>
      <c r="C535" s="60"/>
      <c r="D535" s="60"/>
      <c r="E535" s="60"/>
      <c r="F535" s="60"/>
      <c r="G535" s="60"/>
      <c r="H535" s="61"/>
      <c r="I535" s="60"/>
      <c r="J535" s="60"/>
      <c r="K535" s="62"/>
      <c r="L535" s="60"/>
      <c r="M535" s="60"/>
      <c r="N535" s="60"/>
      <c r="O535" s="60"/>
      <c r="P535" s="60"/>
    </row>
    <row r="536" ht="15.75" customHeight="1">
      <c r="A536" s="60"/>
      <c r="B536" s="60"/>
      <c r="C536" s="60"/>
      <c r="D536" s="60"/>
      <c r="E536" s="60"/>
      <c r="F536" s="60"/>
      <c r="G536" s="60"/>
      <c r="H536" s="61"/>
      <c r="I536" s="60"/>
      <c r="J536" s="60"/>
      <c r="K536" s="62"/>
      <c r="L536" s="60"/>
      <c r="M536" s="60"/>
      <c r="N536" s="60"/>
      <c r="O536" s="60"/>
      <c r="P536" s="60"/>
    </row>
    <row r="537" ht="15.75" customHeight="1">
      <c r="A537" s="60"/>
      <c r="B537" s="60"/>
      <c r="C537" s="60"/>
      <c r="D537" s="60"/>
      <c r="E537" s="60"/>
      <c r="F537" s="60"/>
      <c r="G537" s="60"/>
      <c r="H537" s="61"/>
      <c r="I537" s="60"/>
      <c r="J537" s="60"/>
      <c r="K537" s="62"/>
      <c r="L537" s="60"/>
      <c r="M537" s="60"/>
      <c r="N537" s="60"/>
      <c r="O537" s="60"/>
      <c r="P537" s="60"/>
    </row>
    <row r="538" ht="15.75" customHeight="1">
      <c r="A538" s="60"/>
      <c r="B538" s="60"/>
      <c r="C538" s="60"/>
      <c r="D538" s="60"/>
      <c r="E538" s="60"/>
      <c r="F538" s="60"/>
      <c r="G538" s="60"/>
      <c r="H538" s="61"/>
      <c r="I538" s="60"/>
      <c r="J538" s="60"/>
      <c r="K538" s="62"/>
      <c r="L538" s="60"/>
      <c r="M538" s="60"/>
      <c r="N538" s="60"/>
      <c r="O538" s="60"/>
      <c r="P538" s="60"/>
    </row>
    <row r="539" ht="15.75" customHeight="1">
      <c r="A539" s="60"/>
      <c r="B539" s="60"/>
      <c r="C539" s="60"/>
      <c r="D539" s="60"/>
      <c r="E539" s="60"/>
      <c r="F539" s="60"/>
      <c r="G539" s="60"/>
      <c r="H539" s="61"/>
      <c r="I539" s="60"/>
      <c r="J539" s="60"/>
      <c r="K539" s="62"/>
      <c r="L539" s="60"/>
      <c r="M539" s="60"/>
      <c r="N539" s="60"/>
      <c r="O539" s="60"/>
      <c r="P539" s="60"/>
    </row>
    <row r="540" ht="15.75" customHeight="1">
      <c r="A540" s="60"/>
      <c r="B540" s="60"/>
      <c r="C540" s="60"/>
      <c r="D540" s="60"/>
      <c r="E540" s="60"/>
      <c r="F540" s="60"/>
      <c r="G540" s="60"/>
      <c r="H540" s="61"/>
      <c r="I540" s="60"/>
      <c r="J540" s="60"/>
      <c r="K540" s="62"/>
      <c r="L540" s="60"/>
      <c r="M540" s="60"/>
      <c r="N540" s="60"/>
      <c r="O540" s="60"/>
      <c r="P540" s="60"/>
    </row>
    <row r="541" ht="15.75" customHeight="1">
      <c r="A541" s="60"/>
      <c r="B541" s="60"/>
      <c r="C541" s="60"/>
      <c r="D541" s="60"/>
      <c r="E541" s="60"/>
      <c r="F541" s="60"/>
      <c r="G541" s="60"/>
      <c r="H541" s="61"/>
      <c r="I541" s="60"/>
      <c r="J541" s="60"/>
      <c r="K541" s="62"/>
      <c r="L541" s="60"/>
      <c r="M541" s="60"/>
      <c r="N541" s="60"/>
      <c r="O541" s="60"/>
      <c r="P541" s="60"/>
    </row>
    <row r="542" ht="15.75" customHeight="1">
      <c r="A542" s="60"/>
      <c r="B542" s="60"/>
      <c r="C542" s="60"/>
      <c r="D542" s="60"/>
      <c r="E542" s="60"/>
      <c r="F542" s="60"/>
      <c r="G542" s="60"/>
      <c r="H542" s="61"/>
      <c r="I542" s="60"/>
      <c r="J542" s="60"/>
      <c r="K542" s="62"/>
      <c r="L542" s="60"/>
      <c r="M542" s="60"/>
      <c r="N542" s="60"/>
      <c r="O542" s="60"/>
      <c r="P542" s="60"/>
    </row>
    <row r="543" ht="15.75" customHeight="1">
      <c r="A543" s="60"/>
      <c r="B543" s="60"/>
      <c r="C543" s="60"/>
      <c r="D543" s="60"/>
      <c r="E543" s="60"/>
      <c r="F543" s="60"/>
      <c r="G543" s="60"/>
      <c r="H543" s="61"/>
      <c r="I543" s="60"/>
      <c r="J543" s="60"/>
      <c r="K543" s="62"/>
      <c r="L543" s="60"/>
      <c r="M543" s="60"/>
      <c r="N543" s="60"/>
      <c r="O543" s="60"/>
      <c r="P543" s="60"/>
    </row>
    <row r="544" ht="15.75" customHeight="1">
      <c r="A544" s="60"/>
      <c r="B544" s="60"/>
      <c r="C544" s="60"/>
      <c r="D544" s="60"/>
      <c r="E544" s="60"/>
      <c r="F544" s="60"/>
      <c r="G544" s="60"/>
      <c r="H544" s="61"/>
      <c r="I544" s="60"/>
      <c r="J544" s="60"/>
      <c r="K544" s="62"/>
      <c r="L544" s="60"/>
      <c r="M544" s="60"/>
      <c r="N544" s="60"/>
      <c r="O544" s="60"/>
      <c r="P544" s="60"/>
    </row>
    <row r="545" ht="15.75" customHeight="1">
      <c r="A545" s="60"/>
      <c r="B545" s="60"/>
      <c r="C545" s="60"/>
      <c r="D545" s="60"/>
      <c r="E545" s="60"/>
      <c r="F545" s="60"/>
      <c r="G545" s="60"/>
      <c r="H545" s="61"/>
      <c r="I545" s="60"/>
      <c r="J545" s="60"/>
      <c r="K545" s="62"/>
      <c r="L545" s="60"/>
      <c r="M545" s="60"/>
      <c r="N545" s="60"/>
      <c r="O545" s="60"/>
      <c r="P545" s="60"/>
    </row>
    <row r="546" ht="15.75" customHeight="1">
      <c r="A546" s="60"/>
      <c r="B546" s="60"/>
      <c r="C546" s="60"/>
      <c r="D546" s="60"/>
      <c r="E546" s="60"/>
      <c r="F546" s="60"/>
      <c r="G546" s="60"/>
      <c r="H546" s="61"/>
      <c r="I546" s="60"/>
      <c r="J546" s="60"/>
      <c r="K546" s="62"/>
      <c r="L546" s="60"/>
      <c r="M546" s="60"/>
      <c r="N546" s="60"/>
      <c r="O546" s="60"/>
      <c r="P546" s="60"/>
    </row>
    <row r="547" ht="15.75" customHeight="1">
      <c r="A547" s="60"/>
      <c r="B547" s="60"/>
      <c r="C547" s="60"/>
      <c r="D547" s="60"/>
      <c r="E547" s="60"/>
      <c r="F547" s="60"/>
      <c r="G547" s="60"/>
      <c r="H547" s="61"/>
      <c r="I547" s="60"/>
      <c r="J547" s="60"/>
      <c r="K547" s="62"/>
      <c r="L547" s="60"/>
      <c r="M547" s="60"/>
      <c r="N547" s="60"/>
      <c r="O547" s="60"/>
      <c r="P547" s="60"/>
    </row>
    <row r="548" ht="15.75" customHeight="1">
      <c r="A548" s="60"/>
      <c r="B548" s="60"/>
      <c r="C548" s="60"/>
      <c r="D548" s="60"/>
      <c r="E548" s="60"/>
      <c r="F548" s="60"/>
      <c r="G548" s="60"/>
      <c r="H548" s="61"/>
      <c r="I548" s="60"/>
      <c r="J548" s="60"/>
      <c r="K548" s="62"/>
      <c r="L548" s="60"/>
      <c r="M548" s="60"/>
      <c r="N548" s="60"/>
      <c r="O548" s="60"/>
      <c r="P548" s="60"/>
    </row>
    <row r="549" ht="15.75" customHeight="1">
      <c r="A549" s="60"/>
      <c r="B549" s="60"/>
      <c r="C549" s="60"/>
      <c r="D549" s="60"/>
      <c r="E549" s="60"/>
      <c r="F549" s="60"/>
      <c r="G549" s="60"/>
      <c r="H549" s="61"/>
      <c r="I549" s="60"/>
      <c r="J549" s="60"/>
      <c r="K549" s="62"/>
      <c r="L549" s="60"/>
      <c r="M549" s="60"/>
      <c r="N549" s="60"/>
      <c r="O549" s="60"/>
      <c r="P549" s="60"/>
    </row>
    <row r="550" ht="15.75" customHeight="1">
      <c r="A550" s="60"/>
      <c r="B550" s="60"/>
      <c r="C550" s="60"/>
      <c r="D550" s="60"/>
      <c r="E550" s="60"/>
      <c r="F550" s="60"/>
      <c r="G550" s="60"/>
      <c r="H550" s="61"/>
      <c r="I550" s="60"/>
      <c r="J550" s="60"/>
      <c r="K550" s="62"/>
      <c r="L550" s="60"/>
      <c r="M550" s="60"/>
      <c r="N550" s="60"/>
      <c r="O550" s="60"/>
      <c r="P550" s="60"/>
    </row>
    <row r="551" ht="15.75" customHeight="1">
      <c r="A551" s="60"/>
      <c r="B551" s="60"/>
      <c r="C551" s="60"/>
      <c r="D551" s="60"/>
      <c r="E551" s="60"/>
      <c r="F551" s="60"/>
      <c r="G551" s="60"/>
      <c r="H551" s="61"/>
      <c r="I551" s="60"/>
      <c r="J551" s="60"/>
      <c r="K551" s="62"/>
      <c r="L551" s="60"/>
      <c r="M551" s="60"/>
      <c r="N551" s="60"/>
      <c r="O551" s="60"/>
      <c r="P551" s="60"/>
    </row>
    <row r="552" ht="15.75" customHeight="1">
      <c r="A552" s="60"/>
      <c r="B552" s="60"/>
      <c r="C552" s="60"/>
      <c r="D552" s="60"/>
      <c r="E552" s="60"/>
      <c r="F552" s="60"/>
      <c r="G552" s="60"/>
      <c r="H552" s="61"/>
      <c r="I552" s="60"/>
      <c r="J552" s="60"/>
      <c r="K552" s="62"/>
      <c r="L552" s="60"/>
      <c r="M552" s="60"/>
      <c r="N552" s="60"/>
      <c r="O552" s="60"/>
      <c r="P552" s="60"/>
    </row>
    <row r="553" ht="15.75" customHeight="1">
      <c r="A553" s="60"/>
      <c r="B553" s="60"/>
      <c r="C553" s="60"/>
      <c r="D553" s="60"/>
      <c r="E553" s="60"/>
      <c r="F553" s="60"/>
      <c r="G553" s="60"/>
      <c r="H553" s="61"/>
      <c r="I553" s="60"/>
      <c r="J553" s="60"/>
      <c r="K553" s="62"/>
      <c r="L553" s="60"/>
      <c r="M553" s="60"/>
      <c r="N553" s="60"/>
      <c r="O553" s="60"/>
      <c r="P553" s="60"/>
    </row>
    <row r="554" ht="15.75" customHeight="1">
      <c r="A554" s="60"/>
      <c r="B554" s="60"/>
      <c r="C554" s="60"/>
      <c r="D554" s="60"/>
      <c r="E554" s="60"/>
      <c r="F554" s="60"/>
      <c r="G554" s="60"/>
      <c r="H554" s="61"/>
      <c r="I554" s="60"/>
      <c r="J554" s="60"/>
      <c r="K554" s="62"/>
      <c r="L554" s="60"/>
      <c r="M554" s="60"/>
      <c r="N554" s="60"/>
      <c r="O554" s="60"/>
      <c r="P554" s="60"/>
    </row>
    <row r="555" ht="15.75" customHeight="1">
      <c r="A555" s="60"/>
      <c r="B555" s="60"/>
      <c r="C555" s="60"/>
      <c r="D555" s="60"/>
      <c r="E555" s="60"/>
      <c r="F555" s="60"/>
      <c r="G555" s="60"/>
      <c r="H555" s="61"/>
      <c r="I555" s="60"/>
      <c r="J555" s="60"/>
      <c r="K555" s="62"/>
      <c r="L555" s="60"/>
      <c r="M555" s="60"/>
      <c r="N555" s="60"/>
      <c r="O555" s="60"/>
      <c r="P555" s="60"/>
    </row>
    <row r="556" ht="15.75" customHeight="1">
      <c r="A556" s="60"/>
      <c r="B556" s="60"/>
      <c r="C556" s="60"/>
      <c r="D556" s="60"/>
      <c r="E556" s="60"/>
      <c r="F556" s="60"/>
      <c r="G556" s="60"/>
      <c r="H556" s="61"/>
      <c r="I556" s="60"/>
      <c r="J556" s="60"/>
      <c r="K556" s="62"/>
      <c r="L556" s="60"/>
      <c r="M556" s="60"/>
      <c r="N556" s="60"/>
      <c r="O556" s="60"/>
      <c r="P556" s="60"/>
    </row>
    <row r="557" ht="15.75" customHeight="1">
      <c r="A557" s="60"/>
      <c r="B557" s="60"/>
      <c r="C557" s="60"/>
      <c r="D557" s="60"/>
      <c r="E557" s="60"/>
      <c r="F557" s="60"/>
      <c r="G557" s="60"/>
      <c r="H557" s="61"/>
      <c r="I557" s="60"/>
      <c r="J557" s="60"/>
      <c r="K557" s="62"/>
      <c r="L557" s="60"/>
      <c r="M557" s="60"/>
      <c r="N557" s="60"/>
      <c r="O557" s="60"/>
      <c r="P557" s="60"/>
    </row>
    <row r="558" ht="15.75" customHeight="1">
      <c r="A558" s="60"/>
      <c r="B558" s="60"/>
      <c r="C558" s="60"/>
      <c r="D558" s="60"/>
      <c r="E558" s="60"/>
      <c r="F558" s="60"/>
      <c r="G558" s="60"/>
      <c r="H558" s="61"/>
      <c r="I558" s="60"/>
      <c r="J558" s="60"/>
      <c r="K558" s="62"/>
      <c r="L558" s="60"/>
      <c r="M558" s="60"/>
      <c r="N558" s="60"/>
      <c r="O558" s="60"/>
      <c r="P558" s="60"/>
    </row>
    <row r="559" ht="15.75" customHeight="1">
      <c r="A559" s="60"/>
      <c r="B559" s="60"/>
      <c r="C559" s="60"/>
      <c r="D559" s="60"/>
      <c r="E559" s="60"/>
      <c r="F559" s="60"/>
      <c r="G559" s="60"/>
      <c r="H559" s="61"/>
      <c r="I559" s="60"/>
      <c r="J559" s="60"/>
      <c r="K559" s="62"/>
      <c r="L559" s="60"/>
      <c r="M559" s="60"/>
      <c r="N559" s="60"/>
      <c r="O559" s="60"/>
      <c r="P559" s="60"/>
    </row>
    <row r="560" ht="15.75" customHeight="1">
      <c r="A560" s="60"/>
      <c r="B560" s="60"/>
      <c r="C560" s="60"/>
      <c r="D560" s="60"/>
      <c r="E560" s="60"/>
      <c r="F560" s="60"/>
      <c r="G560" s="60"/>
      <c r="H560" s="61"/>
      <c r="I560" s="60"/>
      <c r="J560" s="60"/>
      <c r="K560" s="62"/>
      <c r="L560" s="60"/>
      <c r="M560" s="60"/>
      <c r="N560" s="60"/>
      <c r="O560" s="60"/>
      <c r="P560" s="60"/>
    </row>
    <row r="561" ht="15.75" customHeight="1">
      <c r="A561" s="60"/>
      <c r="B561" s="60"/>
      <c r="C561" s="60"/>
      <c r="D561" s="60"/>
      <c r="E561" s="60"/>
      <c r="F561" s="60"/>
      <c r="G561" s="60"/>
      <c r="H561" s="61"/>
      <c r="I561" s="60"/>
      <c r="J561" s="60"/>
      <c r="K561" s="62"/>
      <c r="L561" s="60"/>
      <c r="M561" s="60"/>
      <c r="N561" s="60"/>
      <c r="O561" s="60"/>
      <c r="P561" s="60"/>
    </row>
    <row r="562" ht="15.75" customHeight="1">
      <c r="A562" s="60"/>
      <c r="B562" s="60"/>
      <c r="C562" s="60"/>
      <c r="D562" s="60"/>
      <c r="E562" s="60"/>
      <c r="F562" s="60"/>
      <c r="G562" s="60"/>
      <c r="H562" s="61"/>
      <c r="I562" s="60"/>
      <c r="J562" s="60"/>
      <c r="K562" s="62"/>
      <c r="L562" s="60"/>
      <c r="M562" s="60"/>
      <c r="N562" s="60"/>
      <c r="O562" s="60"/>
      <c r="P562" s="60"/>
    </row>
    <row r="563" ht="15.75" customHeight="1">
      <c r="A563" s="60"/>
      <c r="B563" s="60"/>
      <c r="C563" s="60"/>
      <c r="D563" s="60"/>
      <c r="E563" s="60"/>
      <c r="F563" s="60"/>
      <c r="G563" s="60"/>
      <c r="H563" s="61"/>
      <c r="I563" s="60"/>
      <c r="J563" s="60"/>
      <c r="K563" s="62"/>
      <c r="L563" s="60"/>
      <c r="M563" s="60"/>
      <c r="N563" s="60"/>
      <c r="O563" s="60"/>
      <c r="P563" s="60"/>
    </row>
    <row r="564" ht="15.75" customHeight="1">
      <c r="A564" s="60"/>
      <c r="B564" s="60"/>
      <c r="C564" s="60"/>
      <c r="D564" s="60"/>
      <c r="E564" s="60"/>
      <c r="F564" s="60"/>
      <c r="G564" s="60"/>
      <c r="H564" s="61"/>
      <c r="I564" s="60"/>
      <c r="J564" s="60"/>
      <c r="K564" s="62"/>
      <c r="L564" s="60"/>
      <c r="M564" s="60"/>
      <c r="N564" s="60"/>
      <c r="O564" s="60"/>
      <c r="P564" s="60"/>
    </row>
    <row r="565" ht="15.75" customHeight="1">
      <c r="A565" s="60"/>
      <c r="B565" s="60"/>
      <c r="C565" s="60"/>
      <c r="D565" s="60"/>
      <c r="E565" s="60"/>
      <c r="F565" s="60"/>
      <c r="G565" s="60"/>
      <c r="H565" s="61"/>
      <c r="I565" s="60"/>
      <c r="J565" s="60"/>
      <c r="K565" s="62"/>
      <c r="L565" s="60"/>
      <c r="M565" s="60"/>
      <c r="N565" s="60"/>
      <c r="O565" s="60"/>
      <c r="P565" s="60"/>
    </row>
    <row r="566" ht="15.75" customHeight="1">
      <c r="A566" s="60"/>
      <c r="B566" s="60"/>
      <c r="C566" s="60"/>
      <c r="D566" s="60"/>
      <c r="E566" s="60"/>
      <c r="F566" s="60"/>
      <c r="G566" s="60"/>
      <c r="H566" s="61"/>
      <c r="I566" s="60"/>
      <c r="J566" s="60"/>
      <c r="K566" s="62"/>
      <c r="L566" s="60"/>
      <c r="M566" s="60"/>
      <c r="N566" s="60"/>
      <c r="O566" s="60"/>
      <c r="P566" s="60"/>
    </row>
    <row r="567" ht="15.75" customHeight="1">
      <c r="A567" s="60"/>
      <c r="B567" s="60"/>
      <c r="C567" s="60"/>
      <c r="D567" s="60"/>
      <c r="E567" s="60"/>
      <c r="F567" s="60"/>
      <c r="G567" s="60"/>
      <c r="H567" s="61"/>
      <c r="I567" s="60"/>
      <c r="J567" s="60"/>
      <c r="K567" s="62"/>
      <c r="L567" s="60"/>
      <c r="M567" s="60"/>
      <c r="N567" s="60"/>
      <c r="O567" s="60"/>
      <c r="P567" s="60"/>
    </row>
    <row r="568" ht="15.75" customHeight="1">
      <c r="A568" s="60"/>
      <c r="B568" s="60"/>
      <c r="C568" s="60"/>
      <c r="D568" s="60"/>
      <c r="E568" s="60"/>
      <c r="F568" s="60"/>
      <c r="G568" s="60"/>
      <c r="H568" s="61"/>
      <c r="I568" s="60"/>
      <c r="J568" s="60"/>
      <c r="K568" s="62"/>
      <c r="L568" s="60"/>
      <c r="M568" s="60"/>
      <c r="N568" s="60"/>
      <c r="O568" s="60"/>
      <c r="P568" s="60"/>
    </row>
    <row r="569" ht="15.75" customHeight="1">
      <c r="A569" s="60"/>
      <c r="B569" s="60"/>
      <c r="C569" s="60"/>
      <c r="D569" s="60"/>
      <c r="E569" s="60"/>
      <c r="F569" s="60"/>
      <c r="G569" s="60"/>
      <c r="H569" s="61"/>
      <c r="I569" s="60"/>
      <c r="J569" s="60"/>
      <c r="K569" s="62"/>
      <c r="L569" s="60"/>
      <c r="M569" s="60"/>
      <c r="N569" s="60"/>
      <c r="O569" s="60"/>
      <c r="P569" s="60"/>
    </row>
    <row r="570" ht="15.75" customHeight="1">
      <c r="A570" s="60"/>
      <c r="B570" s="60"/>
      <c r="C570" s="60"/>
      <c r="D570" s="60"/>
      <c r="E570" s="60"/>
      <c r="F570" s="60"/>
      <c r="G570" s="60"/>
      <c r="H570" s="61"/>
      <c r="I570" s="60"/>
      <c r="J570" s="60"/>
      <c r="K570" s="62"/>
      <c r="L570" s="60"/>
      <c r="M570" s="60"/>
      <c r="N570" s="60"/>
      <c r="O570" s="60"/>
      <c r="P570" s="60"/>
    </row>
    <row r="571" ht="15.75" customHeight="1">
      <c r="A571" s="60"/>
      <c r="B571" s="60"/>
      <c r="C571" s="60"/>
      <c r="D571" s="60"/>
      <c r="E571" s="60"/>
      <c r="F571" s="60"/>
      <c r="G571" s="60"/>
      <c r="H571" s="61"/>
      <c r="I571" s="60"/>
      <c r="J571" s="60"/>
      <c r="K571" s="62"/>
      <c r="L571" s="60"/>
      <c r="M571" s="60"/>
      <c r="N571" s="60"/>
      <c r="O571" s="60"/>
      <c r="P571" s="60"/>
    </row>
    <row r="572" ht="15.75" customHeight="1">
      <c r="A572" s="60"/>
      <c r="B572" s="60"/>
      <c r="C572" s="60"/>
      <c r="D572" s="60"/>
      <c r="E572" s="60"/>
      <c r="F572" s="60"/>
      <c r="G572" s="60"/>
      <c r="H572" s="61"/>
      <c r="I572" s="60"/>
      <c r="J572" s="60"/>
      <c r="K572" s="62"/>
      <c r="L572" s="60"/>
      <c r="M572" s="60"/>
      <c r="N572" s="60"/>
      <c r="O572" s="60"/>
      <c r="P572" s="60"/>
    </row>
    <row r="573" ht="15.75" customHeight="1">
      <c r="A573" s="60"/>
      <c r="B573" s="60"/>
      <c r="C573" s="60"/>
      <c r="D573" s="60"/>
      <c r="E573" s="60"/>
      <c r="F573" s="60"/>
      <c r="G573" s="60"/>
      <c r="H573" s="61"/>
      <c r="I573" s="60"/>
      <c r="J573" s="60"/>
      <c r="K573" s="62"/>
      <c r="L573" s="60"/>
      <c r="M573" s="60"/>
      <c r="N573" s="60"/>
      <c r="O573" s="60"/>
      <c r="P573" s="60"/>
    </row>
    <row r="574" ht="15.75" customHeight="1">
      <c r="A574" s="60"/>
      <c r="B574" s="60"/>
      <c r="C574" s="60"/>
      <c r="D574" s="60"/>
      <c r="E574" s="60"/>
      <c r="F574" s="60"/>
      <c r="G574" s="60"/>
      <c r="H574" s="61"/>
      <c r="I574" s="60"/>
      <c r="J574" s="60"/>
      <c r="K574" s="62"/>
      <c r="L574" s="60"/>
      <c r="M574" s="60"/>
      <c r="N574" s="60"/>
      <c r="O574" s="60"/>
      <c r="P574" s="60"/>
    </row>
    <row r="575" ht="15.75" customHeight="1">
      <c r="A575" s="60"/>
      <c r="B575" s="60"/>
      <c r="C575" s="60"/>
      <c r="D575" s="60"/>
      <c r="E575" s="60"/>
      <c r="F575" s="60"/>
      <c r="G575" s="60"/>
      <c r="H575" s="61"/>
      <c r="I575" s="60"/>
      <c r="J575" s="60"/>
      <c r="K575" s="62"/>
      <c r="L575" s="60"/>
      <c r="M575" s="60"/>
      <c r="N575" s="60"/>
      <c r="O575" s="60"/>
      <c r="P575" s="60"/>
    </row>
    <row r="576" ht="15.75" customHeight="1">
      <c r="A576" s="60"/>
      <c r="B576" s="60"/>
      <c r="C576" s="60"/>
      <c r="D576" s="60"/>
      <c r="E576" s="60"/>
      <c r="F576" s="60"/>
      <c r="G576" s="60"/>
      <c r="H576" s="61"/>
      <c r="I576" s="60"/>
      <c r="J576" s="60"/>
      <c r="K576" s="62"/>
      <c r="L576" s="60"/>
      <c r="M576" s="60"/>
      <c r="N576" s="60"/>
      <c r="O576" s="60"/>
      <c r="P576" s="60"/>
    </row>
    <row r="577" ht="15.75" customHeight="1">
      <c r="A577" s="60"/>
      <c r="B577" s="60"/>
      <c r="C577" s="60"/>
      <c r="D577" s="60"/>
      <c r="E577" s="60"/>
      <c r="F577" s="60"/>
      <c r="G577" s="60"/>
      <c r="H577" s="61"/>
      <c r="I577" s="60"/>
      <c r="J577" s="60"/>
      <c r="K577" s="62"/>
      <c r="L577" s="60"/>
      <c r="M577" s="60"/>
      <c r="N577" s="60"/>
      <c r="O577" s="60"/>
      <c r="P577" s="60"/>
    </row>
    <row r="578" ht="15.75" customHeight="1">
      <c r="A578" s="60"/>
      <c r="B578" s="60"/>
      <c r="C578" s="60"/>
      <c r="D578" s="60"/>
      <c r="E578" s="60"/>
      <c r="F578" s="60"/>
      <c r="G578" s="60"/>
      <c r="H578" s="61"/>
      <c r="I578" s="60"/>
      <c r="J578" s="60"/>
      <c r="K578" s="62"/>
      <c r="L578" s="60"/>
      <c r="M578" s="60"/>
      <c r="N578" s="60"/>
      <c r="O578" s="60"/>
      <c r="P578" s="60"/>
    </row>
    <row r="579" ht="15.75" customHeight="1">
      <c r="A579" s="60"/>
      <c r="B579" s="60"/>
      <c r="C579" s="60"/>
      <c r="D579" s="60"/>
      <c r="E579" s="60"/>
      <c r="F579" s="60"/>
      <c r="G579" s="60"/>
      <c r="H579" s="61"/>
      <c r="I579" s="60"/>
      <c r="J579" s="60"/>
      <c r="K579" s="62"/>
      <c r="L579" s="60"/>
      <c r="M579" s="60"/>
      <c r="N579" s="60"/>
      <c r="O579" s="60"/>
      <c r="P579" s="60"/>
    </row>
    <row r="580" ht="15.75" customHeight="1">
      <c r="A580" s="60"/>
      <c r="B580" s="60"/>
      <c r="C580" s="60"/>
      <c r="D580" s="60"/>
      <c r="E580" s="60"/>
      <c r="F580" s="60"/>
      <c r="G580" s="60"/>
      <c r="H580" s="61"/>
      <c r="I580" s="60"/>
      <c r="J580" s="60"/>
      <c r="K580" s="62"/>
      <c r="L580" s="60"/>
      <c r="M580" s="60"/>
      <c r="N580" s="60"/>
      <c r="O580" s="60"/>
      <c r="P580" s="60"/>
    </row>
    <row r="581" ht="15.75" customHeight="1">
      <c r="A581" s="60"/>
      <c r="B581" s="60"/>
      <c r="C581" s="60"/>
      <c r="D581" s="60"/>
      <c r="E581" s="60"/>
      <c r="F581" s="60"/>
      <c r="G581" s="60"/>
      <c r="H581" s="61"/>
      <c r="I581" s="60"/>
      <c r="J581" s="60"/>
      <c r="K581" s="62"/>
      <c r="L581" s="60"/>
      <c r="M581" s="60"/>
      <c r="N581" s="60"/>
      <c r="O581" s="60"/>
      <c r="P581" s="60"/>
    </row>
    <row r="582" ht="15.75" customHeight="1">
      <c r="A582" s="60"/>
      <c r="B582" s="60"/>
      <c r="C582" s="60"/>
      <c r="D582" s="60"/>
      <c r="E582" s="60"/>
      <c r="F582" s="60"/>
      <c r="G582" s="60"/>
      <c r="H582" s="61"/>
      <c r="I582" s="60"/>
      <c r="J582" s="60"/>
      <c r="K582" s="62"/>
      <c r="L582" s="60"/>
      <c r="M582" s="60"/>
      <c r="N582" s="60"/>
      <c r="O582" s="60"/>
      <c r="P582" s="60"/>
    </row>
    <row r="583" ht="15.75" customHeight="1">
      <c r="A583" s="60"/>
      <c r="B583" s="60"/>
      <c r="C583" s="60"/>
      <c r="D583" s="60"/>
      <c r="E583" s="60"/>
      <c r="F583" s="60"/>
      <c r="G583" s="60"/>
      <c r="H583" s="61"/>
      <c r="I583" s="60"/>
      <c r="J583" s="60"/>
      <c r="K583" s="62"/>
      <c r="L583" s="60"/>
      <c r="M583" s="60"/>
      <c r="N583" s="60"/>
      <c r="O583" s="60"/>
      <c r="P583" s="60"/>
    </row>
    <row r="584" ht="15.75" customHeight="1">
      <c r="A584" s="60"/>
      <c r="B584" s="60"/>
      <c r="C584" s="60"/>
      <c r="D584" s="60"/>
      <c r="E584" s="60"/>
      <c r="F584" s="60"/>
      <c r="G584" s="60"/>
      <c r="H584" s="61"/>
      <c r="I584" s="60"/>
      <c r="J584" s="60"/>
      <c r="K584" s="62"/>
      <c r="L584" s="60"/>
      <c r="M584" s="60"/>
      <c r="N584" s="60"/>
      <c r="O584" s="60"/>
      <c r="P584" s="60"/>
    </row>
    <row r="585" ht="15.75" customHeight="1">
      <c r="A585" s="60"/>
      <c r="B585" s="60"/>
      <c r="C585" s="60"/>
      <c r="D585" s="60"/>
      <c r="E585" s="60"/>
      <c r="F585" s="60"/>
      <c r="G585" s="60"/>
      <c r="H585" s="61"/>
      <c r="I585" s="60"/>
      <c r="J585" s="60"/>
      <c r="K585" s="62"/>
      <c r="L585" s="60"/>
      <c r="M585" s="60"/>
      <c r="N585" s="60"/>
      <c r="O585" s="60"/>
      <c r="P585" s="60"/>
    </row>
    <row r="586" ht="15.75" customHeight="1">
      <c r="A586" s="60"/>
      <c r="B586" s="60"/>
      <c r="C586" s="60"/>
      <c r="D586" s="60"/>
      <c r="E586" s="60"/>
      <c r="F586" s="60"/>
      <c r="G586" s="60"/>
      <c r="H586" s="61"/>
      <c r="I586" s="60"/>
      <c r="J586" s="60"/>
      <c r="K586" s="62"/>
      <c r="L586" s="60"/>
      <c r="M586" s="60"/>
      <c r="N586" s="60"/>
      <c r="O586" s="60"/>
      <c r="P586" s="60"/>
    </row>
    <row r="587" ht="15.75" customHeight="1">
      <c r="A587" s="60"/>
      <c r="B587" s="60"/>
      <c r="C587" s="60"/>
      <c r="D587" s="60"/>
      <c r="E587" s="60"/>
      <c r="F587" s="60"/>
      <c r="G587" s="60"/>
      <c r="H587" s="61"/>
      <c r="I587" s="60"/>
      <c r="J587" s="60"/>
      <c r="K587" s="62"/>
      <c r="L587" s="60"/>
      <c r="M587" s="60"/>
      <c r="N587" s="60"/>
      <c r="O587" s="60"/>
      <c r="P587" s="60"/>
    </row>
    <row r="588" ht="15.75" customHeight="1">
      <c r="A588" s="60"/>
      <c r="B588" s="60"/>
      <c r="C588" s="60"/>
      <c r="D588" s="60"/>
      <c r="E588" s="60"/>
      <c r="F588" s="60"/>
      <c r="G588" s="60"/>
      <c r="H588" s="61"/>
      <c r="I588" s="60"/>
      <c r="J588" s="60"/>
      <c r="K588" s="62"/>
      <c r="L588" s="60"/>
      <c r="M588" s="60"/>
      <c r="N588" s="60"/>
      <c r="O588" s="60"/>
      <c r="P588" s="60"/>
    </row>
    <row r="589" ht="15.75" customHeight="1">
      <c r="A589" s="60"/>
      <c r="B589" s="60"/>
      <c r="C589" s="60"/>
      <c r="D589" s="60"/>
      <c r="E589" s="60"/>
      <c r="F589" s="60"/>
      <c r="G589" s="60"/>
      <c r="H589" s="61"/>
      <c r="I589" s="60"/>
      <c r="J589" s="60"/>
      <c r="K589" s="62"/>
      <c r="L589" s="60"/>
      <c r="M589" s="60"/>
      <c r="N589" s="60"/>
      <c r="O589" s="60"/>
      <c r="P589" s="60"/>
    </row>
    <row r="590" ht="15.75" customHeight="1">
      <c r="A590" s="60"/>
      <c r="B590" s="60"/>
      <c r="C590" s="60"/>
      <c r="D590" s="60"/>
      <c r="E590" s="60"/>
      <c r="F590" s="60"/>
      <c r="G590" s="60"/>
      <c r="H590" s="61"/>
      <c r="I590" s="60"/>
      <c r="J590" s="60"/>
      <c r="K590" s="62"/>
      <c r="L590" s="60"/>
      <c r="M590" s="60"/>
      <c r="N590" s="60"/>
      <c r="O590" s="60"/>
      <c r="P590" s="60"/>
    </row>
    <row r="591" ht="15.75" customHeight="1">
      <c r="A591" s="60"/>
      <c r="B591" s="60"/>
      <c r="C591" s="60"/>
      <c r="D591" s="60"/>
      <c r="E591" s="60"/>
      <c r="F591" s="60"/>
      <c r="G591" s="60"/>
      <c r="H591" s="61"/>
      <c r="I591" s="60"/>
      <c r="J591" s="60"/>
      <c r="K591" s="62"/>
      <c r="L591" s="60"/>
      <c r="M591" s="60"/>
      <c r="N591" s="60"/>
      <c r="O591" s="60"/>
      <c r="P591" s="60"/>
    </row>
    <row r="592" ht="15.75" customHeight="1">
      <c r="A592" s="60"/>
      <c r="B592" s="60"/>
      <c r="C592" s="60"/>
      <c r="D592" s="60"/>
      <c r="E592" s="60"/>
      <c r="F592" s="60"/>
      <c r="G592" s="60"/>
      <c r="H592" s="61"/>
      <c r="I592" s="60"/>
      <c r="J592" s="60"/>
      <c r="K592" s="62"/>
      <c r="L592" s="60"/>
      <c r="M592" s="60"/>
      <c r="N592" s="60"/>
      <c r="O592" s="60"/>
      <c r="P592" s="60"/>
    </row>
    <row r="593" ht="15.75" customHeight="1">
      <c r="A593" s="60"/>
      <c r="B593" s="60"/>
      <c r="C593" s="60"/>
      <c r="D593" s="60"/>
      <c r="E593" s="60"/>
      <c r="F593" s="60"/>
      <c r="G593" s="60"/>
      <c r="H593" s="61"/>
      <c r="I593" s="60"/>
      <c r="J593" s="60"/>
      <c r="K593" s="62"/>
      <c r="L593" s="60"/>
      <c r="M593" s="60"/>
      <c r="N593" s="60"/>
      <c r="O593" s="60"/>
      <c r="P593" s="60"/>
    </row>
    <row r="594" ht="15.75" customHeight="1">
      <c r="A594" s="60"/>
      <c r="B594" s="60"/>
      <c r="C594" s="60"/>
      <c r="D594" s="60"/>
      <c r="E594" s="60"/>
      <c r="F594" s="60"/>
      <c r="G594" s="60"/>
      <c r="H594" s="61"/>
      <c r="I594" s="60"/>
      <c r="J594" s="60"/>
      <c r="K594" s="62"/>
      <c r="L594" s="60"/>
      <c r="M594" s="60"/>
      <c r="N594" s="60"/>
      <c r="O594" s="60"/>
      <c r="P594" s="60"/>
    </row>
    <row r="595" ht="15.75" customHeight="1">
      <c r="A595" s="60"/>
      <c r="B595" s="60"/>
      <c r="C595" s="60"/>
      <c r="D595" s="60"/>
      <c r="E595" s="60"/>
      <c r="F595" s="60"/>
      <c r="G595" s="60"/>
      <c r="H595" s="61"/>
      <c r="I595" s="60"/>
      <c r="J595" s="60"/>
      <c r="K595" s="62"/>
      <c r="L595" s="60"/>
      <c r="M595" s="60"/>
      <c r="N595" s="60"/>
      <c r="O595" s="60"/>
      <c r="P595" s="60"/>
    </row>
    <row r="596" ht="15.75" customHeight="1">
      <c r="A596" s="60"/>
      <c r="B596" s="60"/>
      <c r="C596" s="60"/>
      <c r="D596" s="60"/>
      <c r="E596" s="60"/>
      <c r="F596" s="60"/>
      <c r="G596" s="60"/>
      <c r="H596" s="61"/>
      <c r="I596" s="60"/>
      <c r="J596" s="60"/>
      <c r="K596" s="62"/>
      <c r="L596" s="60"/>
      <c r="M596" s="60"/>
      <c r="N596" s="60"/>
      <c r="O596" s="60"/>
      <c r="P596" s="60"/>
    </row>
    <row r="597" ht="15.75" customHeight="1">
      <c r="A597" s="60"/>
      <c r="B597" s="60"/>
      <c r="C597" s="60"/>
      <c r="D597" s="60"/>
      <c r="E597" s="60"/>
      <c r="F597" s="60"/>
      <c r="G597" s="60"/>
      <c r="H597" s="61"/>
      <c r="I597" s="60"/>
      <c r="J597" s="60"/>
      <c r="K597" s="62"/>
      <c r="L597" s="60"/>
      <c r="M597" s="60"/>
      <c r="N597" s="60"/>
      <c r="O597" s="60"/>
      <c r="P597" s="60"/>
    </row>
    <row r="598" ht="15.75" customHeight="1">
      <c r="A598" s="60"/>
      <c r="B598" s="60"/>
      <c r="C598" s="60"/>
      <c r="D598" s="60"/>
      <c r="E598" s="60"/>
      <c r="F598" s="60"/>
      <c r="G598" s="60"/>
      <c r="H598" s="61"/>
      <c r="I598" s="60"/>
      <c r="J598" s="60"/>
      <c r="K598" s="62"/>
      <c r="L598" s="60"/>
      <c r="M598" s="60"/>
      <c r="N598" s="60"/>
      <c r="O598" s="60"/>
      <c r="P598" s="60"/>
    </row>
    <row r="599" ht="15.75" customHeight="1">
      <c r="A599" s="60"/>
      <c r="B599" s="60"/>
      <c r="C599" s="60"/>
      <c r="D599" s="60"/>
      <c r="E599" s="60"/>
      <c r="F599" s="60"/>
      <c r="G599" s="60"/>
      <c r="H599" s="61"/>
      <c r="I599" s="60"/>
      <c r="J599" s="60"/>
      <c r="K599" s="62"/>
      <c r="L599" s="60"/>
      <c r="M599" s="60"/>
      <c r="N599" s="60"/>
      <c r="O599" s="60"/>
      <c r="P599" s="60"/>
    </row>
    <row r="600" ht="15.75" customHeight="1">
      <c r="A600" s="60"/>
      <c r="B600" s="60"/>
      <c r="C600" s="60"/>
      <c r="D600" s="60"/>
      <c r="E600" s="60"/>
      <c r="F600" s="60"/>
      <c r="G600" s="60"/>
      <c r="H600" s="61"/>
      <c r="I600" s="60"/>
      <c r="J600" s="60"/>
      <c r="K600" s="62"/>
      <c r="L600" s="60"/>
      <c r="M600" s="60"/>
      <c r="N600" s="60"/>
      <c r="O600" s="60"/>
      <c r="P600" s="60"/>
    </row>
    <row r="601" ht="15.75" customHeight="1">
      <c r="A601" s="60"/>
      <c r="B601" s="60"/>
      <c r="C601" s="60"/>
      <c r="D601" s="60"/>
      <c r="E601" s="60"/>
      <c r="F601" s="60"/>
      <c r="G601" s="60"/>
      <c r="H601" s="61"/>
      <c r="I601" s="60"/>
      <c r="J601" s="60"/>
      <c r="K601" s="62"/>
      <c r="L601" s="60"/>
      <c r="M601" s="60"/>
      <c r="N601" s="60"/>
      <c r="O601" s="60"/>
      <c r="P601" s="60"/>
    </row>
    <row r="602" ht="15.75" customHeight="1">
      <c r="A602" s="60"/>
      <c r="B602" s="60"/>
      <c r="C602" s="60"/>
      <c r="D602" s="60"/>
      <c r="E602" s="60"/>
      <c r="F602" s="60"/>
      <c r="G602" s="60"/>
      <c r="H602" s="61"/>
      <c r="I602" s="60"/>
      <c r="J602" s="60"/>
      <c r="K602" s="62"/>
      <c r="L602" s="60"/>
      <c r="M602" s="60"/>
      <c r="N602" s="60"/>
      <c r="O602" s="60"/>
      <c r="P602" s="60"/>
    </row>
    <row r="603" ht="15.75" customHeight="1">
      <c r="A603" s="60"/>
      <c r="B603" s="60"/>
      <c r="C603" s="60"/>
      <c r="D603" s="60"/>
      <c r="E603" s="60"/>
      <c r="F603" s="60"/>
      <c r="G603" s="60"/>
      <c r="H603" s="61"/>
      <c r="I603" s="60"/>
      <c r="J603" s="60"/>
      <c r="K603" s="62"/>
      <c r="L603" s="60"/>
      <c r="M603" s="60"/>
      <c r="N603" s="60"/>
      <c r="O603" s="60"/>
      <c r="P603" s="60"/>
    </row>
    <row r="604" ht="15.75" customHeight="1">
      <c r="A604" s="60"/>
      <c r="B604" s="60"/>
      <c r="C604" s="60"/>
      <c r="D604" s="60"/>
      <c r="E604" s="60"/>
      <c r="F604" s="60"/>
      <c r="G604" s="60"/>
      <c r="H604" s="61"/>
      <c r="I604" s="60"/>
      <c r="J604" s="60"/>
      <c r="K604" s="62"/>
      <c r="L604" s="60"/>
      <c r="M604" s="60"/>
      <c r="N604" s="60"/>
      <c r="O604" s="60"/>
      <c r="P604" s="60"/>
    </row>
    <row r="605" ht="15.75" customHeight="1">
      <c r="A605" s="60"/>
      <c r="B605" s="60"/>
      <c r="C605" s="60"/>
      <c r="D605" s="60"/>
      <c r="E605" s="60"/>
      <c r="F605" s="60"/>
      <c r="G605" s="60"/>
      <c r="H605" s="61"/>
      <c r="I605" s="60"/>
      <c r="J605" s="60"/>
      <c r="K605" s="62"/>
      <c r="L605" s="60"/>
      <c r="M605" s="60"/>
      <c r="N605" s="60"/>
      <c r="O605" s="60"/>
      <c r="P605" s="60"/>
    </row>
    <row r="606" ht="15.75" customHeight="1">
      <c r="A606" s="60"/>
      <c r="B606" s="60"/>
      <c r="C606" s="60"/>
      <c r="D606" s="60"/>
      <c r="E606" s="60"/>
      <c r="F606" s="60"/>
      <c r="G606" s="60"/>
      <c r="H606" s="61"/>
      <c r="I606" s="60"/>
      <c r="J606" s="60"/>
      <c r="K606" s="62"/>
      <c r="L606" s="60"/>
      <c r="M606" s="60"/>
      <c r="N606" s="60"/>
      <c r="O606" s="60"/>
      <c r="P606" s="60"/>
    </row>
    <row r="607" ht="15.75" customHeight="1">
      <c r="A607" s="60"/>
      <c r="B607" s="60"/>
      <c r="C607" s="60"/>
      <c r="D607" s="60"/>
      <c r="E607" s="60"/>
      <c r="F607" s="60"/>
      <c r="G607" s="60"/>
      <c r="H607" s="61"/>
      <c r="I607" s="60"/>
      <c r="J607" s="60"/>
      <c r="K607" s="62"/>
      <c r="L607" s="60"/>
      <c r="M607" s="60"/>
      <c r="N607" s="60"/>
      <c r="O607" s="60"/>
      <c r="P607" s="60"/>
    </row>
    <row r="608" ht="15.75" customHeight="1">
      <c r="A608" s="60"/>
      <c r="B608" s="60"/>
      <c r="C608" s="60"/>
      <c r="D608" s="60"/>
      <c r="E608" s="60"/>
      <c r="F608" s="60"/>
      <c r="G608" s="60"/>
      <c r="H608" s="61"/>
      <c r="I608" s="60"/>
      <c r="J608" s="60"/>
      <c r="K608" s="62"/>
      <c r="L608" s="60"/>
      <c r="M608" s="60"/>
      <c r="N608" s="60"/>
      <c r="O608" s="60"/>
      <c r="P608" s="60"/>
    </row>
    <row r="609" ht="15.75" customHeight="1">
      <c r="A609" s="60"/>
      <c r="B609" s="60"/>
      <c r="C609" s="60"/>
      <c r="D609" s="60"/>
      <c r="E609" s="60"/>
      <c r="F609" s="60"/>
      <c r="G609" s="60"/>
      <c r="H609" s="61"/>
      <c r="I609" s="60"/>
      <c r="J609" s="60"/>
      <c r="K609" s="62"/>
      <c r="L609" s="60"/>
      <c r="M609" s="60"/>
      <c r="N609" s="60"/>
      <c r="O609" s="60"/>
      <c r="P609" s="60"/>
    </row>
    <row r="610" ht="15.75" customHeight="1">
      <c r="A610" s="60"/>
      <c r="B610" s="60"/>
      <c r="C610" s="60"/>
      <c r="D610" s="60"/>
      <c r="E610" s="60"/>
      <c r="F610" s="60"/>
      <c r="G610" s="60"/>
      <c r="H610" s="61"/>
      <c r="I610" s="60"/>
      <c r="J610" s="60"/>
      <c r="K610" s="62"/>
      <c r="L610" s="60"/>
      <c r="M610" s="60"/>
      <c r="N610" s="60"/>
      <c r="O610" s="60"/>
      <c r="P610" s="60"/>
    </row>
    <row r="611" ht="15.75" customHeight="1">
      <c r="A611" s="60"/>
      <c r="B611" s="60"/>
      <c r="C611" s="60"/>
      <c r="D611" s="60"/>
      <c r="E611" s="60"/>
      <c r="F611" s="60"/>
      <c r="G611" s="60"/>
      <c r="H611" s="61"/>
      <c r="I611" s="60"/>
      <c r="J611" s="60"/>
      <c r="K611" s="62"/>
      <c r="L611" s="60"/>
      <c r="M611" s="60"/>
      <c r="N611" s="60"/>
      <c r="O611" s="60"/>
      <c r="P611" s="60"/>
    </row>
    <row r="612" ht="15.75" customHeight="1">
      <c r="A612" s="60"/>
      <c r="B612" s="60"/>
      <c r="C612" s="60"/>
      <c r="D612" s="60"/>
      <c r="E612" s="60"/>
      <c r="F612" s="60"/>
      <c r="G612" s="60"/>
      <c r="H612" s="61"/>
      <c r="I612" s="60"/>
      <c r="J612" s="60"/>
      <c r="K612" s="62"/>
      <c r="L612" s="60"/>
      <c r="M612" s="60"/>
      <c r="N612" s="60"/>
      <c r="O612" s="60"/>
      <c r="P612" s="60"/>
    </row>
    <row r="613" ht="15.75" customHeight="1">
      <c r="A613" s="60"/>
      <c r="B613" s="60"/>
      <c r="C613" s="60"/>
      <c r="D613" s="60"/>
      <c r="E613" s="60"/>
      <c r="F613" s="60"/>
      <c r="G613" s="60"/>
      <c r="H613" s="61"/>
      <c r="I613" s="60"/>
      <c r="J613" s="60"/>
      <c r="K613" s="62"/>
      <c r="L613" s="60"/>
      <c r="M613" s="60"/>
      <c r="N613" s="60"/>
      <c r="O613" s="60"/>
      <c r="P613" s="60"/>
    </row>
    <row r="614" ht="15.75" customHeight="1">
      <c r="A614" s="60"/>
      <c r="B614" s="60"/>
      <c r="C614" s="60"/>
      <c r="D614" s="60"/>
      <c r="E614" s="60"/>
      <c r="F614" s="60"/>
      <c r="G614" s="60"/>
      <c r="H614" s="61"/>
      <c r="I614" s="60"/>
      <c r="J614" s="60"/>
      <c r="K614" s="62"/>
      <c r="L614" s="60"/>
      <c r="M614" s="60"/>
      <c r="N614" s="60"/>
      <c r="O614" s="60"/>
      <c r="P614" s="60"/>
    </row>
    <row r="615" ht="15.75" customHeight="1">
      <c r="A615" s="60"/>
      <c r="B615" s="60"/>
      <c r="C615" s="60"/>
      <c r="D615" s="60"/>
      <c r="E615" s="60"/>
      <c r="F615" s="60"/>
      <c r="G615" s="60"/>
      <c r="H615" s="61"/>
      <c r="I615" s="60"/>
      <c r="J615" s="60"/>
      <c r="K615" s="62"/>
      <c r="L615" s="60"/>
      <c r="M615" s="60"/>
      <c r="N615" s="60"/>
      <c r="O615" s="60"/>
      <c r="P615" s="60"/>
    </row>
    <row r="616" ht="15.75" customHeight="1">
      <c r="A616" s="60"/>
      <c r="B616" s="60"/>
      <c r="C616" s="60"/>
      <c r="D616" s="60"/>
      <c r="E616" s="60"/>
      <c r="F616" s="60"/>
      <c r="G616" s="60"/>
      <c r="H616" s="61"/>
      <c r="I616" s="60"/>
      <c r="J616" s="60"/>
      <c r="K616" s="62"/>
      <c r="L616" s="60"/>
      <c r="M616" s="60"/>
      <c r="N616" s="60"/>
      <c r="O616" s="60"/>
      <c r="P616" s="60"/>
    </row>
    <row r="617" ht="15.75" customHeight="1">
      <c r="A617" s="60"/>
      <c r="B617" s="60"/>
      <c r="C617" s="60"/>
      <c r="D617" s="60"/>
      <c r="E617" s="60"/>
      <c r="F617" s="60"/>
      <c r="G617" s="60"/>
      <c r="H617" s="61"/>
      <c r="I617" s="60"/>
      <c r="J617" s="60"/>
      <c r="K617" s="62"/>
      <c r="L617" s="60"/>
      <c r="M617" s="60"/>
      <c r="N617" s="60"/>
      <c r="O617" s="60"/>
      <c r="P617" s="60"/>
    </row>
    <row r="618" ht="15.75" customHeight="1">
      <c r="A618" s="60"/>
      <c r="B618" s="60"/>
      <c r="C618" s="60"/>
      <c r="D618" s="60"/>
      <c r="E618" s="60"/>
      <c r="F618" s="60"/>
      <c r="G618" s="60"/>
      <c r="H618" s="61"/>
      <c r="I618" s="60"/>
      <c r="J618" s="60"/>
      <c r="K618" s="62"/>
      <c r="L618" s="60"/>
      <c r="M618" s="60"/>
      <c r="N618" s="60"/>
      <c r="O618" s="60"/>
      <c r="P618" s="60"/>
    </row>
    <row r="619" ht="15.75" customHeight="1">
      <c r="A619" s="60"/>
      <c r="B619" s="60"/>
      <c r="C619" s="60"/>
      <c r="D619" s="60"/>
      <c r="E619" s="60"/>
      <c r="F619" s="60"/>
      <c r="G619" s="60"/>
      <c r="H619" s="61"/>
      <c r="I619" s="60"/>
      <c r="J619" s="60"/>
      <c r="K619" s="62"/>
      <c r="L619" s="60"/>
      <c r="M619" s="60"/>
      <c r="N619" s="60"/>
      <c r="O619" s="60"/>
      <c r="P619" s="60"/>
    </row>
    <row r="620" ht="15.75" customHeight="1">
      <c r="A620" s="60"/>
      <c r="B620" s="60"/>
      <c r="C620" s="60"/>
      <c r="D620" s="60"/>
      <c r="E620" s="60"/>
      <c r="F620" s="60"/>
      <c r="G620" s="60"/>
      <c r="H620" s="61"/>
      <c r="I620" s="60"/>
      <c r="J620" s="60"/>
      <c r="K620" s="62"/>
      <c r="L620" s="60"/>
      <c r="M620" s="60"/>
      <c r="N620" s="60"/>
      <c r="O620" s="60"/>
      <c r="P620" s="60"/>
    </row>
    <row r="621" ht="15.75" customHeight="1">
      <c r="A621" s="60"/>
      <c r="B621" s="60"/>
      <c r="C621" s="60"/>
      <c r="D621" s="60"/>
      <c r="E621" s="60"/>
      <c r="F621" s="60"/>
      <c r="G621" s="60"/>
      <c r="H621" s="61"/>
      <c r="I621" s="60"/>
      <c r="J621" s="60"/>
      <c r="K621" s="62"/>
      <c r="L621" s="60"/>
      <c r="M621" s="60"/>
      <c r="N621" s="60"/>
      <c r="O621" s="60"/>
      <c r="P621" s="60"/>
    </row>
    <row r="622" ht="15.75" customHeight="1">
      <c r="A622" s="60"/>
      <c r="B622" s="60"/>
      <c r="C622" s="60"/>
      <c r="D622" s="60"/>
      <c r="E622" s="60"/>
      <c r="F622" s="60"/>
      <c r="G622" s="60"/>
      <c r="H622" s="61"/>
      <c r="I622" s="60"/>
      <c r="J622" s="60"/>
      <c r="K622" s="62"/>
      <c r="L622" s="60"/>
      <c r="M622" s="60"/>
      <c r="N622" s="60"/>
      <c r="O622" s="60"/>
      <c r="P622" s="60"/>
    </row>
    <row r="623" ht="15.75" customHeight="1">
      <c r="A623" s="60"/>
      <c r="B623" s="60"/>
      <c r="C623" s="60"/>
      <c r="D623" s="60"/>
      <c r="E623" s="60"/>
      <c r="F623" s="60"/>
      <c r="G623" s="60"/>
      <c r="H623" s="61"/>
      <c r="I623" s="60"/>
      <c r="J623" s="60"/>
      <c r="K623" s="62"/>
      <c r="L623" s="60"/>
      <c r="M623" s="60"/>
      <c r="N623" s="60"/>
      <c r="O623" s="60"/>
      <c r="P623" s="60"/>
    </row>
    <row r="624" ht="15.75" customHeight="1">
      <c r="A624" s="60"/>
      <c r="B624" s="60"/>
      <c r="C624" s="60"/>
      <c r="D624" s="60"/>
      <c r="E624" s="60"/>
      <c r="F624" s="60"/>
      <c r="G624" s="60"/>
      <c r="H624" s="61"/>
      <c r="I624" s="60"/>
      <c r="J624" s="60"/>
      <c r="K624" s="62"/>
      <c r="L624" s="60"/>
      <c r="M624" s="60"/>
      <c r="N624" s="60"/>
      <c r="O624" s="60"/>
      <c r="P624" s="60"/>
    </row>
    <row r="625" ht="15.75" customHeight="1">
      <c r="A625" s="60"/>
      <c r="B625" s="60"/>
      <c r="C625" s="60"/>
      <c r="D625" s="60"/>
      <c r="E625" s="60"/>
      <c r="F625" s="60"/>
      <c r="G625" s="60"/>
      <c r="H625" s="61"/>
      <c r="I625" s="60"/>
      <c r="J625" s="60"/>
      <c r="K625" s="62"/>
      <c r="L625" s="60"/>
      <c r="M625" s="60"/>
      <c r="N625" s="60"/>
      <c r="O625" s="60"/>
      <c r="P625" s="60"/>
    </row>
    <row r="626" ht="15.75" customHeight="1">
      <c r="A626" s="60"/>
      <c r="B626" s="60"/>
      <c r="C626" s="60"/>
      <c r="D626" s="60"/>
      <c r="E626" s="60"/>
      <c r="F626" s="60"/>
      <c r="G626" s="60"/>
      <c r="H626" s="61"/>
      <c r="I626" s="60"/>
      <c r="J626" s="60"/>
      <c r="K626" s="62"/>
      <c r="L626" s="60"/>
      <c r="M626" s="60"/>
      <c r="N626" s="60"/>
      <c r="O626" s="60"/>
      <c r="P626" s="60"/>
    </row>
    <row r="627" ht="15.75" customHeight="1">
      <c r="A627" s="60"/>
      <c r="B627" s="60"/>
      <c r="C627" s="60"/>
      <c r="D627" s="60"/>
      <c r="E627" s="60"/>
      <c r="F627" s="60"/>
      <c r="G627" s="60"/>
      <c r="H627" s="61"/>
      <c r="I627" s="60"/>
      <c r="J627" s="60"/>
      <c r="K627" s="62"/>
      <c r="L627" s="60"/>
      <c r="M627" s="60"/>
      <c r="N627" s="60"/>
      <c r="O627" s="60"/>
      <c r="P627" s="60"/>
    </row>
    <row r="628" ht="15.75" customHeight="1">
      <c r="A628" s="60"/>
      <c r="B628" s="60"/>
      <c r="C628" s="60"/>
      <c r="D628" s="60"/>
      <c r="E628" s="60"/>
      <c r="F628" s="60"/>
      <c r="G628" s="60"/>
      <c r="H628" s="61"/>
      <c r="I628" s="60"/>
      <c r="J628" s="60"/>
      <c r="K628" s="62"/>
      <c r="L628" s="60"/>
      <c r="M628" s="60"/>
      <c r="N628" s="60"/>
      <c r="O628" s="60"/>
      <c r="P628" s="60"/>
    </row>
    <row r="629" ht="15.75" customHeight="1">
      <c r="A629" s="60"/>
      <c r="B629" s="60"/>
      <c r="C629" s="60"/>
      <c r="D629" s="60"/>
      <c r="E629" s="60"/>
      <c r="F629" s="60"/>
      <c r="G629" s="60"/>
      <c r="H629" s="61"/>
      <c r="I629" s="60"/>
      <c r="J629" s="60"/>
      <c r="K629" s="62"/>
      <c r="L629" s="60"/>
      <c r="M629" s="60"/>
      <c r="N629" s="60"/>
      <c r="O629" s="60"/>
      <c r="P629" s="60"/>
    </row>
    <row r="630" ht="15.75" customHeight="1">
      <c r="A630" s="60"/>
      <c r="B630" s="60"/>
      <c r="C630" s="60"/>
      <c r="D630" s="60"/>
      <c r="E630" s="60"/>
      <c r="F630" s="60"/>
      <c r="G630" s="60"/>
      <c r="H630" s="61"/>
      <c r="I630" s="60"/>
      <c r="J630" s="60"/>
      <c r="K630" s="62"/>
      <c r="L630" s="60"/>
      <c r="M630" s="60"/>
      <c r="N630" s="60"/>
      <c r="O630" s="60"/>
      <c r="P630" s="60"/>
    </row>
    <row r="631" ht="15.75" customHeight="1">
      <c r="A631" s="60"/>
      <c r="B631" s="60"/>
      <c r="C631" s="60"/>
      <c r="D631" s="60"/>
      <c r="E631" s="60"/>
      <c r="F631" s="60"/>
      <c r="G631" s="60"/>
      <c r="H631" s="61"/>
      <c r="I631" s="60"/>
      <c r="J631" s="60"/>
      <c r="K631" s="62"/>
      <c r="L631" s="60"/>
      <c r="M631" s="60"/>
      <c r="N631" s="60"/>
      <c r="O631" s="60"/>
      <c r="P631" s="60"/>
    </row>
    <row r="632" ht="15.75" customHeight="1">
      <c r="A632" s="60"/>
      <c r="B632" s="60"/>
      <c r="C632" s="60"/>
      <c r="D632" s="60"/>
      <c r="E632" s="60"/>
      <c r="F632" s="60"/>
      <c r="G632" s="60"/>
      <c r="H632" s="61"/>
      <c r="I632" s="60"/>
      <c r="J632" s="60"/>
      <c r="K632" s="62"/>
      <c r="L632" s="60"/>
      <c r="M632" s="60"/>
      <c r="N632" s="60"/>
      <c r="O632" s="60"/>
      <c r="P632" s="60"/>
    </row>
    <row r="633" ht="15.75" customHeight="1">
      <c r="A633" s="60"/>
      <c r="B633" s="60"/>
      <c r="C633" s="60"/>
      <c r="D633" s="60"/>
      <c r="E633" s="60"/>
      <c r="F633" s="60"/>
      <c r="G633" s="60"/>
      <c r="H633" s="61"/>
      <c r="I633" s="60"/>
      <c r="J633" s="60"/>
      <c r="K633" s="62"/>
      <c r="L633" s="60"/>
      <c r="M633" s="60"/>
      <c r="N633" s="60"/>
      <c r="O633" s="60"/>
      <c r="P633" s="60"/>
    </row>
    <row r="634" ht="15.75" customHeight="1">
      <c r="A634" s="60"/>
      <c r="B634" s="60"/>
      <c r="C634" s="60"/>
      <c r="D634" s="60"/>
      <c r="E634" s="60"/>
      <c r="F634" s="60"/>
      <c r="G634" s="60"/>
      <c r="H634" s="61"/>
      <c r="I634" s="60"/>
      <c r="J634" s="60"/>
      <c r="K634" s="62"/>
      <c r="L634" s="60"/>
      <c r="M634" s="60"/>
      <c r="N634" s="60"/>
      <c r="O634" s="60"/>
      <c r="P634" s="60"/>
    </row>
    <row r="635" ht="15.75" customHeight="1">
      <c r="A635" s="60"/>
      <c r="B635" s="60"/>
      <c r="C635" s="60"/>
      <c r="D635" s="60"/>
      <c r="E635" s="60"/>
      <c r="F635" s="60"/>
      <c r="G635" s="60"/>
      <c r="H635" s="61"/>
      <c r="I635" s="60"/>
      <c r="J635" s="60"/>
      <c r="K635" s="62"/>
      <c r="L635" s="60"/>
      <c r="M635" s="60"/>
      <c r="N635" s="60"/>
      <c r="O635" s="60"/>
      <c r="P635" s="60"/>
    </row>
    <row r="636" ht="15.75" customHeight="1">
      <c r="A636" s="60"/>
      <c r="B636" s="60"/>
      <c r="C636" s="60"/>
      <c r="D636" s="60"/>
      <c r="E636" s="60"/>
      <c r="F636" s="60"/>
      <c r="G636" s="60"/>
      <c r="H636" s="61"/>
      <c r="I636" s="60"/>
      <c r="J636" s="60"/>
      <c r="K636" s="62"/>
      <c r="L636" s="60"/>
      <c r="M636" s="60"/>
      <c r="N636" s="60"/>
      <c r="O636" s="60"/>
      <c r="P636" s="60"/>
    </row>
    <row r="637" ht="15.75" customHeight="1">
      <c r="A637" s="60"/>
      <c r="B637" s="60"/>
      <c r="C637" s="60"/>
      <c r="D637" s="60"/>
      <c r="E637" s="60"/>
      <c r="F637" s="60"/>
      <c r="G637" s="60"/>
      <c r="H637" s="61"/>
      <c r="I637" s="60"/>
      <c r="J637" s="60"/>
      <c r="K637" s="62"/>
      <c r="L637" s="60"/>
      <c r="M637" s="60"/>
      <c r="N637" s="60"/>
      <c r="O637" s="60"/>
      <c r="P637" s="60"/>
    </row>
    <row r="638" ht="15.75" customHeight="1">
      <c r="A638" s="60"/>
      <c r="B638" s="60"/>
      <c r="C638" s="60"/>
      <c r="D638" s="60"/>
      <c r="E638" s="60"/>
      <c r="F638" s="60"/>
      <c r="G638" s="60"/>
      <c r="H638" s="61"/>
      <c r="I638" s="60"/>
      <c r="J638" s="60"/>
      <c r="K638" s="62"/>
      <c r="L638" s="60"/>
      <c r="M638" s="60"/>
      <c r="N638" s="60"/>
      <c r="O638" s="60"/>
      <c r="P638" s="60"/>
    </row>
    <row r="639" ht="15.75" customHeight="1">
      <c r="A639" s="60"/>
      <c r="B639" s="60"/>
      <c r="C639" s="60"/>
      <c r="D639" s="60"/>
      <c r="E639" s="60"/>
      <c r="F639" s="60"/>
      <c r="G639" s="60"/>
      <c r="H639" s="61"/>
      <c r="I639" s="60"/>
      <c r="J639" s="60"/>
      <c r="K639" s="62"/>
      <c r="L639" s="60"/>
      <c r="M639" s="60"/>
      <c r="N639" s="60"/>
      <c r="O639" s="60"/>
      <c r="P639" s="60"/>
    </row>
    <row r="640" ht="15.75" customHeight="1">
      <c r="A640" s="60"/>
      <c r="B640" s="60"/>
      <c r="C640" s="60"/>
      <c r="D640" s="60"/>
      <c r="E640" s="60"/>
      <c r="F640" s="60"/>
      <c r="G640" s="60"/>
      <c r="H640" s="61"/>
      <c r="I640" s="60"/>
      <c r="J640" s="60"/>
      <c r="K640" s="62"/>
      <c r="L640" s="60"/>
      <c r="M640" s="60"/>
      <c r="N640" s="60"/>
      <c r="O640" s="60"/>
      <c r="P640" s="60"/>
    </row>
    <row r="641" ht="15.75" customHeight="1">
      <c r="A641" s="60"/>
      <c r="B641" s="60"/>
      <c r="C641" s="60"/>
      <c r="D641" s="60"/>
      <c r="E641" s="60"/>
      <c r="F641" s="60"/>
      <c r="G641" s="60"/>
      <c r="H641" s="61"/>
      <c r="I641" s="60"/>
      <c r="J641" s="60"/>
      <c r="K641" s="62"/>
      <c r="L641" s="60"/>
      <c r="M641" s="60"/>
      <c r="N641" s="60"/>
      <c r="O641" s="60"/>
      <c r="P641" s="60"/>
    </row>
    <row r="642" ht="15.75" customHeight="1">
      <c r="A642" s="60"/>
      <c r="B642" s="60"/>
      <c r="C642" s="60"/>
      <c r="D642" s="60"/>
      <c r="E642" s="60"/>
      <c r="F642" s="60"/>
      <c r="G642" s="60"/>
      <c r="H642" s="61"/>
      <c r="I642" s="60"/>
      <c r="J642" s="60"/>
      <c r="K642" s="62"/>
      <c r="L642" s="60"/>
      <c r="M642" s="60"/>
      <c r="N642" s="60"/>
      <c r="O642" s="60"/>
      <c r="P642" s="60"/>
    </row>
    <row r="643" ht="15.75" customHeight="1">
      <c r="A643" s="60"/>
      <c r="B643" s="60"/>
      <c r="C643" s="60"/>
      <c r="D643" s="60"/>
      <c r="E643" s="60"/>
      <c r="F643" s="60"/>
      <c r="G643" s="60"/>
      <c r="H643" s="61"/>
      <c r="I643" s="60"/>
      <c r="J643" s="60"/>
      <c r="K643" s="62"/>
      <c r="L643" s="60"/>
      <c r="M643" s="60"/>
      <c r="N643" s="60"/>
      <c r="O643" s="60"/>
      <c r="P643" s="60"/>
    </row>
    <row r="644" ht="15.75" customHeight="1">
      <c r="A644" s="60"/>
      <c r="B644" s="60"/>
      <c r="C644" s="60"/>
      <c r="D644" s="60"/>
      <c r="E644" s="60"/>
      <c r="F644" s="60"/>
      <c r="G644" s="60"/>
      <c r="H644" s="61"/>
      <c r="I644" s="60"/>
      <c r="J644" s="60"/>
      <c r="K644" s="62"/>
      <c r="L644" s="60"/>
      <c r="M644" s="60"/>
      <c r="N644" s="60"/>
      <c r="O644" s="60"/>
      <c r="P644" s="60"/>
    </row>
    <row r="645" ht="15.75" customHeight="1">
      <c r="A645" s="60"/>
      <c r="B645" s="60"/>
      <c r="C645" s="60"/>
      <c r="D645" s="60"/>
      <c r="E645" s="60"/>
      <c r="F645" s="60"/>
      <c r="G645" s="60"/>
      <c r="H645" s="61"/>
      <c r="I645" s="60"/>
      <c r="J645" s="60"/>
      <c r="K645" s="62"/>
      <c r="L645" s="60"/>
      <c r="M645" s="60"/>
      <c r="N645" s="60"/>
      <c r="O645" s="60"/>
      <c r="P645" s="60"/>
    </row>
    <row r="646" ht="15.75" customHeight="1">
      <c r="A646" s="60"/>
      <c r="B646" s="60"/>
      <c r="C646" s="60"/>
      <c r="D646" s="60"/>
      <c r="E646" s="60"/>
      <c r="F646" s="60"/>
      <c r="G646" s="60"/>
      <c r="H646" s="61"/>
      <c r="I646" s="60"/>
      <c r="J646" s="60"/>
      <c r="K646" s="62"/>
      <c r="L646" s="60"/>
      <c r="M646" s="60"/>
      <c r="N646" s="60"/>
      <c r="O646" s="60"/>
      <c r="P646" s="60"/>
    </row>
    <row r="647" ht="15.75" customHeight="1">
      <c r="A647" s="60"/>
      <c r="B647" s="60"/>
      <c r="C647" s="60"/>
      <c r="D647" s="60"/>
      <c r="E647" s="60"/>
      <c r="F647" s="60"/>
      <c r="G647" s="60"/>
      <c r="H647" s="61"/>
      <c r="I647" s="60"/>
      <c r="J647" s="60"/>
      <c r="K647" s="62"/>
      <c r="L647" s="60"/>
      <c r="M647" s="60"/>
      <c r="N647" s="60"/>
      <c r="O647" s="60"/>
      <c r="P647" s="60"/>
    </row>
    <row r="648" ht="15.75" customHeight="1">
      <c r="A648" s="60"/>
      <c r="B648" s="60"/>
      <c r="C648" s="60"/>
      <c r="D648" s="60"/>
      <c r="E648" s="60"/>
      <c r="F648" s="60"/>
      <c r="G648" s="60"/>
      <c r="H648" s="61"/>
      <c r="I648" s="60"/>
      <c r="J648" s="60"/>
      <c r="K648" s="62"/>
      <c r="L648" s="60"/>
      <c r="M648" s="60"/>
      <c r="N648" s="60"/>
      <c r="O648" s="60"/>
      <c r="P648" s="60"/>
    </row>
    <row r="649" ht="15.75" customHeight="1">
      <c r="A649" s="60"/>
      <c r="B649" s="60"/>
      <c r="C649" s="60"/>
      <c r="D649" s="60"/>
      <c r="E649" s="60"/>
      <c r="F649" s="60"/>
      <c r="G649" s="60"/>
      <c r="H649" s="61"/>
      <c r="I649" s="60"/>
      <c r="J649" s="60"/>
      <c r="K649" s="62"/>
      <c r="L649" s="60"/>
      <c r="M649" s="60"/>
      <c r="N649" s="60"/>
      <c r="O649" s="60"/>
      <c r="P649" s="60"/>
    </row>
    <row r="650" ht="15.75" customHeight="1">
      <c r="A650" s="60"/>
      <c r="B650" s="60"/>
      <c r="C650" s="60"/>
      <c r="D650" s="60"/>
      <c r="E650" s="60"/>
      <c r="F650" s="60"/>
      <c r="G650" s="60"/>
      <c r="H650" s="61"/>
      <c r="I650" s="60"/>
      <c r="J650" s="60"/>
      <c r="K650" s="62"/>
      <c r="L650" s="60"/>
      <c r="M650" s="60"/>
      <c r="N650" s="60"/>
      <c r="O650" s="60"/>
      <c r="P650" s="60"/>
    </row>
    <row r="651" ht="15.75" customHeight="1">
      <c r="A651" s="60"/>
      <c r="B651" s="60"/>
      <c r="C651" s="60"/>
      <c r="D651" s="60"/>
      <c r="E651" s="60"/>
      <c r="F651" s="60"/>
      <c r="G651" s="60"/>
      <c r="H651" s="61"/>
      <c r="I651" s="60"/>
      <c r="J651" s="60"/>
      <c r="K651" s="62"/>
      <c r="L651" s="60"/>
      <c r="M651" s="60"/>
      <c r="N651" s="60"/>
      <c r="O651" s="60"/>
      <c r="P651" s="60"/>
    </row>
    <row r="652" ht="15.75" customHeight="1">
      <c r="A652" s="60"/>
      <c r="B652" s="60"/>
      <c r="C652" s="60"/>
      <c r="D652" s="60"/>
      <c r="E652" s="60"/>
      <c r="F652" s="60"/>
      <c r="G652" s="60"/>
      <c r="H652" s="61"/>
      <c r="I652" s="60"/>
      <c r="J652" s="60"/>
      <c r="K652" s="62"/>
      <c r="L652" s="60"/>
      <c r="M652" s="60"/>
      <c r="N652" s="60"/>
      <c r="O652" s="60"/>
      <c r="P652" s="60"/>
    </row>
    <row r="653" ht="15.75" customHeight="1">
      <c r="A653" s="60"/>
      <c r="B653" s="60"/>
      <c r="C653" s="60"/>
      <c r="D653" s="60"/>
      <c r="E653" s="60"/>
      <c r="F653" s="60"/>
      <c r="G653" s="60"/>
      <c r="H653" s="61"/>
      <c r="I653" s="60"/>
      <c r="J653" s="60"/>
      <c r="K653" s="62"/>
      <c r="L653" s="60"/>
      <c r="M653" s="60"/>
      <c r="N653" s="60"/>
      <c r="O653" s="60"/>
      <c r="P653" s="60"/>
    </row>
    <row r="654" ht="15.75" customHeight="1">
      <c r="A654" s="60"/>
      <c r="B654" s="60"/>
      <c r="C654" s="60"/>
      <c r="D654" s="60"/>
      <c r="E654" s="60"/>
      <c r="F654" s="60"/>
      <c r="G654" s="60"/>
      <c r="H654" s="61"/>
      <c r="I654" s="60"/>
      <c r="J654" s="60"/>
      <c r="K654" s="62"/>
      <c r="L654" s="60"/>
      <c r="M654" s="60"/>
      <c r="N654" s="60"/>
      <c r="O654" s="60"/>
      <c r="P654" s="60"/>
    </row>
    <row r="655" ht="15.75" customHeight="1">
      <c r="A655" s="60"/>
      <c r="B655" s="60"/>
      <c r="C655" s="60"/>
      <c r="D655" s="60"/>
      <c r="E655" s="60"/>
      <c r="F655" s="60"/>
      <c r="G655" s="60"/>
      <c r="H655" s="61"/>
      <c r="I655" s="60"/>
      <c r="J655" s="60"/>
      <c r="K655" s="62"/>
      <c r="L655" s="60"/>
      <c r="M655" s="60"/>
      <c r="N655" s="60"/>
      <c r="O655" s="60"/>
      <c r="P655" s="60"/>
    </row>
    <row r="656" ht="15.75" customHeight="1">
      <c r="A656" s="60"/>
      <c r="B656" s="60"/>
      <c r="C656" s="60"/>
      <c r="D656" s="60"/>
      <c r="E656" s="60"/>
      <c r="F656" s="60"/>
      <c r="G656" s="60"/>
      <c r="H656" s="61"/>
      <c r="I656" s="60"/>
      <c r="J656" s="60"/>
      <c r="K656" s="62"/>
      <c r="L656" s="60"/>
      <c r="M656" s="60"/>
      <c r="N656" s="60"/>
      <c r="O656" s="60"/>
      <c r="P656" s="60"/>
    </row>
    <row r="657" ht="15.75" customHeight="1">
      <c r="A657" s="60"/>
      <c r="B657" s="60"/>
      <c r="C657" s="60"/>
      <c r="D657" s="60"/>
      <c r="E657" s="60"/>
      <c r="F657" s="60"/>
      <c r="G657" s="60"/>
      <c r="H657" s="61"/>
      <c r="I657" s="60"/>
      <c r="J657" s="60"/>
      <c r="K657" s="62"/>
      <c r="L657" s="60"/>
      <c r="M657" s="60"/>
      <c r="N657" s="60"/>
      <c r="O657" s="60"/>
      <c r="P657" s="60"/>
    </row>
    <row r="658" ht="15.75" customHeight="1">
      <c r="A658" s="60"/>
      <c r="B658" s="60"/>
      <c r="C658" s="60"/>
      <c r="D658" s="60"/>
      <c r="E658" s="60"/>
      <c r="F658" s="60"/>
      <c r="G658" s="60"/>
      <c r="H658" s="61"/>
      <c r="I658" s="60"/>
      <c r="J658" s="60"/>
      <c r="K658" s="62"/>
      <c r="L658" s="60"/>
      <c r="M658" s="60"/>
      <c r="N658" s="60"/>
      <c r="O658" s="60"/>
      <c r="P658" s="60"/>
    </row>
    <row r="659" ht="15.75" customHeight="1">
      <c r="A659" s="60"/>
      <c r="B659" s="60"/>
      <c r="C659" s="60"/>
      <c r="D659" s="60"/>
      <c r="E659" s="60"/>
      <c r="F659" s="60"/>
      <c r="G659" s="60"/>
      <c r="H659" s="61"/>
      <c r="I659" s="60"/>
      <c r="J659" s="60"/>
      <c r="K659" s="62"/>
      <c r="L659" s="60"/>
      <c r="M659" s="60"/>
      <c r="N659" s="60"/>
      <c r="O659" s="60"/>
      <c r="P659" s="60"/>
    </row>
    <row r="660" ht="15.75" customHeight="1">
      <c r="A660" s="60"/>
      <c r="B660" s="60"/>
      <c r="C660" s="60"/>
      <c r="D660" s="60"/>
      <c r="E660" s="60"/>
      <c r="F660" s="60"/>
      <c r="G660" s="60"/>
      <c r="H660" s="61"/>
      <c r="I660" s="60"/>
      <c r="J660" s="60"/>
      <c r="K660" s="62"/>
      <c r="L660" s="60"/>
      <c r="M660" s="60"/>
      <c r="N660" s="60"/>
      <c r="O660" s="60"/>
      <c r="P660" s="60"/>
    </row>
    <row r="661" ht="15.75" customHeight="1">
      <c r="A661" s="60"/>
      <c r="B661" s="60"/>
      <c r="C661" s="60"/>
      <c r="D661" s="60"/>
      <c r="E661" s="60"/>
      <c r="F661" s="60"/>
      <c r="G661" s="60"/>
      <c r="H661" s="61"/>
      <c r="I661" s="60"/>
      <c r="J661" s="60"/>
      <c r="K661" s="62"/>
      <c r="L661" s="60"/>
      <c r="M661" s="60"/>
      <c r="N661" s="60"/>
      <c r="O661" s="60"/>
      <c r="P661" s="60"/>
    </row>
    <row r="662" ht="15.75" customHeight="1">
      <c r="A662" s="60"/>
      <c r="B662" s="60"/>
      <c r="C662" s="60"/>
      <c r="D662" s="60"/>
      <c r="E662" s="60"/>
      <c r="F662" s="60"/>
      <c r="G662" s="60"/>
      <c r="H662" s="61"/>
      <c r="I662" s="60"/>
      <c r="J662" s="60"/>
      <c r="K662" s="62"/>
      <c r="L662" s="60"/>
      <c r="M662" s="60"/>
      <c r="N662" s="60"/>
      <c r="O662" s="60"/>
      <c r="P662" s="60"/>
    </row>
    <row r="663" ht="15.75" customHeight="1">
      <c r="A663" s="60"/>
      <c r="B663" s="60"/>
      <c r="C663" s="60"/>
      <c r="D663" s="60"/>
      <c r="E663" s="60"/>
      <c r="F663" s="60"/>
      <c r="G663" s="60"/>
      <c r="H663" s="61"/>
      <c r="I663" s="60"/>
      <c r="J663" s="60"/>
      <c r="K663" s="62"/>
      <c r="L663" s="60"/>
      <c r="M663" s="60"/>
      <c r="N663" s="60"/>
      <c r="O663" s="60"/>
      <c r="P663" s="60"/>
    </row>
    <row r="664" ht="15.75" customHeight="1">
      <c r="A664" s="60"/>
      <c r="B664" s="60"/>
      <c r="C664" s="60"/>
      <c r="D664" s="60"/>
      <c r="E664" s="60"/>
      <c r="F664" s="60"/>
      <c r="G664" s="60"/>
      <c r="H664" s="61"/>
      <c r="I664" s="60"/>
      <c r="J664" s="60"/>
      <c r="K664" s="62"/>
      <c r="L664" s="60"/>
      <c r="M664" s="60"/>
      <c r="N664" s="60"/>
      <c r="O664" s="60"/>
      <c r="P664" s="60"/>
    </row>
    <row r="665" ht="15.75" customHeight="1">
      <c r="A665" s="60"/>
      <c r="B665" s="60"/>
      <c r="C665" s="60"/>
      <c r="D665" s="60"/>
      <c r="E665" s="60"/>
      <c r="F665" s="60"/>
      <c r="G665" s="60"/>
      <c r="H665" s="61"/>
      <c r="I665" s="60"/>
      <c r="J665" s="60"/>
      <c r="K665" s="62"/>
      <c r="L665" s="60"/>
      <c r="M665" s="60"/>
      <c r="N665" s="60"/>
      <c r="O665" s="60"/>
      <c r="P665" s="60"/>
    </row>
    <row r="666" ht="15.75" customHeight="1">
      <c r="A666" s="60"/>
      <c r="B666" s="60"/>
      <c r="C666" s="60"/>
      <c r="D666" s="60"/>
      <c r="E666" s="60"/>
      <c r="F666" s="60"/>
      <c r="G666" s="60"/>
      <c r="H666" s="61"/>
      <c r="I666" s="60"/>
      <c r="J666" s="60"/>
      <c r="K666" s="62"/>
      <c r="L666" s="60"/>
      <c r="M666" s="60"/>
      <c r="N666" s="60"/>
      <c r="O666" s="60"/>
      <c r="P666" s="60"/>
    </row>
    <row r="667" ht="15.75" customHeight="1">
      <c r="A667" s="60"/>
      <c r="B667" s="60"/>
      <c r="C667" s="60"/>
      <c r="D667" s="60"/>
      <c r="E667" s="60"/>
      <c r="F667" s="60"/>
      <c r="G667" s="60"/>
      <c r="H667" s="61"/>
      <c r="I667" s="60"/>
      <c r="J667" s="60"/>
      <c r="K667" s="62"/>
      <c r="L667" s="60"/>
      <c r="M667" s="60"/>
      <c r="N667" s="60"/>
      <c r="O667" s="60"/>
      <c r="P667" s="60"/>
    </row>
    <row r="668" ht="15.75" customHeight="1">
      <c r="A668" s="60"/>
      <c r="B668" s="60"/>
      <c r="C668" s="60"/>
      <c r="D668" s="60"/>
      <c r="E668" s="60"/>
      <c r="F668" s="60"/>
      <c r="G668" s="60"/>
      <c r="H668" s="61"/>
      <c r="I668" s="60"/>
      <c r="J668" s="60"/>
      <c r="K668" s="62"/>
      <c r="L668" s="60"/>
      <c r="M668" s="60"/>
      <c r="N668" s="60"/>
      <c r="O668" s="60"/>
      <c r="P668" s="60"/>
    </row>
    <row r="669" ht="15.75" customHeight="1">
      <c r="A669" s="60"/>
      <c r="B669" s="60"/>
      <c r="C669" s="60"/>
      <c r="D669" s="60"/>
      <c r="E669" s="60"/>
      <c r="F669" s="60"/>
      <c r="G669" s="60"/>
      <c r="H669" s="61"/>
      <c r="I669" s="60"/>
      <c r="J669" s="60"/>
      <c r="K669" s="62"/>
      <c r="L669" s="60"/>
      <c r="M669" s="60"/>
      <c r="N669" s="60"/>
      <c r="O669" s="60"/>
      <c r="P669" s="60"/>
    </row>
    <row r="670" ht="15.75" customHeight="1">
      <c r="A670" s="60"/>
      <c r="B670" s="60"/>
      <c r="C670" s="60"/>
      <c r="D670" s="60"/>
      <c r="E670" s="60"/>
      <c r="F670" s="60"/>
      <c r="G670" s="60"/>
      <c r="H670" s="61"/>
      <c r="I670" s="60"/>
      <c r="J670" s="60"/>
      <c r="K670" s="62"/>
      <c r="L670" s="60"/>
      <c r="M670" s="60"/>
      <c r="N670" s="60"/>
      <c r="O670" s="60"/>
      <c r="P670" s="60"/>
    </row>
    <row r="671" ht="15.75" customHeight="1">
      <c r="A671" s="60"/>
      <c r="B671" s="60"/>
      <c r="C671" s="60"/>
      <c r="D671" s="60"/>
      <c r="E671" s="60"/>
      <c r="F671" s="60"/>
      <c r="G671" s="60"/>
      <c r="H671" s="61"/>
      <c r="I671" s="60"/>
      <c r="J671" s="60"/>
      <c r="K671" s="62"/>
      <c r="L671" s="60"/>
      <c r="M671" s="60"/>
      <c r="N671" s="60"/>
      <c r="O671" s="60"/>
      <c r="P671" s="60"/>
    </row>
    <row r="672" ht="15.75" customHeight="1">
      <c r="A672" s="60"/>
      <c r="B672" s="60"/>
      <c r="C672" s="60"/>
      <c r="D672" s="60"/>
      <c r="E672" s="60"/>
      <c r="F672" s="60"/>
      <c r="G672" s="60"/>
      <c r="H672" s="61"/>
      <c r="I672" s="60"/>
      <c r="J672" s="60"/>
      <c r="K672" s="62"/>
      <c r="L672" s="60"/>
      <c r="M672" s="60"/>
      <c r="N672" s="60"/>
      <c r="O672" s="60"/>
      <c r="P672" s="60"/>
    </row>
    <row r="673" ht="15.75" customHeight="1">
      <c r="A673" s="60"/>
      <c r="B673" s="60"/>
      <c r="C673" s="60"/>
      <c r="D673" s="60"/>
      <c r="E673" s="60"/>
      <c r="F673" s="60"/>
      <c r="G673" s="60"/>
      <c r="H673" s="61"/>
      <c r="I673" s="60"/>
      <c r="J673" s="60"/>
      <c r="K673" s="62"/>
      <c r="L673" s="60"/>
      <c r="M673" s="60"/>
      <c r="N673" s="60"/>
      <c r="O673" s="60"/>
      <c r="P673" s="60"/>
    </row>
    <row r="674" ht="15.75" customHeight="1">
      <c r="A674" s="60"/>
      <c r="B674" s="60"/>
      <c r="C674" s="60"/>
      <c r="D674" s="60"/>
      <c r="E674" s="60"/>
      <c r="F674" s="60"/>
      <c r="G674" s="60"/>
      <c r="H674" s="61"/>
      <c r="I674" s="60"/>
      <c r="J674" s="60"/>
      <c r="K674" s="62"/>
      <c r="L674" s="60"/>
      <c r="M674" s="60"/>
      <c r="N674" s="60"/>
      <c r="O674" s="60"/>
      <c r="P674" s="60"/>
    </row>
    <row r="675" ht="15.75" customHeight="1">
      <c r="A675" s="60"/>
      <c r="B675" s="60"/>
      <c r="C675" s="60"/>
      <c r="D675" s="60"/>
      <c r="E675" s="60"/>
      <c r="F675" s="60"/>
      <c r="G675" s="60"/>
      <c r="H675" s="61"/>
      <c r="I675" s="60"/>
      <c r="J675" s="60"/>
      <c r="K675" s="62"/>
      <c r="L675" s="60"/>
      <c r="M675" s="60"/>
      <c r="N675" s="60"/>
      <c r="O675" s="60"/>
      <c r="P675" s="60"/>
    </row>
    <row r="676" ht="15.75" customHeight="1">
      <c r="A676" s="60"/>
      <c r="B676" s="60"/>
      <c r="C676" s="60"/>
      <c r="D676" s="60"/>
      <c r="E676" s="60"/>
      <c r="F676" s="60"/>
      <c r="G676" s="60"/>
      <c r="H676" s="61"/>
      <c r="I676" s="60"/>
      <c r="J676" s="60"/>
      <c r="K676" s="62"/>
      <c r="L676" s="60"/>
      <c r="M676" s="60"/>
      <c r="N676" s="60"/>
      <c r="O676" s="60"/>
      <c r="P676" s="60"/>
    </row>
    <row r="677" ht="15.75" customHeight="1">
      <c r="A677" s="60"/>
      <c r="B677" s="60"/>
      <c r="C677" s="60"/>
      <c r="D677" s="60"/>
      <c r="E677" s="60"/>
      <c r="F677" s="60"/>
      <c r="G677" s="60"/>
      <c r="H677" s="61"/>
      <c r="I677" s="60"/>
      <c r="J677" s="60"/>
      <c r="K677" s="62"/>
      <c r="L677" s="60"/>
      <c r="M677" s="60"/>
      <c r="N677" s="60"/>
      <c r="O677" s="60"/>
      <c r="P677" s="60"/>
    </row>
    <row r="678" ht="15.75" customHeight="1">
      <c r="A678" s="60"/>
      <c r="B678" s="60"/>
      <c r="C678" s="60"/>
      <c r="D678" s="60"/>
      <c r="E678" s="60"/>
      <c r="F678" s="60"/>
      <c r="G678" s="60"/>
      <c r="H678" s="61"/>
      <c r="I678" s="60"/>
      <c r="J678" s="60"/>
      <c r="K678" s="62"/>
      <c r="L678" s="60"/>
      <c r="M678" s="60"/>
      <c r="N678" s="60"/>
      <c r="O678" s="60"/>
      <c r="P678" s="60"/>
    </row>
    <row r="679" ht="15.75" customHeight="1">
      <c r="A679" s="60"/>
      <c r="B679" s="60"/>
      <c r="C679" s="60"/>
      <c r="D679" s="60"/>
      <c r="E679" s="60"/>
      <c r="F679" s="60"/>
      <c r="G679" s="60"/>
      <c r="H679" s="61"/>
      <c r="I679" s="60"/>
      <c r="J679" s="60"/>
      <c r="K679" s="62"/>
      <c r="L679" s="60"/>
      <c r="M679" s="60"/>
      <c r="N679" s="60"/>
      <c r="O679" s="60"/>
      <c r="P679" s="60"/>
    </row>
    <row r="680" ht="15.75" customHeight="1">
      <c r="A680" s="60"/>
      <c r="B680" s="60"/>
      <c r="C680" s="60"/>
      <c r="D680" s="60"/>
      <c r="E680" s="60"/>
      <c r="F680" s="60"/>
      <c r="G680" s="60"/>
      <c r="H680" s="61"/>
      <c r="I680" s="60"/>
      <c r="J680" s="60"/>
      <c r="K680" s="62"/>
      <c r="L680" s="60"/>
      <c r="M680" s="60"/>
      <c r="N680" s="60"/>
      <c r="O680" s="60"/>
      <c r="P680" s="60"/>
    </row>
    <row r="681" ht="15.75" customHeight="1">
      <c r="A681" s="60"/>
      <c r="B681" s="60"/>
      <c r="C681" s="60"/>
      <c r="D681" s="60"/>
      <c r="E681" s="60"/>
      <c r="F681" s="60"/>
      <c r="G681" s="60"/>
      <c r="H681" s="61"/>
      <c r="I681" s="60"/>
      <c r="J681" s="60"/>
      <c r="K681" s="62"/>
      <c r="L681" s="60"/>
      <c r="M681" s="60"/>
      <c r="N681" s="60"/>
      <c r="O681" s="60"/>
      <c r="P681" s="60"/>
    </row>
    <row r="682" ht="15.75" customHeight="1">
      <c r="A682" s="60"/>
      <c r="B682" s="60"/>
      <c r="C682" s="60"/>
      <c r="D682" s="60"/>
      <c r="E682" s="60"/>
      <c r="F682" s="60"/>
      <c r="G682" s="60"/>
      <c r="H682" s="61"/>
      <c r="I682" s="60"/>
      <c r="J682" s="60"/>
      <c r="K682" s="62"/>
      <c r="L682" s="60"/>
      <c r="M682" s="60"/>
      <c r="N682" s="60"/>
      <c r="O682" s="60"/>
      <c r="P682" s="60"/>
    </row>
    <row r="683" ht="15.75" customHeight="1">
      <c r="A683" s="60"/>
      <c r="B683" s="60"/>
      <c r="C683" s="60"/>
      <c r="D683" s="60"/>
      <c r="E683" s="60"/>
      <c r="F683" s="60"/>
      <c r="G683" s="60"/>
      <c r="H683" s="61"/>
      <c r="I683" s="60"/>
      <c r="J683" s="60"/>
      <c r="K683" s="62"/>
      <c r="L683" s="60"/>
      <c r="M683" s="60"/>
      <c r="N683" s="60"/>
      <c r="O683" s="60"/>
      <c r="P683" s="60"/>
    </row>
    <row r="684" ht="15.75" customHeight="1">
      <c r="A684" s="60"/>
      <c r="B684" s="60"/>
      <c r="C684" s="60"/>
      <c r="D684" s="60"/>
      <c r="E684" s="60"/>
      <c r="F684" s="60"/>
      <c r="G684" s="60"/>
      <c r="H684" s="61"/>
      <c r="I684" s="60"/>
      <c r="J684" s="60"/>
      <c r="K684" s="62"/>
      <c r="L684" s="60"/>
      <c r="M684" s="60"/>
      <c r="N684" s="60"/>
      <c r="O684" s="60"/>
      <c r="P684" s="60"/>
    </row>
    <row r="685" ht="15.75" customHeight="1">
      <c r="A685" s="60"/>
      <c r="B685" s="60"/>
      <c r="C685" s="60"/>
      <c r="D685" s="60"/>
      <c r="E685" s="60"/>
      <c r="F685" s="60"/>
      <c r="G685" s="60"/>
      <c r="H685" s="61"/>
      <c r="I685" s="60"/>
      <c r="J685" s="60"/>
      <c r="K685" s="62"/>
      <c r="L685" s="60"/>
      <c r="M685" s="60"/>
      <c r="N685" s="60"/>
      <c r="O685" s="60"/>
      <c r="P685" s="60"/>
    </row>
    <row r="686" ht="15.75" customHeight="1">
      <c r="A686" s="60"/>
      <c r="B686" s="60"/>
      <c r="C686" s="60"/>
      <c r="D686" s="60"/>
      <c r="E686" s="60"/>
      <c r="F686" s="60"/>
      <c r="G686" s="60"/>
      <c r="H686" s="61"/>
      <c r="I686" s="60"/>
      <c r="J686" s="60"/>
      <c r="K686" s="62"/>
      <c r="L686" s="60"/>
      <c r="M686" s="60"/>
      <c r="N686" s="60"/>
      <c r="O686" s="60"/>
      <c r="P686" s="60"/>
    </row>
    <row r="687" ht="15.75" customHeight="1">
      <c r="A687" s="60"/>
      <c r="B687" s="60"/>
      <c r="C687" s="60"/>
      <c r="D687" s="60"/>
      <c r="E687" s="60"/>
      <c r="F687" s="60"/>
      <c r="G687" s="60"/>
      <c r="H687" s="61"/>
      <c r="I687" s="60"/>
      <c r="J687" s="60"/>
      <c r="K687" s="62"/>
      <c r="L687" s="60"/>
      <c r="M687" s="60"/>
      <c r="N687" s="60"/>
      <c r="O687" s="60"/>
      <c r="P687" s="60"/>
    </row>
    <row r="688" ht="15.75" customHeight="1">
      <c r="A688" s="60"/>
      <c r="B688" s="60"/>
      <c r="C688" s="60"/>
      <c r="D688" s="60"/>
      <c r="E688" s="60"/>
      <c r="F688" s="60"/>
      <c r="G688" s="60"/>
      <c r="H688" s="61"/>
      <c r="I688" s="60"/>
      <c r="J688" s="60"/>
      <c r="K688" s="62"/>
      <c r="L688" s="60"/>
      <c r="M688" s="60"/>
      <c r="N688" s="60"/>
      <c r="O688" s="60"/>
      <c r="P688" s="60"/>
    </row>
    <row r="689" ht="15.75" customHeight="1">
      <c r="A689" s="60"/>
      <c r="B689" s="60"/>
      <c r="C689" s="60"/>
      <c r="D689" s="60"/>
      <c r="E689" s="60"/>
      <c r="F689" s="60"/>
      <c r="G689" s="60"/>
      <c r="H689" s="61"/>
      <c r="I689" s="60"/>
      <c r="J689" s="60"/>
      <c r="K689" s="62"/>
      <c r="L689" s="60"/>
      <c r="M689" s="60"/>
      <c r="N689" s="60"/>
      <c r="O689" s="60"/>
      <c r="P689" s="60"/>
    </row>
    <row r="690" ht="15.75" customHeight="1">
      <c r="A690" s="60"/>
      <c r="B690" s="60"/>
      <c r="C690" s="60"/>
      <c r="D690" s="60"/>
      <c r="E690" s="60"/>
      <c r="F690" s="60"/>
      <c r="G690" s="60"/>
      <c r="H690" s="61"/>
      <c r="I690" s="60"/>
      <c r="J690" s="60"/>
      <c r="K690" s="62"/>
      <c r="L690" s="60"/>
      <c r="M690" s="60"/>
      <c r="N690" s="60"/>
      <c r="O690" s="60"/>
      <c r="P690" s="60"/>
    </row>
    <row r="691" ht="15.75" customHeight="1">
      <c r="A691" s="60"/>
      <c r="B691" s="60"/>
      <c r="C691" s="60"/>
      <c r="D691" s="60"/>
      <c r="E691" s="60"/>
      <c r="F691" s="60"/>
      <c r="G691" s="60"/>
      <c r="H691" s="61"/>
      <c r="I691" s="60"/>
      <c r="J691" s="60"/>
      <c r="K691" s="62"/>
      <c r="L691" s="60"/>
      <c r="M691" s="60"/>
      <c r="N691" s="60"/>
      <c r="O691" s="60"/>
      <c r="P691" s="60"/>
    </row>
    <row r="692" ht="15.75" customHeight="1">
      <c r="A692" s="60"/>
      <c r="B692" s="60"/>
      <c r="C692" s="60"/>
      <c r="D692" s="60"/>
      <c r="E692" s="60"/>
      <c r="F692" s="60"/>
      <c r="G692" s="60"/>
      <c r="H692" s="61"/>
      <c r="I692" s="60"/>
      <c r="J692" s="60"/>
      <c r="K692" s="62"/>
      <c r="L692" s="60"/>
      <c r="M692" s="60"/>
      <c r="N692" s="60"/>
      <c r="O692" s="60"/>
      <c r="P692" s="60"/>
    </row>
    <row r="693" ht="15.75" customHeight="1">
      <c r="A693" s="60"/>
      <c r="B693" s="60"/>
      <c r="C693" s="60"/>
      <c r="D693" s="60"/>
      <c r="E693" s="60"/>
      <c r="F693" s="60"/>
      <c r="G693" s="60"/>
      <c r="H693" s="61"/>
      <c r="I693" s="60"/>
      <c r="J693" s="60"/>
      <c r="K693" s="62"/>
      <c r="L693" s="60"/>
      <c r="M693" s="60"/>
      <c r="N693" s="60"/>
      <c r="O693" s="60"/>
      <c r="P693" s="60"/>
    </row>
    <row r="694" ht="15.75" customHeight="1">
      <c r="A694" s="60"/>
      <c r="B694" s="60"/>
      <c r="C694" s="60"/>
      <c r="D694" s="60"/>
      <c r="E694" s="60"/>
      <c r="F694" s="60"/>
      <c r="G694" s="60"/>
      <c r="H694" s="61"/>
      <c r="I694" s="60"/>
      <c r="J694" s="60"/>
      <c r="K694" s="62"/>
      <c r="L694" s="60"/>
      <c r="M694" s="60"/>
      <c r="N694" s="60"/>
      <c r="O694" s="60"/>
      <c r="P694" s="60"/>
    </row>
    <row r="695" ht="15.75" customHeight="1">
      <c r="A695" s="60"/>
      <c r="B695" s="60"/>
      <c r="C695" s="60"/>
      <c r="D695" s="60"/>
      <c r="E695" s="60"/>
      <c r="F695" s="60"/>
      <c r="G695" s="60"/>
      <c r="H695" s="61"/>
      <c r="I695" s="60"/>
      <c r="J695" s="60"/>
      <c r="K695" s="62"/>
      <c r="L695" s="60"/>
      <c r="M695" s="60"/>
      <c r="N695" s="60"/>
      <c r="O695" s="60"/>
      <c r="P695" s="60"/>
    </row>
    <row r="696" ht="15.75" customHeight="1">
      <c r="A696" s="60"/>
      <c r="B696" s="60"/>
      <c r="C696" s="60"/>
      <c r="D696" s="60"/>
      <c r="E696" s="60"/>
      <c r="F696" s="60"/>
      <c r="G696" s="60"/>
      <c r="H696" s="61"/>
      <c r="I696" s="60"/>
      <c r="J696" s="60"/>
      <c r="K696" s="62"/>
      <c r="L696" s="60"/>
      <c r="M696" s="60"/>
      <c r="N696" s="60"/>
      <c r="O696" s="60"/>
      <c r="P696" s="60"/>
    </row>
    <row r="697" ht="15.75" customHeight="1">
      <c r="A697" s="60"/>
      <c r="B697" s="60"/>
      <c r="C697" s="60"/>
      <c r="D697" s="60"/>
      <c r="E697" s="60"/>
      <c r="F697" s="60"/>
      <c r="G697" s="60"/>
      <c r="H697" s="61"/>
      <c r="I697" s="60"/>
      <c r="J697" s="60"/>
      <c r="K697" s="62"/>
      <c r="L697" s="60"/>
      <c r="M697" s="60"/>
      <c r="N697" s="60"/>
      <c r="O697" s="60"/>
      <c r="P697" s="60"/>
    </row>
    <row r="698" ht="15.75" customHeight="1">
      <c r="A698" s="60"/>
      <c r="B698" s="60"/>
      <c r="C698" s="60"/>
      <c r="D698" s="60"/>
      <c r="E698" s="60"/>
      <c r="F698" s="60"/>
      <c r="G698" s="60"/>
      <c r="H698" s="61"/>
      <c r="I698" s="60"/>
      <c r="J698" s="60"/>
      <c r="K698" s="62"/>
      <c r="L698" s="60"/>
      <c r="M698" s="60"/>
      <c r="N698" s="60"/>
      <c r="O698" s="60"/>
      <c r="P698" s="60"/>
    </row>
    <row r="699" ht="15.75" customHeight="1">
      <c r="A699" s="60"/>
      <c r="B699" s="60"/>
      <c r="C699" s="60"/>
      <c r="D699" s="60"/>
      <c r="E699" s="60"/>
      <c r="F699" s="60"/>
      <c r="G699" s="60"/>
      <c r="H699" s="61"/>
      <c r="I699" s="60"/>
      <c r="J699" s="60"/>
      <c r="K699" s="62"/>
      <c r="L699" s="60"/>
      <c r="M699" s="60"/>
      <c r="N699" s="60"/>
      <c r="O699" s="60"/>
      <c r="P699" s="60"/>
    </row>
    <row r="700" ht="15.75" customHeight="1">
      <c r="A700" s="60"/>
      <c r="B700" s="60"/>
      <c r="C700" s="60"/>
      <c r="D700" s="60"/>
      <c r="E700" s="60"/>
      <c r="F700" s="60"/>
      <c r="G700" s="60"/>
      <c r="H700" s="61"/>
      <c r="I700" s="60"/>
      <c r="J700" s="60"/>
      <c r="K700" s="62"/>
      <c r="L700" s="60"/>
      <c r="M700" s="60"/>
      <c r="N700" s="60"/>
      <c r="O700" s="60"/>
      <c r="P700" s="60"/>
    </row>
    <row r="701" ht="15.75" customHeight="1">
      <c r="A701" s="60"/>
      <c r="B701" s="60"/>
      <c r="C701" s="60"/>
      <c r="D701" s="60"/>
      <c r="E701" s="60"/>
      <c r="F701" s="60"/>
      <c r="G701" s="60"/>
      <c r="H701" s="61"/>
      <c r="I701" s="60"/>
      <c r="J701" s="60"/>
      <c r="K701" s="62"/>
      <c r="L701" s="60"/>
      <c r="M701" s="60"/>
      <c r="N701" s="60"/>
      <c r="O701" s="60"/>
      <c r="P701" s="60"/>
    </row>
    <row r="702" ht="15.75" customHeight="1">
      <c r="A702" s="60"/>
      <c r="B702" s="60"/>
      <c r="C702" s="60"/>
      <c r="D702" s="60"/>
      <c r="E702" s="60"/>
      <c r="F702" s="60"/>
      <c r="G702" s="60"/>
      <c r="H702" s="61"/>
      <c r="I702" s="60"/>
      <c r="J702" s="60"/>
      <c r="K702" s="62"/>
      <c r="L702" s="60"/>
      <c r="M702" s="60"/>
      <c r="N702" s="60"/>
      <c r="O702" s="60"/>
      <c r="P702" s="60"/>
    </row>
    <row r="703" ht="15.75" customHeight="1">
      <c r="A703" s="60"/>
      <c r="B703" s="60"/>
      <c r="C703" s="60"/>
      <c r="D703" s="60"/>
      <c r="E703" s="60"/>
      <c r="F703" s="60"/>
      <c r="G703" s="60"/>
      <c r="H703" s="61"/>
      <c r="I703" s="60"/>
      <c r="J703" s="60"/>
      <c r="K703" s="62"/>
      <c r="L703" s="60"/>
      <c r="M703" s="60"/>
      <c r="N703" s="60"/>
      <c r="O703" s="60"/>
      <c r="P703" s="60"/>
    </row>
    <row r="704" ht="15.75" customHeight="1">
      <c r="A704" s="60"/>
      <c r="B704" s="60"/>
      <c r="C704" s="60"/>
      <c r="D704" s="60"/>
      <c r="E704" s="60"/>
      <c r="F704" s="60"/>
      <c r="G704" s="60"/>
      <c r="H704" s="61"/>
      <c r="I704" s="60"/>
      <c r="J704" s="60"/>
      <c r="K704" s="62"/>
      <c r="L704" s="60"/>
      <c r="M704" s="60"/>
      <c r="N704" s="60"/>
      <c r="O704" s="60"/>
      <c r="P704" s="60"/>
    </row>
    <row r="705" ht="15.75" customHeight="1">
      <c r="A705" s="60"/>
      <c r="B705" s="60"/>
      <c r="C705" s="60"/>
      <c r="D705" s="60"/>
      <c r="E705" s="60"/>
      <c r="F705" s="60"/>
      <c r="G705" s="60"/>
      <c r="H705" s="61"/>
      <c r="I705" s="60"/>
      <c r="J705" s="60"/>
      <c r="K705" s="62"/>
      <c r="L705" s="60"/>
      <c r="M705" s="60"/>
      <c r="N705" s="60"/>
      <c r="O705" s="60"/>
      <c r="P705" s="60"/>
    </row>
    <row r="706" ht="15.75" customHeight="1">
      <c r="A706" s="60"/>
      <c r="B706" s="60"/>
      <c r="C706" s="60"/>
      <c r="D706" s="60"/>
      <c r="E706" s="60"/>
      <c r="F706" s="60"/>
      <c r="G706" s="60"/>
      <c r="H706" s="61"/>
      <c r="I706" s="60"/>
      <c r="J706" s="60"/>
      <c r="K706" s="62"/>
      <c r="L706" s="60"/>
      <c r="M706" s="60"/>
      <c r="N706" s="60"/>
      <c r="O706" s="60"/>
      <c r="P706" s="60"/>
    </row>
    <row r="707" ht="15.75" customHeight="1">
      <c r="A707" s="60"/>
      <c r="B707" s="60"/>
      <c r="C707" s="60"/>
      <c r="D707" s="60"/>
      <c r="E707" s="60"/>
      <c r="F707" s="60"/>
      <c r="G707" s="60"/>
      <c r="H707" s="61"/>
      <c r="I707" s="60"/>
      <c r="J707" s="60"/>
      <c r="K707" s="62"/>
      <c r="L707" s="60"/>
      <c r="M707" s="60"/>
      <c r="N707" s="60"/>
      <c r="O707" s="60"/>
      <c r="P707" s="60"/>
    </row>
    <row r="708" ht="15.75" customHeight="1">
      <c r="A708" s="60"/>
      <c r="B708" s="60"/>
      <c r="C708" s="60"/>
      <c r="D708" s="60"/>
      <c r="E708" s="60"/>
      <c r="F708" s="60"/>
      <c r="G708" s="60"/>
      <c r="H708" s="61"/>
      <c r="I708" s="60"/>
      <c r="J708" s="60"/>
      <c r="K708" s="62"/>
      <c r="L708" s="60"/>
      <c r="M708" s="60"/>
      <c r="N708" s="60"/>
      <c r="O708" s="60"/>
      <c r="P708" s="60"/>
    </row>
    <row r="709" ht="15.75" customHeight="1">
      <c r="A709" s="60"/>
      <c r="B709" s="60"/>
      <c r="C709" s="60"/>
      <c r="D709" s="60"/>
      <c r="E709" s="60"/>
      <c r="F709" s="60"/>
      <c r="G709" s="60"/>
      <c r="H709" s="61"/>
      <c r="I709" s="60"/>
      <c r="J709" s="60"/>
      <c r="K709" s="62"/>
      <c r="L709" s="60"/>
      <c r="M709" s="60"/>
      <c r="N709" s="60"/>
      <c r="O709" s="60"/>
      <c r="P709" s="60"/>
    </row>
    <row r="710" ht="15.75" customHeight="1">
      <c r="A710" s="60"/>
      <c r="B710" s="60"/>
      <c r="C710" s="60"/>
      <c r="D710" s="60"/>
      <c r="E710" s="60"/>
      <c r="F710" s="60"/>
      <c r="G710" s="60"/>
      <c r="H710" s="61"/>
      <c r="I710" s="60"/>
      <c r="J710" s="60"/>
      <c r="K710" s="62"/>
      <c r="L710" s="60"/>
      <c r="M710" s="60"/>
      <c r="N710" s="60"/>
      <c r="O710" s="60"/>
      <c r="P710" s="60"/>
    </row>
    <row r="711" ht="15.75" customHeight="1">
      <c r="A711" s="60"/>
      <c r="B711" s="60"/>
      <c r="C711" s="60"/>
      <c r="D711" s="60"/>
      <c r="E711" s="60"/>
      <c r="F711" s="60"/>
      <c r="G711" s="60"/>
      <c r="H711" s="61"/>
      <c r="I711" s="60"/>
      <c r="J711" s="60"/>
      <c r="K711" s="62"/>
      <c r="L711" s="60"/>
      <c r="M711" s="60"/>
      <c r="N711" s="60"/>
      <c r="O711" s="60"/>
      <c r="P711" s="60"/>
    </row>
    <row r="712" ht="15.75" customHeight="1">
      <c r="A712" s="60"/>
      <c r="B712" s="60"/>
      <c r="C712" s="60"/>
      <c r="D712" s="60"/>
      <c r="E712" s="60"/>
      <c r="F712" s="60"/>
      <c r="G712" s="60"/>
      <c r="H712" s="61"/>
      <c r="I712" s="60"/>
      <c r="J712" s="60"/>
      <c r="K712" s="62"/>
      <c r="L712" s="60"/>
      <c r="M712" s="60"/>
      <c r="N712" s="60"/>
      <c r="O712" s="60"/>
      <c r="P712" s="60"/>
    </row>
    <row r="713" ht="15.75" customHeight="1">
      <c r="A713" s="60"/>
      <c r="B713" s="60"/>
      <c r="C713" s="60"/>
      <c r="D713" s="60"/>
      <c r="E713" s="60"/>
      <c r="F713" s="60"/>
      <c r="G713" s="60"/>
      <c r="H713" s="61"/>
      <c r="I713" s="60"/>
      <c r="J713" s="60"/>
      <c r="K713" s="62"/>
      <c r="L713" s="60"/>
      <c r="M713" s="60"/>
      <c r="N713" s="60"/>
      <c r="O713" s="60"/>
      <c r="P713" s="60"/>
    </row>
    <row r="714" ht="15.75" customHeight="1">
      <c r="A714" s="60"/>
      <c r="B714" s="60"/>
      <c r="C714" s="60"/>
      <c r="D714" s="60"/>
      <c r="E714" s="60"/>
      <c r="F714" s="60"/>
      <c r="G714" s="60"/>
      <c r="H714" s="61"/>
      <c r="I714" s="60"/>
      <c r="J714" s="60"/>
      <c r="K714" s="62"/>
      <c r="L714" s="60"/>
      <c r="M714" s="60"/>
      <c r="N714" s="60"/>
      <c r="O714" s="60"/>
      <c r="P714" s="60"/>
    </row>
    <row r="715" ht="15.75" customHeight="1">
      <c r="A715" s="60"/>
      <c r="B715" s="60"/>
      <c r="C715" s="60"/>
      <c r="D715" s="60"/>
      <c r="E715" s="60"/>
      <c r="F715" s="60"/>
      <c r="G715" s="60"/>
      <c r="H715" s="61"/>
      <c r="I715" s="60"/>
      <c r="J715" s="60"/>
      <c r="K715" s="62"/>
      <c r="L715" s="60"/>
      <c r="M715" s="60"/>
      <c r="N715" s="60"/>
      <c r="O715" s="60"/>
      <c r="P715" s="60"/>
    </row>
    <row r="716" ht="15.75" customHeight="1">
      <c r="A716" s="60"/>
      <c r="B716" s="60"/>
      <c r="C716" s="60"/>
      <c r="D716" s="60"/>
      <c r="E716" s="60"/>
      <c r="F716" s="60"/>
      <c r="G716" s="60"/>
      <c r="H716" s="61"/>
      <c r="I716" s="60"/>
      <c r="J716" s="60"/>
      <c r="K716" s="62"/>
      <c r="L716" s="60"/>
      <c r="M716" s="60"/>
      <c r="N716" s="60"/>
      <c r="O716" s="60"/>
      <c r="P716" s="60"/>
    </row>
    <row r="717" ht="15.75" customHeight="1">
      <c r="A717" s="60"/>
      <c r="B717" s="60"/>
      <c r="C717" s="60"/>
      <c r="D717" s="60"/>
      <c r="E717" s="60"/>
      <c r="F717" s="60"/>
      <c r="G717" s="60"/>
      <c r="H717" s="61"/>
      <c r="I717" s="60"/>
      <c r="J717" s="60"/>
      <c r="K717" s="62"/>
      <c r="L717" s="60"/>
      <c r="M717" s="60"/>
      <c r="N717" s="60"/>
      <c r="O717" s="60"/>
      <c r="P717" s="60"/>
    </row>
    <row r="718" ht="15.75" customHeight="1">
      <c r="A718" s="60"/>
      <c r="B718" s="60"/>
      <c r="C718" s="60"/>
      <c r="D718" s="60"/>
      <c r="E718" s="60"/>
      <c r="F718" s="60"/>
      <c r="G718" s="60"/>
      <c r="H718" s="61"/>
      <c r="I718" s="60"/>
      <c r="J718" s="60"/>
      <c r="K718" s="62"/>
      <c r="L718" s="60"/>
      <c r="M718" s="60"/>
      <c r="N718" s="60"/>
      <c r="O718" s="60"/>
      <c r="P718" s="60"/>
    </row>
    <row r="719" ht="15.75" customHeight="1">
      <c r="A719" s="60"/>
      <c r="B719" s="60"/>
      <c r="C719" s="60"/>
      <c r="D719" s="60"/>
      <c r="E719" s="60"/>
      <c r="F719" s="60"/>
      <c r="G719" s="60"/>
      <c r="H719" s="61"/>
      <c r="I719" s="60"/>
      <c r="J719" s="60"/>
      <c r="K719" s="62"/>
      <c r="L719" s="60"/>
      <c r="M719" s="60"/>
      <c r="N719" s="60"/>
      <c r="O719" s="60"/>
      <c r="P719" s="60"/>
    </row>
    <row r="720" ht="15.75" customHeight="1">
      <c r="A720" s="60"/>
      <c r="B720" s="60"/>
      <c r="C720" s="60"/>
      <c r="D720" s="60"/>
      <c r="E720" s="60"/>
      <c r="F720" s="60"/>
      <c r="G720" s="60"/>
      <c r="H720" s="61"/>
      <c r="I720" s="60"/>
      <c r="J720" s="60"/>
      <c r="K720" s="62"/>
      <c r="L720" s="60"/>
      <c r="M720" s="60"/>
      <c r="N720" s="60"/>
      <c r="O720" s="60"/>
      <c r="P720" s="60"/>
    </row>
    <row r="721" ht="15.75" customHeight="1">
      <c r="A721" s="60"/>
      <c r="B721" s="60"/>
      <c r="C721" s="60"/>
      <c r="D721" s="60"/>
      <c r="E721" s="60"/>
      <c r="F721" s="60"/>
      <c r="G721" s="60"/>
      <c r="H721" s="61"/>
      <c r="I721" s="60"/>
      <c r="J721" s="60"/>
      <c r="K721" s="62"/>
      <c r="L721" s="60"/>
      <c r="M721" s="60"/>
      <c r="N721" s="60"/>
      <c r="O721" s="60"/>
      <c r="P721" s="60"/>
    </row>
    <row r="722" ht="15.75" customHeight="1">
      <c r="A722" s="60"/>
      <c r="B722" s="60"/>
      <c r="C722" s="60"/>
      <c r="D722" s="60"/>
      <c r="E722" s="60"/>
      <c r="F722" s="60"/>
      <c r="G722" s="60"/>
      <c r="H722" s="61"/>
      <c r="I722" s="60"/>
      <c r="J722" s="60"/>
      <c r="K722" s="62"/>
      <c r="L722" s="60"/>
      <c r="M722" s="60"/>
      <c r="N722" s="60"/>
      <c r="O722" s="60"/>
      <c r="P722" s="60"/>
    </row>
    <row r="723" ht="15.75" customHeight="1">
      <c r="A723" s="60"/>
      <c r="B723" s="60"/>
      <c r="C723" s="60"/>
      <c r="D723" s="60"/>
      <c r="E723" s="60"/>
      <c r="F723" s="60"/>
      <c r="G723" s="60"/>
      <c r="H723" s="61"/>
      <c r="I723" s="60"/>
      <c r="J723" s="60"/>
      <c r="K723" s="62"/>
      <c r="L723" s="60"/>
      <c r="M723" s="60"/>
      <c r="N723" s="60"/>
      <c r="O723" s="60"/>
      <c r="P723" s="60"/>
    </row>
    <row r="724" ht="15.75" customHeight="1">
      <c r="A724" s="60"/>
      <c r="B724" s="60"/>
      <c r="C724" s="60"/>
      <c r="D724" s="60"/>
      <c r="E724" s="60"/>
      <c r="F724" s="60"/>
      <c r="G724" s="60"/>
      <c r="H724" s="61"/>
      <c r="I724" s="60"/>
      <c r="J724" s="60"/>
      <c r="K724" s="62"/>
      <c r="L724" s="60"/>
      <c r="M724" s="60"/>
      <c r="N724" s="60"/>
      <c r="O724" s="60"/>
      <c r="P724" s="60"/>
    </row>
    <row r="725" ht="15.75" customHeight="1">
      <c r="A725" s="60"/>
      <c r="B725" s="60"/>
      <c r="C725" s="60"/>
      <c r="D725" s="60"/>
      <c r="E725" s="60"/>
      <c r="F725" s="60"/>
      <c r="G725" s="60"/>
      <c r="H725" s="61"/>
      <c r="I725" s="60"/>
      <c r="J725" s="60"/>
      <c r="K725" s="62"/>
      <c r="L725" s="60"/>
      <c r="M725" s="60"/>
      <c r="N725" s="60"/>
      <c r="O725" s="60"/>
      <c r="P725" s="60"/>
    </row>
    <row r="726" ht="15.75" customHeight="1">
      <c r="A726" s="60"/>
      <c r="B726" s="60"/>
      <c r="C726" s="60"/>
      <c r="D726" s="60"/>
      <c r="E726" s="60"/>
      <c r="F726" s="60"/>
      <c r="G726" s="60"/>
      <c r="H726" s="61"/>
      <c r="I726" s="60"/>
      <c r="J726" s="60"/>
      <c r="K726" s="62"/>
      <c r="L726" s="60"/>
      <c r="M726" s="60"/>
      <c r="N726" s="60"/>
      <c r="O726" s="60"/>
      <c r="P726" s="60"/>
    </row>
    <row r="727" ht="15.75" customHeight="1">
      <c r="A727" s="60"/>
      <c r="B727" s="60"/>
      <c r="C727" s="60"/>
      <c r="D727" s="60"/>
      <c r="E727" s="60"/>
      <c r="F727" s="60"/>
      <c r="G727" s="60"/>
      <c r="H727" s="61"/>
      <c r="I727" s="60"/>
      <c r="J727" s="60"/>
      <c r="K727" s="62"/>
      <c r="L727" s="60"/>
      <c r="M727" s="60"/>
      <c r="N727" s="60"/>
      <c r="O727" s="60"/>
      <c r="P727" s="60"/>
    </row>
    <row r="728" ht="15.75" customHeight="1">
      <c r="A728" s="60"/>
      <c r="B728" s="60"/>
      <c r="C728" s="60"/>
      <c r="D728" s="60"/>
      <c r="E728" s="60"/>
      <c r="F728" s="60"/>
      <c r="G728" s="60"/>
      <c r="H728" s="61"/>
      <c r="I728" s="60"/>
      <c r="J728" s="60"/>
      <c r="K728" s="62"/>
      <c r="L728" s="60"/>
      <c r="M728" s="60"/>
      <c r="N728" s="60"/>
      <c r="O728" s="60"/>
      <c r="P728" s="60"/>
    </row>
    <row r="729" ht="15.75" customHeight="1">
      <c r="A729" s="60"/>
      <c r="B729" s="60"/>
      <c r="C729" s="60"/>
      <c r="D729" s="60"/>
      <c r="E729" s="60"/>
      <c r="F729" s="60"/>
      <c r="G729" s="60"/>
      <c r="H729" s="61"/>
      <c r="I729" s="60"/>
      <c r="J729" s="60"/>
      <c r="K729" s="62"/>
      <c r="L729" s="60"/>
      <c r="M729" s="60"/>
      <c r="N729" s="60"/>
      <c r="O729" s="60"/>
      <c r="P729" s="60"/>
    </row>
    <row r="730" ht="15.75" customHeight="1">
      <c r="A730" s="60"/>
      <c r="B730" s="60"/>
      <c r="C730" s="60"/>
      <c r="D730" s="60"/>
      <c r="E730" s="60"/>
      <c r="F730" s="60"/>
      <c r="G730" s="60"/>
      <c r="H730" s="61"/>
      <c r="I730" s="60"/>
      <c r="J730" s="60"/>
      <c r="K730" s="62"/>
      <c r="L730" s="60"/>
      <c r="M730" s="60"/>
      <c r="N730" s="60"/>
      <c r="O730" s="60"/>
      <c r="P730" s="60"/>
    </row>
    <row r="731" ht="15.75" customHeight="1">
      <c r="A731" s="60"/>
      <c r="B731" s="60"/>
      <c r="C731" s="60"/>
      <c r="D731" s="60"/>
      <c r="E731" s="60"/>
      <c r="F731" s="60"/>
      <c r="G731" s="60"/>
      <c r="H731" s="61"/>
      <c r="I731" s="60"/>
      <c r="J731" s="60"/>
      <c r="K731" s="62"/>
      <c r="L731" s="60"/>
      <c r="M731" s="60"/>
      <c r="N731" s="60"/>
      <c r="O731" s="60"/>
      <c r="P731" s="60"/>
    </row>
    <row r="732" ht="15.75" customHeight="1">
      <c r="A732" s="60"/>
      <c r="B732" s="60"/>
      <c r="C732" s="60"/>
      <c r="D732" s="60"/>
      <c r="E732" s="60"/>
      <c r="F732" s="60"/>
      <c r="G732" s="60"/>
      <c r="H732" s="61"/>
      <c r="I732" s="60"/>
      <c r="J732" s="60"/>
      <c r="K732" s="62"/>
      <c r="L732" s="60"/>
      <c r="M732" s="60"/>
      <c r="N732" s="60"/>
      <c r="O732" s="60"/>
      <c r="P732" s="60"/>
    </row>
    <row r="733" ht="15.75" customHeight="1">
      <c r="A733" s="60"/>
      <c r="B733" s="60"/>
      <c r="C733" s="60"/>
      <c r="D733" s="60"/>
      <c r="E733" s="60"/>
      <c r="F733" s="60"/>
      <c r="G733" s="60"/>
      <c r="H733" s="61"/>
      <c r="I733" s="60"/>
      <c r="J733" s="60"/>
      <c r="K733" s="62"/>
      <c r="L733" s="60"/>
      <c r="M733" s="60"/>
      <c r="N733" s="60"/>
      <c r="O733" s="60"/>
      <c r="P733" s="60"/>
    </row>
    <row r="734" ht="15.75" customHeight="1">
      <c r="A734" s="60"/>
      <c r="B734" s="60"/>
      <c r="C734" s="60"/>
      <c r="D734" s="60"/>
      <c r="E734" s="60"/>
      <c r="F734" s="60"/>
      <c r="G734" s="60"/>
      <c r="H734" s="61"/>
      <c r="I734" s="60"/>
      <c r="J734" s="60"/>
      <c r="K734" s="62"/>
      <c r="L734" s="60"/>
      <c r="M734" s="60"/>
      <c r="N734" s="60"/>
      <c r="O734" s="60"/>
      <c r="P734" s="60"/>
    </row>
    <row r="735" ht="15.75" customHeight="1">
      <c r="A735" s="60"/>
      <c r="B735" s="60"/>
      <c r="C735" s="60"/>
      <c r="D735" s="60"/>
      <c r="E735" s="60"/>
      <c r="F735" s="60"/>
      <c r="G735" s="60"/>
      <c r="H735" s="61"/>
      <c r="I735" s="60"/>
      <c r="J735" s="60"/>
      <c r="K735" s="62"/>
      <c r="L735" s="60"/>
      <c r="M735" s="60"/>
      <c r="N735" s="60"/>
      <c r="O735" s="60"/>
      <c r="P735" s="60"/>
    </row>
    <row r="736" ht="15.75" customHeight="1">
      <c r="A736" s="60"/>
      <c r="B736" s="60"/>
      <c r="C736" s="60"/>
      <c r="D736" s="60"/>
      <c r="E736" s="60"/>
      <c r="F736" s="60"/>
      <c r="G736" s="60"/>
      <c r="H736" s="61"/>
      <c r="I736" s="60"/>
      <c r="J736" s="60"/>
      <c r="K736" s="62"/>
      <c r="L736" s="60"/>
      <c r="M736" s="60"/>
      <c r="N736" s="60"/>
      <c r="O736" s="60"/>
      <c r="P736" s="60"/>
    </row>
    <row r="737" ht="15.75" customHeight="1">
      <c r="A737" s="60"/>
      <c r="B737" s="60"/>
      <c r="C737" s="60"/>
      <c r="D737" s="60"/>
      <c r="E737" s="60"/>
      <c r="F737" s="60"/>
      <c r="G737" s="60"/>
      <c r="H737" s="61"/>
      <c r="I737" s="60"/>
      <c r="J737" s="60"/>
      <c r="K737" s="62"/>
      <c r="L737" s="60"/>
      <c r="M737" s="60"/>
      <c r="N737" s="60"/>
      <c r="O737" s="60"/>
      <c r="P737" s="60"/>
    </row>
    <row r="738" ht="15.75" customHeight="1">
      <c r="A738" s="60"/>
      <c r="B738" s="60"/>
      <c r="C738" s="60"/>
      <c r="D738" s="60"/>
      <c r="E738" s="60"/>
      <c r="F738" s="60"/>
      <c r="G738" s="60"/>
      <c r="H738" s="61"/>
      <c r="I738" s="60"/>
      <c r="J738" s="60"/>
      <c r="K738" s="62"/>
      <c r="L738" s="60"/>
      <c r="M738" s="60"/>
      <c r="N738" s="60"/>
      <c r="O738" s="60"/>
      <c r="P738" s="60"/>
    </row>
    <row r="739" ht="15.75" customHeight="1">
      <c r="A739" s="60"/>
      <c r="B739" s="60"/>
      <c r="C739" s="60"/>
      <c r="D739" s="60"/>
      <c r="E739" s="60"/>
      <c r="F739" s="60"/>
      <c r="G739" s="60"/>
      <c r="H739" s="61"/>
      <c r="I739" s="60"/>
      <c r="J739" s="60"/>
      <c r="K739" s="62"/>
      <c r="L739" s="60"/>
      <c r="M739" s="60"/>
      <c r="N739" s="60"/>
      <c r="O739" s="60"/>
      <c r="P739" s="60"/>
    </row>
    <row r="740" ht="15.75" customHeight="1">
      <c r="A740" s="60"/>
      <c r="B740" s="60"/>
      <c r="C740" s="60"/>
      <c r="D740" s="60"/>
      <c r="E740" s="60"/>
      <c r="F740" s="60"/>
      <c r="G740" s="60"/>
      <c r="H740" s="61"/>
      <c r="I740" s="60"/>
      <c r="J740" s="60"/>
      <c r="K740" s="62"/>
      <c r="L740" s="60"/>
      <c r="M740" s="60"/>
      <c r="N740" s="60"/>
      <c r="O740" s="60"/>
      <c r="P740" s="60"/>
    </row>
    <row r="741" ht="15.75" customHeight="1">
      <c r="A741" s="60"/>
      <c r="B741" s="60"/>
      <c r="C741" s="60"/>
      <c r="D741" s="60"/>
      <c r="E741" s="60"/>
      <c r="F741" s="60"/>
      <c r="G741" s="60"/>
      <c r="H741" s="61"/>
      <c r="I741" s="60"/>
      <c r="J741" s="60"/>
      <c r="K741" s="62"/>
      <c r="L741" s="60"/>
      <c r="M741" s="60"/>
      <c r="N741" s="60"/>
      <c r="O741" s="60"/>
      <c r="P741" s="60"/>
    </row>
    <row r="742" ht="15.75" customHeight="1">
      <c r="A742" s="60"/>
      <c r="B742" s="60"/>
      <c r="C742" s="60"/>
      <c r="D742" s="60"/>
      <c r="E742" s="60"/>
      <c r="F742" s="60"/>
      <c r="G742" s="60"/>
      <c r="H742" s="61"/>
      <c r="I742" s="60"/>
      <c r="J742" s="60"/>
      <c r="K742" s="62"/>
      <c r="L742" s="60"/>
      <c r="M742" s="60"/>
      <c r="N742" s="60"/>
      <c r="O742" s="60"/>
      <c r="P742" s="60"/>
    </row>
    <row r="743" ht="15.75" customHeight="1">
      <c r="A743" s="60"/>
      <c r="B743" s="60"/>
      <c r="C743" s="60"/>
      <c r="D743" s="60"/>
      <c r="E743" s="60"/>
      <c r="F743" s="60"/>
      <c r="G743" s="60"/>
      <c r="H743" s="61"/>
      <c r="I743" s="60"/>
      <c r="J743" s="60"/>
      <c r="K743" s="62"/>
      <c r="L743" s="60"/>
      <c r="M743" s="60"/>
      <c r="N743" s="60"/>
      <c r="O743" s="60"/>
      <c r="P743" s="60"/>
    </row>
    <row r="744" ht="15.75" customHeight="1">
      <c r="A744" s="60"/>
      <c r="B744" s="60"/>
      <c r="C744" s="60"/>
      <c r="D744" s="60"/>
      <c r="E744" s="60"/>
      <c r="F744" s="60"/>
      <c r="G744" s="60"/>
      <c r="H744" s="61"/>
      <c r="I744" s="60"/>
      <c r="J744" s="60"/>
      <c r="K744" s="62"/>
      <c r="L744" s="60"/>
      <c r="M744" s="60"/>
      <c r="N744" s="60"/>
      <c r="O744" s="60"/>
      <c r="P744" s="60"/>
    </row>
    <row r="745" ht="15.75" customHeight="1">
      <c r="A745" s="60"/>
      <c r="B745" s="60"/>
      <c r="C745" s="60"/>
      <c r="D745" s="60"/>
      <c r="E745" s="60"/>
      <c r="F745" s="60"/>
      <c r="G745" s="60"/>
      <c r="H745" s="61"/>
      <c r="I745" s="60"/>
      <c r="J745" s="60"/>
      <c r="K745" s="62"/>
      <c r="L745" s="60"/>
      <c r="M745" s="60"/>
      <c r="N745" s="60"/>
      <c r="O745" s="60"/>
      <c r="P745" s="60"/>
    </row>
    <row r="746" ht="15.75" customHeight="1">
      <c r="A746" s="60"/>
      <c r="B746" s="60"/>
      <c r="C746" s="60"/>
      <c r="D746" s="60"/>
      <c r="E746" s="60"/>
      <c r="F746" s="60"/>
      <c r="G746" s="60"/>
      <c r="H746" s="61"/>
      <c r="I746" s="60"/>
      <c r="J746" s="60"/>
      <c r="K746" s="62"/>
      <c r="L746" s="60"/>
      <c r="M746" s="60"/>
      <c r="N746" s="60"/>
      <c r="O746" s="60"/>
      <c r="P746" s="60"/>
    </row>
    <row r="747" ht="15.75" customHeight="1">
      <c r="A747" s="60"/>
      <c r="B747" s="60"/>
      <c r="C747" s="60"/>
      <c r="D747" s="60"/>
      <c r="E747" s="60"/>
      <c r="F747" s="60"/>
      <c r="G747" s="60"/>
      <c r="H747" s="61"/>
      <c r="I747" s="60"/>
      <c r="J747" s="60"/>
      <c r="K747" s="62"/>
      <c r="L747" s="60"/>
      <c r="M747" s="60"/>
      <c r="N747" s="60"/>
      <c r="O747" s="60"/>
      <c r="P747" s="60"/>
    </row>
    <row r="748" ht="15.75" customHeight="1">
      <c r="A748" s="60"/>
      <c r="B748" s="60"/>
      <c r="C748" s="60"/>
      <c r="D748" s="60"/>
      <c r="E748" s="60"/>
      <c r="F748" s="60"/>
      <c r="G748" s="60"/>
      <c r="H748" s="61"/>
      <c r="I748" s="60"/>
      <c r="J748" s="60"/>
      <c r="K748" s="62"/>
      <c r="L748" s="60"/>
      <c r="M748" s="60"/>
      <c r="N748" s="60"/>
      <c r="O748" s="60"/>
      <c r="P748" s="60"/>
    </row>
    <row r="749" ht="15.75" customHeight="1">
      <c r="A749" s="60"/>
      <c r="B749" s="60"/>
      <c r="C749" s="60"/>
      <c r="D749" s="60"/>
      <c r="E749" s="60"/>
      <c r="F749" s="60"/>
      <c r="G749" s="60"/>
      <c r="H749" s="61"/>
      <c r="I749" s="60"/>
      <c r="J749" s="60"/>
      <c r="K749" s="62"/>
      <c r="L749" s="60"/>
      <c r="M749" s="60"/>
      <c r="N749" s="60"/>
      <c r="O749" s="60"/>
      <c r="P749" s="60"/>
    </row>
    <row r="750" ht="15.75" customHeight="1">
      <c r="A750" s="60"/>
      <c r="B750" s="60"/>
      <c r="C750" s="60"/>
      <c r="D750" s="60"/>
      <c r="E750" s="60"/>
      <c r="F750" s="60"/>
      <c r="G750" s="60"/>
      <c r="H750" s="61"/>
      <c r="I750" s="60"/>
      <c r="J750" s="60"/>
      <c r="K750" s="62"/>
      <c r="L750" s="60"/>
      <c r="M750" s="60"/>
      <c r="N750" s="60"/>
      <c r="O750" s="60"/>
      <c r="P750" s="60"/>
    </row>
    <row r="751" ht="15.75" customHeight="1">
      <c r="A751" s="60"/>
      <c r="B751" s="60"/>
      <c r="C751" s="60"/>
      <c r="D751" s="60"/>
      <c r="E751" s="60"/>
      <c r="F751" s="60"/>
      <c r="G751" s="60"/>
      <c r="H751" s="61"/>
      <c r="I751" s="60"/>
      <c r="J751" s="60"/>
      <c r="K751" s="62"/>
      <c r="L751" s="60"/>
      <c r="M751" s="60"/>
      <c r="N751" s="60"/>
      <c r="O751" s="60"/>
      <c r="P751" s="60"/>
    </row>
    <row r="752" ht="15.75" customHeight="1">
      <c r="A752" s="60"/>
      <c r="B752" s="60"/>
      <c r="C752" s="60"/>
      <c r="D752" s="60"/>
      <c r="E752" s="60"/>
      <c r="F752" s="60"/>
      <c r="G752" s="60"/>
      <c r="H752" s="61"/>
      <c r="I752" s="60"/>
      <c r="J752" s="60"/>
      <c r="K752" s="62"/>
      <c r="L752" s="60"/>
      <c r="M752" s="60"/>
      <c r="N752" s="60"/>
      <c r="O752" s="60"/>
      <c r="P752" s="60"/>
    </row>
    <row r="753" ht="15.75" customHeight="1">
      <c r="A753" s="60"/>
      <c r="B753" s="60"/>
      <c r="C753" s="60"/>
      <c r="D753" s="60"/>
      <c r="E753" s="60"/>
      <c r="F753" s="60"/>
      <c r="G753" s="60"/>
      <c r="H753" s="61"/>
      <c r="I753" s="60"/>
      <c r="J753" s="60"/>
      <c r="K753" s="62"/>
      <c r="L753" s="60"/>
      <c r="M753" s="60"/>
      <c r="N753" s="60"/>
      <c r="O753" s="60"/>
      <c r="P753" s="60"/>
    </row>
    <row r="754" ht="15.75" customHeight="1">
      <c r="A754" s="60"/>
      <c r="B754" s="60"/>
      <c r="C754" s="60"/>
      <c r="D754" s="60"/>
      <c r="E754" s="60"/>
      <c r="F754" s="60"/>
      <c r="G754" s="60"/>
      <c r="H754" s="61"/>
      <c r="I754" s="60"/>
      <c r="J754" s="60"/>
      <c r="K754" s="62"/>
      <c r="L754" s="60"/>
      <c r="M754" s="60"/>
      <c r="N754" s="60"/>
      <c r="O754" s="60"/>
      <c r="P754" s="60"/>
    </row>
    <row r="755" ht="15.75" customHeight="1">
      <c r="A755" s="60"/>
      <c r="B755" s="60"/>
      <c r="C755" s="60"/>
      <c r="D755" s="60"/>
      <c r="E755" s="60"/>
      <c r="F755" s="60"/>
      <c r="G755" s="60"/>
      <c r="H755" s="61"/>
      <c r="I755" s="60"/>
      <c r="J755" s="60"/>
      <c r="K755" s="62"/>
      <c r="L755" s="60"/>
      <c r="M755" s="60"/>
      <c r="N755" s="60"/>
      <c r="O755" s="60"/>
      <c r="P755" s="60"/>
    </row>
    <row r="756" ht="15.75" customHeight="1">
      <c r="A756" s="60"/>
      <c r="B756" s="60"/>
      <c r="C756" s="60"/>
      <c r="D756" s="60"/>
      <c r="E756" s="60"/>
      <c r="F756" s="60"/>
      <c r="G756" s="60"/>
      <c r="H756" s="61"/>
      <c r="I756" s="60"/>
      <c r="J756" s="60"/>
      <c r="K756" s="62"/>
      <c r="L756" s="60"/>
      <c r="M756" s="60"/>
      <c r="N756" s="60"/>
      <c r="O756" s="60"/>
      <c r="P756" s="60"/>
    </row>
    <row r="757" ht="15.75" customHeight="1">
      <c r="A757" s="60"/>
      <c r="B757" s="60"/>
      <c r="C757" s="60"/>
      <c r="D757" s="60"/>
      <c r="E757" s="60"/>
      <c r="F757" s="60"/>
      <c r="G757" s="60"/>
      <c r="H757" s="61"/>
      <c r="I757" s="60"/>
      <c r="J757" s="60"/>
      <c r="K757" s="62"/>
      <c r="L757" s="60"/>
      <c r="M757" s="60"/>
      <c r="N757" s="60"/>
      <c r="O757" s="60"/>
      <c r="P757" s="60"/>
    </row>
    <row r="758" ht="15.75" customHeight="1">
      <c r="A758" s="60"/>
      <c r="B758" s="60"/>
      <c r="C758" s="60"/>
      <c r="D758" s="60"/>
      <c r="E758" s="60"/>
      <c r="F758" s="60"/>
      <c r="G758" s="60"/>
      <c r="H758" s="61"/>
      <c r="I758" s="60"/>
      <c r="J758" s="60"/>
      <c r="K758" s="62"/>
      <c r="L758" s="60"/>
      <c r="M758" s="60"/>
      <c r="N758" s="60"/>
      <c r="O758" s="60"/>
      <c r="P758" s="60"/>
    </row>
    <row r="759" ht="15.75" customHeight="1">
      <c r="A759" s="60"/>
      <c r="B759" s="60"/>
      <c r="C759" s="60"/>
      <c r="D759" s="60"/>
      <c r="E759" s="60"/>
      <c r="F759" s="60"/>
      <c r="G759" s="60"/>
      <c r="H759" s="61"/>
      <c r="I759" s="60"/>
      <c r="J759" s="60"/>
      <c r="K759" s="62"/>
      <c r="L759" s="60"/>
      <c r="M759" s="60"/>
      <c r="N759" s="60"/>
      <c r="O759" s="60"/>
      <c r="P759" s="60"/>
    </row>
    <row r="760" ht="15.75" customHeight="1">
      <c r="A760" s="60"/>
      <c r="B760" s="60"/>
      <c r="C760" s="60"/>
      <c r="D760" s="60"/>
      <c r="E760" s="60"/>
      <c r="F760" s="60"/>
      <c r="G760" s="60"/>
      <c r="H760" s="61"/>
      <c r="I760" s="60"/>
      <c r="J760" s="60"/>
      <c r="K760" s="62"/>
      <c r="L760" s="60"/>
      <c r="M760" s="60"/>
      <c r="N760" s="60"/>
      <c r="O760" s="60"/>
      <c r="P760" s="60"/>
    </row>
    <row r="761" ht="15.75" customHeight="1">
      <c r="A761" s="60"/>
      <c r="B761" s="60"/>
      <c r="C761" s="60"/>
      <c r="D761" s="60"/>
      <c r="E761" s="60"/>
      <c r="F761" s="60"/>
      <c r="G761" s="60"/>
      <c r="H761" s="61"/>
      <c r="I761" s="60"/>
      <c r="J761" s="60"/>
      <c r="K761" s="62"/>
      <c r="L761" s="60"/>
      <c r="M761" s="60"/>
      <c r="N761" s="60"/>
      <c r="O761" s="60"/>
      <c r="P761" s="60"/>
    </row>
    <row r="762" ht="15.75" customHeight="1">
      <c r="A762" s="60"/>
      <c r="B762" s="60"/>
      <c r="C762" s="60"/>
      <c r="D762" s="60"/>
      <c r="E762" s="60"/>
      <c r="F762" s="60"/>
      <c r="G762" s="60"/>
      <c r="H762" s="61"/>
      <c r="I762" s="60"/>
      <c r="J762" s="60"/>
      <c r="K762" s="62"/>
      <c r="L762" s="60"/>
      <c r="M762" s="60"/>
      <c r="N762" s="60"/>
      <c r="O762" s="60"/>
      <c r="P762" s="60"/>
    </row>
    <row r="763" ht="15.75" customHeight="1">
      <c r="A763" s="60"/>
      <c r="B763" s="60"/>
      <c r="C763" s="60"/>
      <c r="D763" s="60"/>
      <c r="E763" s="60"/>
      <c r="F763" s="60"/>
      <c r="G763" s="60"/>
      <c r="H763" s="61"/>
      <c r="I763" s="60"/>
      <c r="J763" s="60"/>
      <c r="K763" s="62"/>
      <c r="L763" s="60"/>
      <c r="M763" s="60"/>
      <c r="N763" s="60"/>
      <c r="O763" s="60"/>
      <c r="P763" s="60"/>
    </row>
    <row r="764" ht="15.75" customHeight="1">
      <c r="A764" s="60"/>
      <c r="B764" s="60"/>
      <c r="C764" s="60"/>
      <c r="D764" s="60"/>
      <c r="E764" s="60"/>
      <c r="F764" s="60"/>
      <c r="G764" s="60"/>
      <c r="H764" s="61"/>
      <c r="I764" s="60"/>
      <c r="J764" s="60"/>
      <c r="K764" s="62"/>
      <c r="L764" s="60"/>
      <c r="M764" s="60"/>
      <c r="N764" s="60"/>
      <c r="O764" s="60"/>
      <c r="P764" s="60"/>
    </row>
    <row r="765" ht="15.75" customHeight="1">
      <c r="A765" s="60"/>
      <c r="B765" s="60"/>
      <c r="C765" s="60"/>
      <c r="D765" s="60"/>
      <c r="E765" s="60"/>
      <c r="F765" s="60"/>
      <c r="G765" s="60"/>
      <c r="H765" s="61"/>
      <c r="I765" s="60"/>
      <c r="J765" s="60"/>
      <c r="K765" s="62"/>
      <c r="L765" s="60"/>
      <c r="M765" s="60"/>
      <c r="N765" s="60"/>
      <c r="O765" s="60"/>
      <c r="P765" s="60"/>
    </row>
    <row r="766" ht="15.75" customHeight="1">
      <c r="A766" s="60"/>
      <c r="B766" s="60"/>
      <c r="C766" s="60"/>
      <c r="D766" s="60"/>
      <c r="E766" s="60"/>
      <c r="F766" s="60"/>
      <c r="G766" s="60"/>
      <c r="H766" s="61"/>
      <c r="I766" s="60"/>
      <c r="J766" s="60"/>
      <c r="K766" s="62"/>
      <c r="L766" s="60"/>
      <c r="M766" s="60"/>
      <c r="N766" s="60"/>
      <c r="O766" s="60"/>
      <c r="P766" s="60"/>
    </row>
    <row r="767" ht="15.75" customHeight="1">
      <c r="A767" s="60"/>
      <c r="B767" s="60"/>
      <c r="C767" s="60"/>
      <c r="D767" s="60"/>
      <c r="E767" s="60"/>
      <c r="F767" s="60"/>
      <c r="G767" s="60"/>
      <c r="H767" s="61"/>
      <c r="I767" s="60"/>
      <c r="J767" s="60"/>
      <c r="K767" s="62"/>
      <c r="L767" s="60"/>
      <c r="M767" s="60"/>
      <c r="N767" s="60"/>
      <c r="O767" s="60"/>
      <c r="P767" s="60"/>
    </row>
    <row r="768" ht="15.75" customHeight="1">
      <c r="A768" s="60"/>
      <c r="B768" s="60"/>
      <c r="C768" s="60"/>
      <c r="D768" s="60"/>
      <c r="E768" s="60"/>
      <c r="F768" s="60"/>
      <c r="G768" s="60"/>
      <c r="H768" s="61"/>
      <c r="I768" s="60"/>
      <c r="J768" s="60"/>
      <c r="K768" s="62"/>
      <c r="L768" s="60"/>
      <c r="M768" s="60"/>
      <c r="N768" s="60"/>
      <c r="O768" s="60"/>
      <c r="P768" s="60"/>
    </row>
    <row r="769" ht="15.75" customHeight="1">
      <c r="A769" s="60"/>
      <c r="B769" s="60"/>
      <c r="C769" s="60"/>
      <c r="D769" s="60"/>
      <c r="E769" s="60"/>
      <c r="F769" s="60"/>
      <c r="G769" s="60"/>
      <c r="H769" s="61"/>
      <c r="I769" s="60"/>
      <c r="J769" s="60"/>
      <c r="K769" s="62"/>
      <c r="L769" s="60"/>
      <c r="M769" s="60"/>
      <c r="N769" s="60"/>
      <c r="O769" s="60"/>
      <c r="P769" s="60"/>
    </row>
    <row r="770" ht="15.75" customHeight="1">
      <c r="A770" s="60"/>
      <c r="B770" s="60"/>
      <c r="C770" s="60"/>
      <c r="D770" s="60"/>
      <c r="E770" s="60"/>
      <c r="F770" s="60"/>
      <c r="G770" s="60"/>
      <c r="H770" s="61"/>
      <c r="I770" s="60"/>
      <c r="J770" s="60"/>
      <c r="K770" s="62"/>
      <c r="L770" s="60"/>
      <c r="M770" s="60"/>
      <c r="N770" s="60"/>
      <c r="O770" s="60"/>
      <c r="P770" s="60"/>
    </row>
    <row r="771" ht="15.75" customHeight="1">
      <c r="A771" s="60"/>
      <c r="B771" s="60"/>
      <c r="C771" s="60"/>
      <c r="D771" s="60"/>
      <c r="E771" s="60"/>
      <c r="F771" s="60"/>
      <c r="G771" s="60"/>
      <c r="H771" s="61"/>
      <c r="I771" s="60"/>
      <c r="J771" s="60"/>
      <c r="K771" s="62"/>
      <c r="L771" s="60"/>
      <c r="M771" s="60"/>
      <c r="N771" s="60"/>
      <c r="O771" s="60"/>
      <c r="P771" s="60"/>
    </row>
    <row r="772" ht="15.75" customHeight="1">
      <c r="A772" s="60"/>
      <c r="B772" s="60"/>
      <c r="C772" s="60"/>
      <c r="D772" s="60"/>
      <c r="E772" s="60"/>
      <c r="F772" s="60"/>
      <c r="G772" s="60"/>
      <c r="H772" s="61"/>
      <c r="I772" s="60"/>
      <c r="J772" s="60"/>
      <c r="K772" s="62"/>
      <c r="L772" s="60"/>
      <c r="M772" s="60"/>
      <c r="N772" s="60"/>
      <c r="O772" s="60"/>
      <c r="P772" s="60"/>
    </row>
    <row r="773" ht="15.75" customHeight="1">
      <c r="A773" s="60"/>
      <c r="B773" s="60"/>
      <c r="C773" s="60"/>
      <c r="D773" s="60"/>
      <c r="E773" s="60"/>
      <c r="F773" s="60"/>
      <c r="G773" s="60"/>
      <c r="H773" s="61"/>
      <c r="I773" s="60"/>
      <c r="J773" s="60"/>
      <c r="K773" s="62"/>
      <c r="L773" s="60"/>
      <c r="M773" s="60"/>
      <c r="N773" s="60"/>
      <c r="O773" s="60"/>
      <c r="P773" s="60"/>
    </row>
    <row r="774" ht="15.75" customHeight="1">
      <c r="A774" s="60"/>
      <c r="B774" s="60"/>
      <c r="C774" s="60"/>
      <c r="D774" s="60"/>
      <c r="E774" s="60"/>
      <c r="F774" s="60"/>
      <c r="G774" s="60"/>
      <c r="H774" s="61"/>
      <c r="I774" s="60"/>
      <c r="J774" s="60"/>
      <c r="K774" s="62"/>
      <c r="L774" s="60"/>
      <c r="M774" s="60"/>
      <c r="N774" s="60"/>
      <c r="O774" s="60"/>
      <c r="P774" s="60"/>
    </row>
    <row r="775" ht="15.75" customHeight="1">
      <c r="A775" s="60"/>
      <c r="B775" s="60"/>
      <c r="C775" s="60"/>
      <c r="D775" s="60"/>
      <c r="E775" s="60"/>
      <c r="F775" s="60"/>
      <c r="G775" s="60"/>
      <c r="H775" s="61"/>
      <c r="I775" s="60"/>
      <c r="J775" s="60"/>
      <c r="K775" s="62"/>
      <c r="L775" s="60"/>
      <c r="M775" s="60"/>
      <c r="N775" s="60"/>
      <c r="O775" s="60"/>
      <c r="P775" s="60"/>
    </row>
    <row r="776" ht="15.75" customHeight="1">
      <c r="A776" s="60"/>
      <c r="B776" s="60"/>
      <c r="C776" s="60"/>
      <c r="D776" s="60"/>
      <c r="E776" s="60"/>
      <c r="F776" s="60"/>
      <c r="G776" s="60"/>
      <c r="H776" s="61"/>
      <c r="I776" s="60"/>
      <c r="J776" s="60"/>
      <c r="K776" s="62"/>
      <c r="L776" s="60"/>
      <c r="M776" s="60"/>
      <c r="N776" s="60"/>
      <c r="O776" s="60"/>
      <c r="P776" s="60"/>
    </row>
    <row r="777" ht="15.75" customHeight="1">
      <c r="A777" s="60"/>
      <c r="B777" s="60"/>
      <c r="C777" s="60"/>
      <c r="D777" s="60"/>
      <c r="E777" s="60"/>
      <c r="F777" s="60"/>
      <c r="G777" s="60"/>
      <c r="H777" s="61"/>
      <c r="I777" s="60"/>
      <c r="J777" s="60"/>
      <c r="K777" s="62"/>
      <c r="L777" s="60"/>
      <c r="M777" s="60"/>
      <c r="N777" s="60"/>
      <c r="O777" s="60"/>
      <c r="P777" s="60"/>
    </row>
    <row r="778" ht="15.75" customHeight="1">
      <c r="A778" s="60"/>
      <c r="B778" s="60"/>
      <c r="C778" s="60"/>
      <c r="D778" s="60"/>
      <c r="E778" s="60"/>
      <c r="F778" s="60"/>
      <c r="G778" s="60"/>
      <c r="H778" s="61"/>
      <c r="I778" s="60"/>
      <c r="J778" s="60"/>
      <c r="K778" s="62"/>
      <c r="L778" s="60"/>
      <c r="M778" s="60"/>
      <c r="N778" s="60"/>
      <c r="O778" s="60"/>
      <c r="P778" s="60"/>
    </row>
    <row r="779" ht="15.75" customHeight="1">
      <c r="A779" s="60"/>
      <c r="B779" s="60"/>
      <c r="C779" s="60"/>
      <c r="D779" s="60"/>
      <c r="E779" s="60"/>
      <c r="F779" s="60"/>
      <c r="G779" s="60"/>
      <c r="H779" s="61"/>
      <c r="I779" s="60"/>
      <c r="J779" s="60"/>
      <c r="K779" s="62"/>
      <c r="L779" s="60"/>
      <c r="M779" s="60"/>
      <c r="N779" s="60"/>
      <c r="O779" s="60"/>
      <c r="P779" s="60"/>
    </row>
    <row r="780" ht="15.75" customHeight="1">
      <c r="A780" s="60"/>
      <c r="B780" s="60"/>
      <c r="C780" s="60"/>
      <c r="D780" s="60"/>
      <c r="E780" s="60"/>
      <c r="F780" s="60"/>
      <c r="G780" s="60"/>
      <c r="H780" s="61"/>
      <c r="I780" s="60"/>
      <c r="J780" s="60"/>
      <c r="K780" s="62"/>
      <c r="L780" s="60"/>
      <c r="M780" s="60"/>
      <c r="N780" s="60"/>
      <c r="O780" s="60"/>
      <c r="P780" s="60"/>
    </row>
    <row r="781" ht="15.75" customHeight="1">
      <c r="A781" s="60"/>
      <c r="B781" s="60"/>
      <c r="C781" s="60"/>
      <c r="D781" s="60"/>
      <c r="E781" s="60"/>
      <c r="F781" s="60"/>
      <c r="G781" s="60"/>
      <c r="H781" s="61"/>
      <c r="I781" s="60"/>
      <c r="J781" s="60"/>
      <c r="K781" s="62"/>
      <c r="L781" s="60"/>
      <c r="M781" s="60"/>
      <c r="N781" s="60"/>
      <c r="O781" s="60"/>
      <c r="P781" s="60"/>
    </row>
    <row r="782" ht="15.75" customHeight="1">
      <c r="A782" s="60"/>
      <c r="B782" s="60"/>
      <c r="C782" s="60"/>
      <c r="D782" s="60"/>
      <c r="E782" s="60"/>
      <c r="F782" s="60"/>
      <c r="G782" s="60"/>
      <c r="H782" s="61"/>
      <c r="I782" s="60"/>
      <c r="J782" s="60"/>
      <c r="K782" s="62"/>
      <c r="L782" s="60"/>
      <c r="M782" s="60"/>
      <c r="N782" s="60"/>
      <c r="O782" s="60"/>
      <c r="P782" s="60"/>
    </row>
    <row r="783" ht="15.75" customHeight="1">
      <c r="A783" s="60"/>
      <c r="B783" s="60"/>
      <c r="C783" s="60"/>
      <c r="D783" s="60"/>
      <c r="E783" s="60"/>
      <c r="F783" s="60"/>
      <c r="G783" s="60"/>
      <c r="H783" s="61"/>
      <c r="I783" s="60"/>
      <c r="J783" s="60"/>
      <c r="K783" s="62"/>
      <c r="L783" s="60"/>
      <c r="M783" s="60"/>
      <c r="N783" s="60"/>
      <c r="O783" s="60"/>
      <c r="P783" s="60"/>
    </row>
    <row r="784" ht="15.75" customHeight="1">
      <c r="A784" s="60"/>
      <c r="B784" s="60"/>
      <c r="C784" s="60"/>
      <c r="D784" s="60"/>
      <c r="E784" s="60"/>
      <c r="F784" s="60"/>
      <c r="G784" s="60"/>
      <c r="H784" s="61"/>
      <c r="I784" s="60"/>
      <c r="J784" s="60"/>
      <c r="K784" s="62"/>
      <c r="L784" s="60"/>
      <c r="M784" s="60"/>
      <c r="N784" s="60"/>
      <c r="O784" s="60"/>
      <c r="P784" s="60"/>
    </row>
    <row r="785" ht="15.75" customHeight="1">
      <c r="A785" s="60"/>
      <c r="B785" s="60"/>
      <c r="C785" s="60"/>
      <c r="D785" s="60"/>
      <c r="E785" s="60"/>
      <c r="F785" s="60"/>
      <c r="G785" s="60"/>
      <c r="H785" s="61"/>
      <c r="I785" s="60"/>
      <c r="J785" s="60"/>
      <c r="K785" s="62"/>
      <c r="L785" s="60"/>
      <c r="M785" s="60"/>
      <c r="N785" s="60"/>
      <c r="O785" s="60"/>
      <c r="P785" s="60"/>
    </row>
    <row r="786" ht="15.75" customHeight="1">
      <c r="A786" s="60"/>
      <c r="B786" s="60"/>
      <c r="C786" s="60"/>
      <c r="D786" s="60"/>
      <c r="E786" s="60"/>
      <c r="F786" s="60"/>
      <c r="G786" s="60"/>
      <c r="H786" s="61"/>
      <c r="I786" s="60"/>
      <c r="J786" s="60"/>
      <c r="K786" s="62"/>
      <c r="L786" s="60"/>
      <c r="M786" s="60"/>
      <c r="N786" s="60"/>
      <c r="O786" s="60"/>
      <c r="P786" s="60"/>
    </row>
    <row r="787" ht="15.75" customHeight="1">
      <c r="A787" s="60"/>
      <c r="B787" s="60"/>
      <c r="C787" s="60"/>
      <c r="D787" s="60"/>
      <c r="E787" s="60"/>
      <c r="F787" s="60"/>
      <c r="G787" s="60"/>
      <c r="H787" s="61"/>
      <c r="I787" s="60"/>
      <c r="J787" s="60"/>
      <c r="K787" s="62"/>
      <c r="L787" s="60"/>
      <c r="M787" s="60"/>
      <c r="N787" s="60"/>
      <c r="O787" s="60"/>
      <c r="P787" s="60"/>
    </row>
    <row r="788" ht="15.75" customHeight="1">
      <c r="A788" s="60"/>
      <c r="B788" s="60"/>
      <c r="C788" s="60"/>
      <c r="D788" s="60"/>
      <c r="E788" s="60"/>
      <c r="F788" s="60"/>
      <c r="G788" s="60"/>
      <c r="H788" s="61"/>
      <c r="I788" s="60"/>
      <c r="J788" s="60"/>
      <c r="K788" s="62"/>
      <c r="L788" s="60"/>
      <c r="M788" s="60"/>
      <c r="N788" s="60"/>
      <c r="O788" s="60"/>
      <c r="P788" s="60"/>
    </row>
    <row r="789" ht="15.75" customHeight="1">
      <c r="A789" s="60"/>
      <c r="B789" s="60"/>
      <c r="C789" s="60"/>
      <c r="D789" s="60"/>
      <c r="E789" s="60"/>
      <c r="F789" s="60"/>
      <c r="G789" s="60"/>
      <c r="H789" s="61"/>
      <c r="I789" s="60"/>
      <c r="J789" s="60"/>
      <c r="K789" s="62"/>
      <c r="L789" s="60"/>
      <c r="M789" s="60"/>
      <c r="N789" s="60"/>
      <c r="O789" s="60"/>
      <c r="P789" s="60"/>
    </row>
    <row r="790" ht="15.75" customHeight="1">
      <c r="A790" s="60"/>
      <c r="B790" s="60"/>
      <c r="C790" s="60"/>
      <c r="D790" s="60"/>
      <c r="E790" s="60"/>
      <c r="F790" s="60"/>
      <c r="G790" s="60"/>
      <c r="H790" s="61"/>
      <c r="I790" s="60"/>
      <c r="J790" s="60"/>
      <c r="K790" s="62"/>
      <c r="L790" s="60"/>
      <c r="M790" s="60"/>
      <c r="N790" s="60"/>
      <c r="O790" s="60"/>
      <c r="P790" s="60"/>
    </row>
    <row r="791" ht="15.75" customHeight="1">
      <c r="A791" s="60"/>
      <c r="B791" s="60"/>
      <c r="C791" s="60"/>
      <c r="D791" s="60"/>
      <c r="E791" s="60"/>
      <c r="F791" s="60"/>
      <c r="G791" s="60"/>
      <c r="H791" s="61"/>
      <c r="I791" s="60"/>
      <c r="J791" s="60"/>
      <c r="K791" s="62"/>
      <c r="L791" s="60"/>
      <c r="M791" s="60"/>
      <c r="N791" s="60"/>
      <c r="O791" s="60"/>
      <c r="P791" s="60"/>
    </row>
    <row r="792" ht="15.75" customHeight="1">
      <c r="A792" s="60"/>
      <c r="B792" s="60"/>
      <c r="C792" s="60"/>
      <c r="D792" s="60"/>
      <c r="E792" s="60"/>
      <c r="F792" s="60"/>
      <c r="G792" s="60"/>
      <c r="H792" s="61"/>
      <c r="I792" s="60"/>
      <c r="J792" s="60"/>
      <c r="K792" s="62"/>
      <c r="L792" s="60"/>
      <c r="M792" s="60"/>
      <c r="N792" s="60"/>
      <c r="O792" s="60"/>
      <c r="P792" s="60"/>
    </row>
    <row r="793" ht="15.75" customHeight="1">
      <c r="A793" s="60"/>
      <c r="B793" s="60"/>
      <c r="C793" s="60"/>
      <c r="D793" s="60"/>
      <c r="E793" s="60"/>
      <c r="F793" s="60"/>
      <c r="G793" s="60"/>
      <c r="H793" s="61"/>
      <c r="I793" s="60"/>
      <c r="J793" s="60"/>
      <c r="K793" s="62"/>
      <c r="L793" s="60"/>
      <c r="M793" s="60"/>
      <c r="N793" s="60"/>
      <c r="O793" s="60"/>
      <c r="P793" s="60"/>
    </row>
    <row r="794" ht="15.75" customHeight="1">
      <c r="A794" s="60"/>
      <c r="B794" s="60"/>
      <c r="C794" s="60"/>
      <c r="D794" s="60"/>
      <c r="E794" s="60"/>
      <c r="F794" s="60"/>
      <c r="G794" s="60"/>
      <c r="H794" s="61"/>
      <c r="I794" s="60"/>
      <c r="J794" s="60"/>
      <c r="K794" s="62"/>
      <c r="L794" s="60"/>
      <c r="M794" s="60"/>
      <c r="N794" s="60"/>
      <c r="O794" s="60"/>
      <c r="P794" s="60"/>
    </row>
    <row r="795" ht="15.75" customHeight="1">
      <c r="A795" s="60"/>
      <c r="B795" s="60"/>
      <c r="C795" s="60"/>
      <c r="D795" s="60"/>
      <c r="E795" s="60"/>
      <c r="F795" s="60"/>
      <c r="G795" s="60"/>
      <c r="H795" s="61"/>
      <c r="I795" s="60"/>
      <c r="J795" s="60"/>
      <c r="K795" s="62"/>
      <c r="L795" s="60"/>
      <c r="M795" s="60"/>
      <c r="N795" s="60"/>
      <c r="O795" s="60"/>
      <c r="P795" s="60"/>
    </row>
    <row r="796" ht="15.75" customHeight="1">
      <c r="A796" s="60"/>
      <c r="B796" s="60"/>
      <c r="C796" s="60"/>
      <c r="D796" s="60"/>
      <c r="E796" s="60"/>
      <c r="F796" s="60"/>
      <c r="G796" s="60"/>
      <c r="H796" s="61"/>
      <c r="I796" s="60"/>
      <c r="J796" s="60"/>
      <c r="K796" s="62"/>
      <c r="L796" s="60"/>
      <c r="M796" s="60"/>
      <c r="N796" s="60"/>
      <c r="O796" s="60"/>
      <c r="P796" s="60"/>
    </row>
    <row r="797" ht="15.75" customHeight="1">
      <c r="A797" s="60"/>
      <c r="B797" s="60"/>
      <c r="C797" s="60"/>
      <c r="D797" s="60"/>
      <c r="E797" s="60"/>
      <c r="F797" s="60"/>
      <c r="G797" s="60"/>
      <c r="H797" s="61"/>
      <c r="I797" s="60"/>
      <c r="J797" s="60"/>
      <c r="K797" s="62"/>
      <c r="L797" s="60"/>
      <c r="M797" s="60"/>
      <c r="N797" s="60"/>
      <c r="O797" s="60"/>
      <c r="P797" s="60"/>
    </row>
    <row r="798" ht="15.75" customHeight="1">
      <c r="A798" s="60"/>
      <c r="B798" s="60"/>
      <c r="C798" s="60"/>
      <c r="D798" s="60"/>
      <c r="E798" s="60"/>
      <c r="F798" s="60"/>
      <c r="G798" s="60"/>
      <c r="H798" s="61"/>
      <c r="I798" s="60"/>
      <c r="J798" s="60"/>
      <c r="K798" s="62"/>
      <c r="L798" s="60"/>
      <c r="M798" s="60"/>
      <c r="N798" s="60"/>
      <c r="O798" s="60"/>
      <c r="P798" s="60"/>
    </row>
    <row r="799" ht="15.75" customHeight="1">
      <c r="A799" s="60"/>
      <c r="B799" s="60"/>
      <c r="C799" s="60"/>
      <c r="D799" s="60"/>
      <c r="E799" s="60"/>
      <c r="F799" s="60"/>
      <c r="G799" s="60"/>
      <c r="H799" s="61"/>
      <c r="I799" s="60"/>
      <c r="J799" s="60"/>
      <c r="K799" s="62"/>
      <c r="L799" s="60"/>
      <c r="M799" s="60"/>
      <c r="N799" s="60"/>
      <c r="O799" s="60"/>
      <c r="P799" s="60"/>
    </row>
    <row r="800" ht="15.75" customHeight="1">
      <c r="A800" s="60"/>
      <c r="B800" s="60"/>
      <c r="C800" s="60"/>
      <c r="D800" s="60"/>
      <c r="E800" s="60"/>
      <c r="F800" s="60"/>
      <c r="G800" s="60"/>
      <c r="H800" s="61"/>
      <c r="I800" s="60"/>
      <c r="J800" s="60"/>
      <c r="K800" s="62"/>
      <c r="L800" s="60"/>
      <c r="M800" s="60"/>
      <c r="N800" s="60"/>
      <c r="O800" s="60"/>
      <c r="P800" s="60"/>
    </row>
    <row r="801" ht="15.75" customHeight="1">
      <c r="A801" s="60"/>
      <c r="B801" s="60"/>
      <c r="C801" s="60"/>
      <c r="D801" s="60"/>
      <c r="E801" s="60"/>
      <c r="F801" s="60"/>
      <c r="G801" s="60"/>
      <c r="H801" s="61"/>
      <c r="I801" s="60"/>
      <c r="J801" s="60"/>
      <c r="K801" s="62"/>
      <c r="L801" s="60"/>
      <c r="M801" s="60"/>
      <c r="N801" s="60"/>
      <c r="O801" s="60"/>
      <c r="P801" s="60"/>
    </row>
    <row r="802" ht="15.75" customHeight="1">
      <c r="A802" s="60"/>
      <c r="B802" s="60"/>
      <c r="C802" s="60"/>
      <c r="D802" s="60"/>
      <c r="E802" s="60"/>
      <c r="F802" s="60"/>
      <c r="G802" s="60"/>
      <c r="H802" s="61"/>
      <c r="I802" s="60"/>
      <c r="J802" s="60"/>
      <c r="K802" s="62"/>
      <c r="L802" s="60"/>
      <c r="M802" s="60"/>
      <c r="N802" s="60"/>
      <c r="O802" s="60"/>
      <c r="P802" s="60"/>
    </row>
    <row r="803" ht="15.75" customHeight="1">
      <c r="A803" s="60"/>
      <c r="B803" s="60"/>
      <c r="C803" s="60"/>
      <c r="D803" s="60"/>
      <c r="E803" s="60"/>
      <c r="F803" s="60"/>
      <c r="G803" s="60"/>
      <c r="H803" s="61"/>
      <c r="I803" s="60"/>
      <c r="J803" s="60"/>
      <c r="K803" s="62"/>
      <c r="L803" s="60"/>
      <c r="M803" s="60"/>
      <c r="N803" s="60"/>
      <c r="O803" s="60"/>
      <c r="P803" s="60"/>
    </row>
    <row r="804" ht="15.75" customHeight="1">
      <c r="A804" s="60"/>
      <c r="B804" s="60"/>
      <c r="C804" s="60"/>
      <c r="D804" s="60"/>
      <c r="E804" s="60"/>
      <c r="F804" s="60"/>
      <c r="G804" s="60"/>
      <c r="H804" s="61"/>
      <c r="I804" s="60"/>
      <c r="J804" s="60"/>
      <c r="K804" s="62"/>
      <c r="L804" s="60"/>
      <c r="M804" s="60"/>
      <c r="N804" s="60"/>
      <c r="O804" s="60"/>
      <c r="P804" s="60"/>
    </row>
    <row r="805" ht="15.75" customHeight="1">
      <c r="A805" s="60"/>
      <c r="B805" s="60"/>
      <c r="C805" s="60"/>
      <c r="D805" s="60"/>
      <c r="E805" s="60"/>
      <c r="F805" s="60"/>
      <c r="G805" s="60"/>
      <c r="H805" s="61"/>
      <c r="I805" s="60"/>
      <c r="J805" s="60"/>
      <c r="K805" s="62"/>
      <c r="L805" s="60"/>
      <c r="M805" s="60"/>
      <c r="N805" s="60"/>
      <c r="O805" s="60"/>
      <c r="P805" s="60"/>
    </row>
    <row r="806" ht="15.75" customHeight="1">
      <c r="A806" s="60"/>
      <c r="B806" s="60"/>
      <c r="C806" s="60"/>
      <c r="D806" s="60"/>
      <c r="E806" s="60"/>
      <c r="F806" s="60"/>
      <c r="G806" s="60"/>
      <c r="H806" s="61"/>
      <c r="I806" s="60"/>
      <c r="J806" s="60"/>
      <c r="K806" s="62"/>
      <c r="L806" s="60"/>
      <c r="M806" s="60"/>
      <c r="N806" s="60"/>
      <c r="O806" s="60"/>
      <c r="P806" s="60"/>
    </row>
    <row r="807" ht="15.75" customHeight="1">
      <c r="A807" s="60"/>
      <c r="B807" s="60"/>
      <c r="C807" s="60"/>
      <c r="D807" s="60"/>
      <c r="E807" s="60"/>
      <c r="F807" s="60"/>
      <c r="G807" s="60"/>
      <c r="H807" s="61"/>
      <c r="I807" s="60"/>
      <c r="J807" s="60"/>
      <c r="K807" s="62"/>
      <c r="L807" s="60"/>
      <c r="M807" s="60"/>
      <c r="N807" s="60"/>
      <c r="O807" s="60"/>
      <c r="P807" s="60"/>
    </row>
    <row r="808" ht="15.75" customHeight="1">
      <c r="A808" s="60"/>
      <c r="B808" s="60"/>
      <c r="C808" s="60"/>
      <c r="D808" s="60"/>
      <c r="E808" s="60"/>
      <c r="F808" s="60"/>
      <c r="G808" s="60"/>
      <c r="H808" s="61"/>
      <c r="I808" s="60"/>
      <c r="J808" s="60"/>
      <c r="K808" s="62"/>
      <c r="L808" s="60"/>
      <c r="M808" s="60"/>
      <c r="N808" s="60"/>
      <c r="O808" s="60"/>
      <c r="P808" s="60"/>
    </row>
    <row r="809" ht="15.75" customHeight="1">
      <c r="A809" s="60"/>
      <c r="B809" s="60"/>
      <c r="C809" s="60"/>
      <c r="D809" s="60"/>
      <c r="E809" s="60"/>
      <c r="F809" s="60"/>
      <c r="G809" s="60"/>
      <c r="H809" s="61"/>
      <c r="I809" s="60"/>
      <c r="J809" s="60"/>
      <c r="K809" s="62"/>
      <c r="L809" s="60"/>
      <c r="M809" s="60"/>
      <c r="N809" s="60"/>
      <c r="O809" s="60"/>
      <c r="P809" s="60"/>
    </row>
    <row r="810" ht="15.75" customHeight="1">
      <c r="A810" s="60"/>
      <c r="B810" s="60"/>
      <c r="C810" s="60"/>
      <c r="D810" s="60"/>
      <c r="E810" s="60"/>
      <c r="F810" s="60"/>
      <c r="G810" s="60"/>
      <c r="H810" s="61"/>
      <c r="I810" s="60"/>
      <c r="J810" s="60"/>
      <c r="K810" s="62"/>
      <c r="L810" s="60"/>
      <c r="M810" s="60"/>
      <c r="N810" s="60"/>
      <c r="O810" s="60"/>
      <c r="P810" s="60"/>
    </row>
    <row r="811" ht="15.75" customHeight="1">
      <c r="A811" s="60"/>
      <c r="B811" s="60"/>
      <c r="C811" s="60"/>
      <c r="D811" s="60"/>
      <c r="E811" s="60"/>
      <c r="F811" s="60"/>
      <c r="G811" s="60"/>
      <c r="H811" s="61"/>
      <c r="I811" s="60"/>
      <c r="J811" s="60"/>
      <c r="K811" s="62"/>
      <c r="L811" s="60"/>
      <c r="M811" s="60"/>
      <c r="N811" s="60"/>
      <c r="O811" s="60"/>
      <c r="P811" s="60"/>
    </row>
    <row r="812" ht="15.75" customHeight="1">
      <c r="A812" s="60"/>
      <c r="B812" s="60"/>
      <c r="C812" s="60"/>
      <c r="D812" s="60"/>
      <c r="E812" s="60"/>
      <c r="F812" s="60"/>
      <c r="G812" s="60"/>
      <c r="H812" s="61"/>
      <c r="I812" s="60"/>
      <c r="J812" s="60"/>
      <c r="K812" s="62"/>
      <c r="L812" s="60"/>
      <c r="M812" s="60"/>
      <c r="N812" s="60"/>
      <c r="O812" s="60"/>
      <c r="P812" s="60"/>
    </row>
    <row r="813" ht="15.75" customHeight="1">
      <c r="A813" s="60"/>
      <c r="B813" s="60"/>
      <c r="C813" s="60"/>
      <c r="D813" s="60"/>
      <c r="E813" s="60"/>
      <c r="F813" s="60"/>
      <c r="G813" s="60"/>
      <c r="H813" s="61"/>
      <c r="I813" s="60"/>
      <c r="J813" s="60"/>
      <c r="K813" s="62"/>
      <c r="L813" s="60"/>
      <c r="M813" s="60"/>
      <c r="N813" s="60"/>
      <c r="O813" s="60"/>
      <c r="P813" s="60"/>
    </row>
    <row r="814" ht="15.75" customHeight="1">
      <c r="A814" s="60"/>
      <c r="B814" s="60"/>
      <c r="C814" s="60"/>
      <c r="D814" s="60"/>
      <c r="E814" s="60"/>
      <c r="F814" s="60"/>
      <c r="G814" s="60"/>
      <c r="H814" s="61"/>
      <c r="I814" s="60"/>
      <c r="J814" s="60"/>
      <c r="K814" s="62"/>
      <c r="L814" s="60"/>
      <c r="M814" s="60"/>
      <c r="N814" s="60"/>
      <c r="O814" s="60"/>
      <c r="P814" s="60"/>
    </row>
    <row r="815" ht="15.75" customHeight="1">
      <c r="A815" s="60"/>
      <c r="B815" s="60"/>
      <c r="C815" s="60"/>
      <c r="D815" s="60"/>
      <c r="E815" s="60"/>
      <c r="F815" s="60"/>
      <c r="G815" s="60"/>
      <c r="H815" s="61"/>
      <c r="I815" s="60"/>
      <c r="J815" s="60"/>
      <c r="K815" s="62"/>
      <c r="L815" s="60"/>
      <c r="M815" s="60"/>
      <c r="N815" s="60"/>
      <c r="O815" s="60"/>
      <c r="P815" s="60"/>
    </row>
    <row r="816" ht="15.75" customHeight="1">
      <c r="A816" s="60"/>
      <c r="B816" s="60"/>
      <c r="C816" s="60"/>
      <c r="D816" s="60"/>
      <c r="E816" s="60"/>
      <c r="F816" s="60"/>
      <c r="G816" s="60"/>
      <c r="H816" s="61"/>
      <c r="I816" s="60"/>
      <c r="J816" s="60"/>
      <c r="K816" s="62"/>
      <c r="L816" s="60"/>
      <c r="M816" s="60"/>
      <c r="N816" s="60"/>
      <c r="O816" s="60"/>
      <c r="P816" s="60"/>
    </row>
    <row r="817" ht="15.75" customHeight="1">
      <c r="A817" s="60"/>
      <c r="B817" s="60"/>
      <c r="C817" s="60"/>
      <c r="D817" s="60"/>
      <c r="E817" s="60"/>
      <c r="F817" s="60"/>
      <c r="G817" s="60"/>
      <c r="H817" s="61"/>
      <c r="I817" s="60"/>
      <c r="J817" s="60"/>
      <c r="K817" s="62"/>
      <c r="L817" s="60"/>
      <c r="M817" s="60"/>
      <c r="N817" s="60"/>
      <c r="O817" s="60"/>
      <c r="P817" s="60"/>
    </row>
    <row r="818" ht="15.75" customHeight="1">
      <c r="A818" s="60"/>
      <c r="B818" s="60"/>
      <c r="C818" s="60"/>
      <c r="D818" s="60"/>
      <c r="E818" s="60"/>
      <c r="F818" s="60"/>
      <c r="G818" s="60"/>
      <c r="H818" s="61"/>
      <c r="I818" s="60"/>
      <c r="J818" s="60"/>
      <c r="K818" s="62"/>
      <c r="L818" s="60"/>
      <c r="M818" s="60"/>
      <c r="N818" s="60"/>
      <c r="O818" s="60"/>
      <c r="P818" s="60"/>
    </row>
    <row r="819" ht="15.75" customHeight="1">
      <c r="A819" s="60"/>
      <c r="B819" s="60"/>
      <c r="C819" s="60"/>
      <c r="D819" s="60"/>
      <c r="E819" s="60"/>
      <c r="F819" s="60"/>
      <c r="G819" s="60"/>
      <c r="H819" s="61"/>
      <c r="I819" s="60"/>
      <c r="J819" s="60"/>
      <c r="K819" s="62"/>
      <c r="L819" s="60"/>
      <c r="M819" s="60"/>
      <c r="N819" s="60"/>
      <c r="O819" s="60"/>
      <c r="P819" s="60"/>
    </row>
    <row r="820" ht="15.75" customHeight="1">
      <c r="A820" s="60"/>
      <c r="B820" s="60"/>
      <c r="C820" s="60"/>
      <c r="D820" s="60"/>
      <c r="E820" s="60"/>
      <c r="F820" s="60"/>
      <c r="G820" s="60"/>
      <c r="H820" s="61"/>
      <c r="I820" s="60"/>
      <c r="J820" s="60"/>
      <c r="K820" s="62"/>
      <c r="L820" s="60"/>
      <c r="M820" s="60"/>
      <c r="N820" s="60"/>
      <c r="O820" s="60"/>
      <c r="P820" s="60"/>
    </row>
    <row r="821" ht="15.75" customHeight="1">
      <c r="A821" s="60"/>
      <c r="B821" s="60"/>
      <c r="C821" s="60"/>
      <c r="D821" s="60"/>
      <c r="E821" s="60"/>
      <c r="F821" s="60"/>
      <c r="G821" s="60"/>
      <c r="H821" s="61"/>
      <c r="I821" s="60"/>
      <c r="J821" s="60"/>
      <c r="K821" s="62"/>
      <c r="L821" s="60"/>
      <c r="M821" s="60"/>
      <c r="N821" s="60"/>
      <c r="O821" s="60"/>
      <c r="P821" s="60"/>
    </row>
    <row r="822" ht="15.75" customHeight="1">
      <c r="A822" s="60"/>
      <c r="B822" s="60"/>
      <c r="C822" s="60"/>
      <c r="D822" s="60"/>
      <c r="E822" s="60"/>
      <c r="F822" s="60"/>
      <c r="G822" s="60"/>
      <c r="H822" s="61"/>
      <c r="I822" s="60"/>
      <c r="J822" s="60"/>
      <c r="K822" s="62"/>
      <c r="L822" s="60"/>
      <c r="M822" s="60"/>
      <c r="N822" s="60"/>
      <c r="O822" s="60"/>
      <c r="P822" s="60"/>
    </row>
    <row r="823" ht="15.75" customHeight="1">
      <c r="A823" s="60"/>
      <c r="B823" s="60"/>
      <c r="C823" s="60"/>
      <c r="D823" s="60"/>
      <c r="E823" s="60"/>
      <c r="F823" s="60"/>
      <c r="G823" s="60"/>
      <c r="H823" s="61"/>
      <c r="I823" s="60"/>
      <c r="J823" s="60"/>
      <c r="K823" s="62"/>
      <c r="L823" s="60"/>
      <c r="M823" s="60"/>
      <c r="N823" s="60"/>
      <c r="O823" s="60"/>
      <c r="P823" s="60"/>
    </row>
    <row r="824" ht="15.75" customHeight="1">
      <c r="A824" s="60"/>
      <c r="B824" s="60"/>
      <c r="C824" s="60"/>
      <c r="D824" s="60"/>
      <c r="E824" s="60"/>
      <c r="F824" s="60"/>
      <c r="G824" s="60"/>
      <c r="H824" s="61"/>
      <c r="I824" s="60"/>
      <c r="J824" s="60"/>
      <c r="K824" s="62"/>
      <c r="L824" s="60"/>
      <c r="M824" s="60"/>
      <c r="N824" s="60"/>
      <c r="O824" s="60"/>
      <c r="P824" s="60"/>
    </row>
    <row r="825" ht="15.75" customHeight="1">
      <c r="A825" s="60"/>
      <c r="B825" s="60"/>
      <c r="C825" s="60"/>
      <c r="D825" s="60"/>
      <c r="E825" s="60"/>
      <c r="F825" s="60"/>
      <c r="G825" s="60"/>
      <c r="H825" s="61"/>
      <c r="I825" s="60"/>
      <c r="J825" s="60"/>
      <c r="K825" s="62"/>
      <c r="L825" s="60"/>
      <c r="M825" s="60"/>
      <c r="N825" s="60"/>
      <c r="O825" s="60"/>
      <c r="P825" s="60"/>
    </row>
    <row r="826" ht="15.75" customHeight="1">
      <c r="A826" s="60"/>
      <c r="B826" s="60"/>
      <c r="C826" s="60"/>
      <c r="D826" s="60"/>
      <c r="E826" s="60"/>
      <c r="F826" s="60"/>
      <c r="G826" s="60"/>
      <c r="H826" s="61"/>
      <c r="I826" s="60"/>
      <c r="J826" s="60"/>
      <c r="K826" s="62"/>
      <c r="L826" s="60"/>
      <c r="M826" s="60"/>
      <c r="N826" s="60"/>
      <c r="O826" s="60"/>
      <c r="P826" s="60"/>
    </row>
    <row r="827" ht="15.75" customHeight="1">
      <c r="A827" s="60"/>
      <c r="B827" s="60"/>
      <c r="C827" s="60"/>
      <c r="D827" s="60"/>
      <c r="E827" s="60"/>
      <c r="F827" s="60"/>
      <c r="G827" s="60"/>
      <c r="H827" s="61"/>
      <c r="I827" s="60"/>
      <c r="J827" s="60"/>
      <c r="K827" s="62"/>
      <c r="L827" s="60"/>
      <c r="M827" s="60"/>
      <c r="N827" s="60"/>
      <c r="O827" s="60"/>
      <c r="P827" s="60"/>
    </row>
    <row r="828" ht="15.75" customHeight="1">
      <c r="A828" s="60"/>
      <c r="B828" s="60"/>
      <c r="C828" s="60"/>
      <c r="D828" s="60"/>
      <c r="E828" s="60"/>
      <c r="F828" s="60"/>
      <c r="G828" s="60"/>
      <c r="H828" s="61"/>
      <c r="I828" s="60"/>
      <c r="J828" s="60"/>
      <c r="K828" s="62"/>
      <c r="L828" s="60"/>
      <c r="M828" s="60"/>
      <c r="N828" s="60"/>
      <c r="O828" s="60"/>
      <c r="P828" s="60"/>
    </row>
    <row r="829" ht="15.75" customHeight="1">
      <c r="A829" s="60"/>
      <c r="B829" s="60"/>
      <c r="C829" s="60"/>
      <c r="D829" s="60"/>
      <c r="E829" s="60"/>
      <c r="F829" s="60"/>
      <c r="G829" s="60"/>
      <c r="H829" s="61"/>
      <c r="I829" s="60"/>
      <c r="J829" s="60"/>
      <c r="K829" s="62"/>
      <c r="L829" s="60"/>
      <c r="M829" s="60"/>
      <c r="N829" s="60"/>
      <c r="O829" s="60"/>
      <c r="P829" s="60"/>
    </row>
    <row r="830" ht="15.75" customHeight="1">
      <c r="A830" s="60"/>
      <c r="B830" s="60"/>
      <c r="C830" s="60"/>
      <c r="D830" s="60"/>
      <c r="E830" s="60"/>
      <c r="F830" s="60"/>
      <c r="G830" s="60"/>
      <c r="H830" s="61"/>
      <c r="I830" s="60"/>
      <c r="J830" s="60"/>
      <c r="K830" s="62"/>
      <c r="L830" s="60"/>
      <c r="M830" s="60"/>
      <c r="N830" s="60"/>
      <c r="O830" s="60"/>
      <c r="P830" s="60"/>
    </row>
    <row r="831" ht="15.75" customHeight="1">
      <c r="A831" s="60"/>
      <c r="B831" s="60"/>
      <c r="C831" s="60"/>
      <c r="D831" s="60"/>
      <c r="E831" s="60"/>
      <c r="F831" s="60"/>
      <c r="G831" s="60"/>
      <c r="H831" s="61"/>
      <c r="I831" s="60"/>
      <c r="J831" s="60"/>
      <c r="K831" s="62"/>
      <c r="L831" s="60"/>
      <c r="M831" s="60"/>
      <c r="N831" s="60"/>
      <c r="O831" s="60"/>
      <c r="P831" s="60"/>
    </row>
    <row r="832" ht="15.75" customHeight="1">
      <c r="A832" s="60"/>
      <c r="B832" s="60"/>
      <c r="C832" s="60"/>
      <c r="D832" s="60"/>
      <c r="E832" s="60"/>
      <c r="F832" s="60"/>
      <c r="G832" s="60"/>
      <c r="H832" s="61"/>
      <c r="I832" s="60"/>
      <c r="J832" s="60"/>
      <c r="K832" s="62"/>
      <c r="L832" s="60"/>
      <c r="M832" s="60"/>
      <c r="N832" s="60"/>
      <c r="O832" s="60"/>
      <c r="P832" s="60"/>
    </row>
    <row r="833" ht="15.75" customHeight="1">
      <c r="A833" s="60"/>
      <c r="B833" s="60"/>
      <c r="C833" s="60"/>
      <c r="D833" s="60"/>
      <c r="E833" s="60"/>
      <c r="F833" s="60"/>
      <c r="G833" s="60"/>
      <c r="H833" s="61"/>
      <c r="I833" s="60"/>
      <c r="J833" s="60"/>
      <c r="K833" s="62"/>
      <c r="L833" s="60"/>
      <c r="M833" s="60"/>
      <c r="N833" s="60"/>
      <c r="O833" s="60"/>
      <c r="P833" s="60"/>
    </row>
    <row r="834" ht="15.75" customHeight="1">
      <c r="A834" s="60"/>
      <c r="B834" s="60"/>
      <c r="C834" s="60"/>
      <c r="D834" s="60"/>
      <c r="E834" s="60"/>
      <c r="F834" s="60"/>
      <c r="G834" s="60"/>
      <c r="H834" s="61"/>
      <c r="I834" s="60"/>
      <c r="J834" s="60"/>
      <c r="K834" s="62"/>
      <c r="L834" s="60"/>
      <c r="M834" s="60"/>
      <c r="N834" s="60"/>
      <c r="O834" s="60"/>
      <c r="P834" s="60"/>
    </row>
    <row r="835" ht="15.75" customHeight="1">
      <c r="A835" s="60"/>
      <c r="B835" s="60"/>
      <c r="C835" s="60"/>
      <c r="D835" s="60"/>
      <c r="E835" s="60"/>
      <c r="F835" s="60"/>
      <c r="G835" s="60"/>
      <c r="H835" s="61"/>
      <c r="I835" s="60"/>
      <c r="J835" s="60"/>
      <c r="K835" s="62"/>
      <c r="L835" s="60"/>
      <c r="M835" s="60"/>
      <c r="N835" s="60"/>
      <c r="O835" s="60"/>
      <c r="P835" s="60"/>
    </row>
    <row r="836" ht="15.75" customHeight="1">
      <c r="A836" s="60"/>
      <c r="B836" s="60"/>
      <c r="C836" s="60"/>
      <c r="D836" s="60"/>
      <c r="E836" s="60"/>
      <c r="F836" s="60"/>
      <c r="G836" s="60"/>
      <c r="H836" s="61"/>
      <c r="I836" s="60"/>
      <c r="J836" s="60"/>
      <c r="K836" s="62"/>
      <c r="L836" s="60"/>
      <c r="M836" s="60"/>
      <c r="N836" s="60"/>
      <c r="O836" s="60"/>
      <c r="P836" s="60"/>
    </row>
    <row r="837" ht="15.75" customHeight="1">
      <c r="A837" s="60"/>
      <c r="B837" s="60"/>
      <c r="C837" s="60"/>
      <c r="D837" s="60"/>
      <c r="E837" s="60"/>
      <c r="F837" s="60"/>
      <c r="G837" s="60"/>
      <c r="H837" s="61"/>
      <c r="I837" s="60"/>
      <c r="J837" s="60"/>
      <c r="K837" s="62"/>
      <c r="L837" s="60"/>
      <c r="M837" s="60"/>
      <c r="N837" s="60"/>
      <c r="O837" s="60"/>
      <c r="P837" s="60"/>
    </row>
    <row r="838" ht="15.75" customHeight="1">
      <c r="A838" s="60"/>
      <c r="B838" s="60"/>
      <c r="C838" s="60"/>
      <c r="D838" s="60"/>
      <c r="E838" s="60"/>
      <c r="F838" s="60"/>
      <c r="G838" s="60"/>
      <c r="H838" s="61"/>
      <c r="I838" s="60"/>
      <c r="J838" s="60"/>
      <c r="K838" s="62"/>
      <c r="L838" s="60"/>
      <c r="M838" s="60"/>
      <c r="N838" s="60"/>
      <c r="O838" s="60"/>
      <c r="P838" s="60"/>
    </row>
    <row r="839" ht="15.75" customHeight="1">
      <c r="A839" s="60"/>
      <c r="B839" s="60"/>
      <c r="C839" s="60"/>
      <c r="D839" s="60"/>
      <c r="E839" s="60"/>
      <c r="F839" s="60"/>
      <c r="G839" s="60"/>
      <c r="H839" s="61"/>
      <c r="I839" s="60"/>
      <c r="J839" s="60"/>
      <c r="K839" s="62"/>
      <c r="L839" s="60"/>
      <c r="M839" s="60"/>
      <c r="N839" s="60"/>
      <c r="O839" s="60"/>
      <c r="P839" s="60"/>
    </row>
    <row r="840" ht="15.75" customHeight="1">
      <c r="A840" s="60"/>
      <c r="B840" s="60"/>
      <c r="C840" s="60"/>
      <c r="D840" s="60"/>
      <c r="E840" s="60"/>
      <c r="F840" s="60"/>
      <c r="G840" s="60"/>
      <c r="H840" s="61"/>
      <c r="I840" s="60"/>
      <c r="J840" s="60"/>
      <c r="K840" s="62"/>
      <c r="L840" s="60"/>
      <c r="M840" s="60"/>
      <c r="N840" s="60"/>
      <c r="O840" s="60"/>
      <c r="P840" s="60"/>
    </row>
    <row r="841" ht="15.75" customHeight="1">
      <c r="A841" s="60"/>
      <c r="B841" s="60"/>
      <c r="C841" s="60"/>
      <c r="D841" s="60"/>
      <c r="E841" s="60"/>
      <c r="F841" s="60"/>
      <c r="G841" s="60"/>
      <c r="H841" s="61"/>
      <c r="I841" s="60"/>
      <c r="J841" s="60"/>
      <c r="K841" s="62"/>
      <c r="L841" s="60"/>
      <c r="M841" s="60"/>
      <c r="N841" s="60"/>
      <c r="O841" s="60"/>
      <c r="P841" s="60"/>
    </row>
    <row r="842" ht="15.75" customHeight="1">
      <c r="A842" s="60"/>
      <c r="B842" s="60"/>
      <c r="C842" s="60"/>
      <c r="D842" s="60"/>
      <c r="E842" s="60"/>
      <c r="F842" s="60"/>
      <c r="G842" s="60"/>
      <c r="H842" s="61"/>
      <c r="I842" s="60"/>
      <c r="J842" s="60"/>
      <c r="K842" s="62"/>
      <c r="L842" s="60"/>
      <c r="M842" s="60"/>
      <c r="N842" s="60"/>
      <c r="O842" s="60"/>
      <c r="P842" s="60"/>
    </row>
    <row r="843" ht="15.75" customHeight="1">
      <c r="A843" s="60"/>
      <c r="B843" s="60"/>
      <c r="C843" s="60"/>
      <c r="D843" s="60"/>
      <c r="E843" s="60"/>
      <c r="F843" s="60"/>
      <c r="G843" s="60"/>
      <c r="H843" s="61"/>
      <c r="I843" s="60"/>
      <c r="J843" s="60"/>
      <c r="K843" s="62"/>
      <c r="L843" s="60"/>
      <c r="M843" s="60"/>
      <c r="N843" s="60"/>
      <c r="O843" s="60"/>
      <c r="P843" s="60"/>
    </row>
    <row r="844" ht="15.75" customHeight="1">
      <c r="A844" s="60"/>
      <c r="B844" s="60"/>
      <c r="C844" s="60"/>
      <c r="D844" s="60"/>
      <c r="E844" s="60"/>
      <c r="F844" s="60"/>
      <c r="G844" s="60"/>
      <c r="H844" s="61"/>
      <c r="I844" s="60"/>
      <c r="J844" s="60"/>
      <c r="K844" s="62"/>
      <c r="L844" s="60"/>
      <c r="M844" s="60"/>
      <c r="N844" s="60"/>
      <c r="O844" s="60"/>
      <c r="P844" s="60"/>
    </row>
    <row r="845" ht="15.75" customHeight="1">
      <c r="A845" s="60"/>
      <c r="B845" s="60"/>
      <c r="C845" s="60"/>
      <c r="D845" s="60"/>
      <c r="E845" s="60"/>
      <c r="F845" s="60"/>
      <c r="G845" s="60"/>
      <c r="H845" s="61"/>
      <c r="I845" s="60"/>
      <c r="J845" s="60"/>
      <c r="K845" s="62"/>
      <c r="L845" s="60"/>
      <c r="M845" s="60"/>
      <c r="N845" s="60"/>
      <c r="O845" s="60"/>
      <c r="P845" s="60"/>
    </row>
    <row r="846" ht="15.75" customHeight="1">
      <c r="A846" s="60"/>
      <c r="B846" s="60"/>
      <c r="C846" s="60"/>
      <c r="D846" s="60"/>
      <c r="E846" s="60"/>
      <c r="F846" s="60"/>
      <c r="G846" s="60"/>
      <c r="H846" s="61"/>
      <c r="I846" s="60"/>
      <c r="J846" s="60"/>
      <c r="K846" s="62"/>
      <c r="L846" s="60"/>
      <c r="M846" s="60"/>
      <c r="N846" s="60"/>
      <c r="O846" s="60"/>
      <c r="P846" s="60"/>
    </row>
    <row r="847" ht="15.75" customHeight="1">
      <c r="A847" s="60"/>
      <c r="B847" s="60"/>
      <c r="C847" s="60"/>
      <c r="D847" s="60"/>
      <c r="E847" s="60"/>
      <c r="F847" s="60"/>
      <c r="G847" s="60"/>
      <c r="H847" s="61"/>
      <c r="I847" s="60"/>
      <c r="J847" s="60"/>
      <c r="K847" s="62"/>
      <c r="L847" s="60"/>
      <c r="M847" s="60"/>
      <c r="N847" s="60"/>
      <c r="O847" s="60"/>
      <c r="P847" s="60"/>
    </row>
    <row r="848" ht="15.75" customHeight="1">
      <c r="A848" s="60"/>
      <c r="B848" s="60"/>
      <c r="C848" s="60"/>
      <c r="D848" s="60"/>
      <c r="E848" s="60"/>
      <c r="F848" s="60"/>
      <c r="G848" s="60"/>
      <c r="H848" s="61"/>
      <c r="I848" s="60"/>
      <c r="J848" s="60"/>
      <c r="K848" s="62"/>
      <c r="L848" s="60"/>
      <c r="M848" s="60"/>
      <c r="N848" s="60"/>
      <c r="O848" s="60"/>
      <c r="P848" s="60"/>
    </row>
    <row r="849" ht="15.75" customHeight="1">
      <c r="A849" s="60"/>
      <c r="B849" s="60"/>
      <c r="C849" s="60"/>
      <c r="D849" s="60"/>
      <c r="E849" s="60"/>
      <c r="F849" s="60"/>
      <c r="G849" s="60"/>
      <c r="H849" s="61"/>
      <c r="I849" s="60"/>
      <c r="J849" s="60"/>
      <c r="K849" s="62"/>
      <c r="L849" s="60"/>
      <c r="M849" s="60"/>
      <c r="N849" s="60"/>
      <c r="O849" s="60"/>
      <c r="P849" s="60"/>
    </row>
    <row r="850" ht="15.75" customHeight="1">
      <c r="A850" s="60"/>
      <c r="B850" s="60"/>
      <c r="C850" s="60"/>
      <c r="D850" s="60"/>
      <c r="E850" s="60"/>
      <c r="F850" s="60"/>
      <c r="G850" s="60"/>
      <c r="H850" s="61"/>
      <c r="I850" s="60"/>
      <c r="J850" s="60"/>
      <c r="K850" s="62"/>
      <c r="L850" s="60"/>
      <c r="M850" s="60"/>
      <c r="N850" s="60"/>
      <c r="O850" s="60"/>
      <c r="P850" s="60"/>
    </row>
    <row r="851" ht="15.75" customHeight="1">
      <c r="A851" s="60"/>
      <c r="B851" s="60"/>
      <c r="C851" s="60"/>
      <c r="D851" s="60"/>
      <c r="E851" s="60"/>
      <c r="F851" s="60"/>
      <c r="G851" s="60"/>
      <c r="H851" s="61"/>
      <c r="I851" s="60"/>
      <c r="J851" s="60"/>
      <c r="K851" s="62"/>
      <c r="L851" s="60"/>
      <c r="M851" s="60"/>
      <c r="N851" s="60"/>
      <c r="O851" s="60"/>
      <c r="P851" s="60"/>
    </row>
    <row r="852" ht="15.75" customHeight="1">
      <c r="A852" s="60"/>
      <c r="B852" s="60"/>
      <c r="C852" s="60"/>
      <c r="D852" s="60"/>
      <c r="E852" s="60"/>
      <c r="F852" s="60"/>
      <c r="G852" s="60"/>
      <c r="H852" s="61"/>
      <c r="I852" s="60"/>
      <c r="J852" s="60"/>
      <c r="K852" s="62"/>
      <c r="L852" s="60"/>
      <c r="M852" s="60"/>
      <c r="N852" s="60"/>
      <c r="O852" s="60"/>
      <c r="P852" s="60"/>
    </row>
    <row r="853" ht="15.75" customHeight="1">
      <c r="A853" s="60"/>
      <c r="B853" s="60"/>
      <c r="C853" s="60"/>
      <c r="D853" s="60"/>
      <c r="E853" s="60"/>
      <c r="F853" s="60"/>
      <c r="G853" s="60"/>
      <c r="H853" s="61"/>
      <c r="I853" s="60"/>
      <c r="J853" s="60"/>
      <c r="K853" s="62"/>
      <c r="L853" s="60"/>
      <c r="M853" s="60"/>
      <c r="N853" s="60"/>
      <c r="O853" s="60"/>
      <c r="P853" s="60"/>
    </row>
    <row r="854" ht="15.75" customHeight="1">
      <c r="A854" s="60"/>
      <c r="B854" s="60"/>
      <c r="C854" s="60"/>
      <c r="D854" s="60"/>
      <c r="E854" s="60"/>
      <c r="F854" s="60"/>
      <c r="G854" s="60"/>
      <c r="H854" s="61"/>
      <c r="I854" s="60"/>
      <c r="J854" s="60"/>
      <c r="K854" s="62"/>
      <c r="L854" s="60"/>
      <c r="M854" s="60"/>
      <c r="N854" s="60"/>
      <c r="O854" s="60"/>
      <c r="P854" s="60"/>
    </row>
    <row r="855" ht="15.75" customHeight="1">
      <c r="A855" s="60"/>
      <c r="B855" s="60"/>
      <c r="C855" s="60"/>
      <c r="D855" s="60"/>
      <c r="E855" s="60"/>
      <c r="F855" s="60"/>
      <c r="G855" s="60"/>
      <c r="H855" s="61"/>
      <c r="I855" s="60"/>
      <c r="J855" s="60"/>
      <c r="K855" s="62"/>
      <c r="L855" s="60"/>
      <c r="M855" s="60"/>
      <c r="N855" s="60"/>
      <c r="O855" s="60"/>
      <c r="P855" s="60"/>
    </row>
    <row r="856" ht="15.75" customHeight="1">
      <c r="A856" s="60"/>
      <c r="B856" s="60"/>
      <c r="C856" s="60"/>
      <c r="D856" s="60"/>
      <c r="E856" s="60"/>
      <c r="F856" s="60"/>
      <c r="G856" s="60"/>
      <c r="H856" s="61"/>
      <c r="I856" s="60"/>
      <c r="J856" s="60"/>
      <c r="K856" s="62"/>
      <c r="L856" s="60"/>
      <c r="M856" s="60"/>
      <c r="N856" s="60"/>
      <c r="O856" s="60"/>
      <c r="P856" s="60"/>
    </row>
    <row r="857" ht="15.75" customHeight="1">
      <c r="A857" s="60"/>
      <c r="B857" s="60"/>
      <c r="C857" s="60"/>
      <c r="D857" s="60"/>
      <c r="E857" s="60"/>
      <c r="F857" s="60"/>
      <c r="G857" s="60"/>
      <c r="H857" s="61"/>
      <c r="I857" s="60"/>
      <c r="J857" s="60"/>
      <c r="K857" s="62"/>
      <c r="L857" s="60"/>
      <c r="M857" s="60"/>
      <c r="N857" s="60"/>
      <c r="O857" s="60"/>
      <c r="P857" s="60"/>
    </row>
    <row r="858" ht="15.75" customHeight="1">
      <c r="A858" s="60"/>
      <c r="B858" s="60"/>
      <c r="C858" s="60"/>
      <c r="D858" s="60"/>
      <c r="E858" s="60"/>
      <c r="F858" s="60"/>
      <c r="G858" s="60"/>
      <c r="H858" s="61"/>
      <c r="I858" s="60"/>
      <c r="J858" s="60"/>
      <c r="K858" s="62"/>
      <c r="L858" s="60"/>
      <c r="M858" s="60"/>
      <c r="N858" s="60"/>
      <c r="O858" s="60"/>
      <c r="P858" s="60"/>
    </row>
    <row r="859" ht="15.75" customHeight="1">
      <c r="A859" s="60"/>
      <c r="B859" s="60"/>
      <c r="C859" s="60"/>
      <c r="D859" s="60"/>
      <c r="E859" s="60"/>
      <c r="F859" s="60"/>
      <c r="G859" s="60"/>
      <c r="H859" s="61"/>
      <c r="I859" s="60"/>
      <c r="J859" s="60"/>
      <c r="K859" s="62"/>
      <c r="L859" s="60"/>
      <c r="M859" s="60"/>
      <c r="N859" s="60"/>
      <c r="O859" s="60"/>
      <c r="P859" s="60"/>
    </row>
    <row r="860" ht="15.75" customHeight="1">
      <c r="A860" s="60"/>
      <c r="B860" s="60"/>
      <c r="C860" s="60"/>
      <c r="D860" s="60"/>
      <c r="E860" s="60"/>
      <c r="F860" s="60"/>
      <c r="G860" s="60"/>
      <c r="H860" s="61"/>
      <c r="I860" s="60"/>
      <c r="J860" s="60"/>
      <c r="K860" s="62"/>
      <c r="L860" s="60"/>
      <c r="M860" s="60"/>
      <c r="N860" s="60"/>
      <c r="O860" s="60"/>
      <c r="P860" s="60"/>
    </row>
    <row r="861" ht="15.75" customHeight="1">
      <c r="A861" s="60"/>
      <c r="B861" s="60"/>
      <c r="C861" s="60"/>
      <c r="D861" s="60"/>
      <c r="E861" s="60"/>
      <c r="F861" s="60"/>
      <c r="G861" s="60"/>
      <c r="H861" s="61"/>
      <c r="I861" s="60"/>
      <c r="J861" s="60"/>
      <c r="K861" s="62"/>
      <c r="L861" s="60"/>
      <c r="M861" s="60"/>
      <c r="N861" s="60"/>
      <c r="O861" s="60"/>
      <c r="P861" s="60"/>
    </row>
    <row r="862" ht="15.75" customHeight="1">
      <c r="A862" s="60"/>
      <c r="B862" s="60"/>
      <c r="C862" s="60"/>
      <c r="D862" s="60"/>
      <c r="E862" s="60"/>
      <c r="F862" s="60"/>
      <c r="G862" s="60"/>
      <c r="H862" s="61"/>
      <c r="I862" s="60"/>
      <c r="J862" s="60"/>
      <c r="K862" s="62"/>
      <c r="L862" s="60"/>
      <c r="M862" s="60"/>
      <c r="N862" s="60"/>
      <c r="O862" s="60"/>
      <c r="P862" s="60"/>
    </row>
    <row r="863" ht="15.75" customHeight="1">
      <c r="A863" s="60"/>
      <c r="B863" s="60"/>
      <c r="C863" s="60"/>
      <c r="D863" s="60"/>
      <c r="E863" s="60"/>
      <c r="F863" s="60"/>
      <c r="G863" s="60"/>
      <c r="H863" s="61"/>
      <c r="I863" s="60"/>
      <c r="J863" s="60"/>
      <c r="K863" s="62"/>
      <c r="L863" s="60"/>
      <c r="M863" s="60"/>
      <c r="N863" s="60"/>
      <c r="O863" s="60"/>
      <c r="P863" s="60"/>
    </row>
    <row r="864" ht="15.75" customHeight="1">
      <c r="A864" s="60"/>
      <c r="B864" s="60"/>
      <c r="C864" s="60"/>
      <c r="D864" s="60"/>
      <c r="E864" s="60"/>
      <c r="F864" s="60"/>
      <c r="G864" s="60"/>
      <c r="H864" s="61"/>
      <c r="I864" s="60"/>
      <c r="J864" s="60"/>
      <c r="K864" s="62"/>
      <c r="L864" s="60"/>
      <c r="M864" s="60"/>
      <c r="N864" s="60"/>
      <c r="O864" s="60"/>
      <c r="P864" s="60"/>
    </row>
    <row r="865" ht="15.75" customHeight="1">
      <c r="A865" s="60"/>
      <c r="B865" s="60"/>
      <c r="C865" s="60"/>
      <c r="D865" s="60"/>
      <c r="E865" s="60"/>
      <c r="F865" s="60"/>
      <c r="G865" s="60"/>
      <c r="H865" s="61"/>
      <c r="I865" s="60"/>
      <c r="J865" s="60"/>
      <c r="K865" s="62"/>
      <c r="L865" s="60"/>
      <c r="M865" s="60"/>
      <c r="N865" s="60"/>
      <c r="O865" s="60"/>
      <c r="P865" s="60"/>
    </row>
    <row r="866" ht="15.75" customHeight="1">
      <c r="A866" s="60"/>
      <c r="B866" s="60"/>
      <c r="C866" s="60"/>
      <c r="D866" s="60"/>
      <c r="E866" s="60"/>
      <c r="F866" s="60"/>
      <c r="G866" s="60"/>
      <c r="H866" s="61"/>
      <c r="I866" s="60"/>
      <c r="J866" s="60"/>
      <c r="K866" s="62"/>
      <c r="L866" s="60"/>
      <c r="M866" s="60"/>
      <c r="N866" s="60"/>
      <c r="O866" s="60"/>
      <c r="P866" s="60"/>
    </row>
    <row r="867" ht="15.75" customHeight="1">
      <c r="A867" s="60"/>
      <c r="B867" s="60"/>
      <c r="C867" s="60"/>
      <c r="D867" s="60"/>
      <c r="E867" s="60"/>
      <c r="F867" s="60"/>
      <c r="G867" s="60"/>
      <c r="H867" s="61"/>
      <c r="I867" s="60"/>
      <c r="J867" s="60"/>
      <c r="K867" s="62"/>
      <c r="L867" s="60"/>
      <c r="M867" s="60"/>
      <c r="N867" s="60"/>
      <c r="O867" s="60"/>
      <c r="P867" s="60"/>
    </row>
    <row r="868" ht="15.75" customHeight="1">
      <c r="A868" s="60"/>
      <c r="B868" s="60"/>
      <c r="C868" s="60"/>
      <c r="D868" s="60"/>
      <c r="E868" s="60"/>
      <c r="F868" s="60"/>
      <c r="G868" s="60"/>
      <c r="H868" s="61"/>
      <c r="I868" s="60"/>
      <c r="J868" s="60"/>
      <c r="K868" s="62"/>
      <c r="L868" s="60"/>
      <c r="M868" s="60"/>
      <c r="N868" s="60"/>
      <c r="O868" s="60"/>
      <c r="P868" s="60"/>
    </row>
    <row r="869" ht="15.75" customHeight="1">
      <c r="A869" s="60"/>
      <c r="B869" s="60"/>
      <c r="C869" s="60"/>
      <c r="D869" s="60"/>
      <c r="E869" s="60"/>
      <c r="F869" s="60"/>
      <c r="G869" s="60"/>
      <c r="H869" s="61"/>
      <c r="I869" s="60"/>
      <c r="J869" s="60"/>
      <c r="K869" s="62"/>
      <c r="L869" s="60"/>
      <c r="M869" s="60"/>
      <c r="N869" s="60"/>
      <c r="O869" s="60"/>
      <c r="P869" s="60"/>
    </row>
    <row r="870" ht="15.75" customHeight="1">
      <c r="A870" s="60"/>
      <c r="B870" s="60"/>
      <c r="C870" s="60"/>
      <c r="D870" s="60"/>
      <c r="E870" s="60"/>
      <c r="F870" s="60"/>
      <c r="G870" s="60"/>
      <c r="H870" s="61"/>
      <c r="I870" s="60"/>
      <c r="J870" s="60"/>
      <c r="K870" s="62"/>
      <c r="L870" s="60"/>
      <c r="M870" s="60"/>
      <c r="N870" s="60"/>
      <c r="O870" s="60"/>
      <c r="P870" s="60"/>
    </row>
    <row r="871" ht="15.75" customHeight="1">
      <c r="A871" s="60"/>
      <c r="B871" s="60"/>
      <c r="C871" s="60"/>
      <c r="D871" s="60"/>
      <c r="E871" s="60"/>
      <c r="F871" s="60"/>
      <c r="G871" s="60"/>
      <c r="H871" s="61"/>
      <c r="I871" s="60"/>
      <c r="J871" s="60"/>
      <c r="K871" s="62"/>
      <c r="L871" s="60"/>
      <c r="M871" s="60"/>
      <c r="N871" s="60"/>
      <c r="O871" s="60"/>
      <c r="P871" s="60"/>
    </row>
    <row r="872" ht="15.75" customHeight="1">
      <c r="A872" s="60"/>
      <c r="B872" s="60"/>
      <c r="C872" s="60"/>
      <c r="D872" s="60"/>
      <c r="E872" s="60"/>
      <c r="F872" s="60"/>
      <c r="G872" s="60"/>
      <c r="H872" s="61"/>
      <c r="I872" s="60"/>
      <c r="J872" s="60"/>
      <c r="K872" s="62"/>
      <c r="L872" s="60"/>
      <c r="M872" s="60"/>
      <c r="N872" s="60"/>
      <c r="O872" s="60"/>
      <c r="P872" s="60"/>
    </row>
    <row r="873" ht="15.75" customHeight="1">
      <c r="A873" s="60"/>
      <c r="B873" s="60"/>
      <c r="C873" s="60"/>
      <c r="D873" s="60"/>
      <c r="E873" s="60"/>
      <c r="F873" s="60"/>
      <c r="G873" s="60"/>
      <c r="H873" s="61"/>
      <c r="I873" s="60"/>
      <c r="J873" s="60"/>
      <c r="K873" s="62"/>
      <c r="L873" s="60"/>
      <c r="M873" s="60"/>
      <c r="N873" s="60"/>
      <c r="O873" s="60"/>
      <c r="P873" s="60"/>
    </row>
    <row r="874" ht="15.75" customHeight="1">
      <c r="A874" s="60"/>
      <c r="B874" s="60"/>
      <c r="C874" s="60"/>
      <c r="D874" s="60"/>
      <c r="E874" s="60"/>
      <c r="F874" s="60"/>
      <c r="G874" s="60"/>
      <c r="H874" s="61"/>
      <c r="I874" s="60"/>
      <c r="J874" s="60"/>
      <c r="K874" s="62"/>
      <c r="L874" s="60"/>
      <c r="M874" s="60"/>
      <c r="N874" s="60"/>
      <c r="O874" s="60"/>
      <c r="P874" s="60"/>
    </row>
    <row r="875" ht="15.75" customHeight="1">
      <c r="A875" s="60"/>
      <c r="B875" s="60"/>
      <c r="C875" s="60"/>
      <c r="D875" s="60"/>
      <c r="E875" s="60"/>
      <c r="F875" s="60"/>
      <c r="G875" s="60"/>
      <c r="H875" s="61"/>
      <c r="I875" s="60"/>
      <c r="J875" s="60"/>
      <c r="K875" s="62"/>
      <c r="L875" s="60"/>
      <c r="M875" s="60"/>
      <c r="N875" s="60"/>
      <c r="O875" s="60"/>
      <c r="P875" s="60"/>
    </row>
    <row r="876" ht="15.75" customHeight="1">
      <c r="A876" s="60"/>
      <c r="B876" s="60"/>
      <c r="C876" s="60"/>
      <c r="D876" s="60"/>
      <c r="E876" s="60"/>
      <c r="F876" s="60"/>
      <c r="G876" s="60"/>
      <c r="H876" s="61"/>
      <c r="I876" s="60"/>
      <c r="J876" s="60"/>
      <c r="K876" s="62"/>
      <c r="L876" s="60"/>
      <c r="M876" s="60"/>
      <c r="N876" s="60"/>
      <c r="O876" s="60"/>
      <c r="P876" s="60"/>
    </row>
    <row r="877" ht="15.75" customHeight="1">
      <c r="A877" s="60"/>
      <c r="B877" s="60"/>
      <c r="C877" s="60"/>
      <c r="D877" s="60"/>
      <c r="E877" s="60"/>
      <c r="F877" s="60"/>
      <c r="G877" s="60"/>
      <c r="H877" s="61"/>
      <c r="I877" s="60"/>
      <c r="J877" s="60"/>
      <c r="K877" s="62"/>
      <c r="L877" s="60"/>
      <c r="M877" s="60"/>
      <c r="N877" s="60"/>
      <c r="O877" s="60"/>
      <c r="P877" s="60"/>
    </row>
    <row r="878" ht="15.75" customHeight="1">
      <c r="A878" s="60"/>
      <c r="B878" s="60"/>
      <c r="C878" s="60"/>
      <c r="D878" s="60"/>
      <c r="E878" s="60"/>
      <c r="F878" s="60"/>
      <c r="G878" s="60"/>
      <c r="H878" s="61"/>
      <c r="I878" s="60"/>
      <c r="J878" s="60"/>
      <c r="K878" s="62"/>
      <c r="L878" s="60"/>
      <c r="M878" s="60"/>
      <c r="N878" s="60"/>
      <c r="O878" s="60"/>
      <c r="P878" s="60"/>
    </row>
    <row r="879" ht="15.75" customHeight="1">
      <c r="A879" s="60"/>
      <c r="B879" s="60"/>
      <c r="C879" s="60"/>
      <c r="D879" s="60"/>
      <c r="E879" s="60"/>
      <c r="F879" s="60"/>
      <c r="G879" s="60"/>
      <c r="H879" s="61"/>
      <c r="I879" s="60"/>
      <c r="J879" s="60"/>
      <c r="K879" s="62"/>
      <c r="L879" s="60"/>
      <c r="M879" s="60"/>
      <c r="N879" s="60"/>
      <c r="O879" s="60"/>
      <c r="P879" s="60"/>
    </row>
    <row r="880" ht="15.75" customHeight="1">
      <c r="A880" s="60"/>
      <c r="B880" s="60"/>
      <c r="C880" s="60"/>
      <c r="D880" s="60"/>
      <c r="E880" s="60"/>
      <c r="F880" s="60"/>
      <c r="G880" s="60"/>
      <c r="H880" s="61"/>
      <c r="I880" s="60"/>
      <c r="J880" s="60"/>
      <c r="K880" s="62"/>
      <c r="L880" s="60"/>
      <c r="M880" s="60"/>
      <c r="N880" s="60"/>
      <c r="O880" s="60"/>
      <c r="P880" s="60"/>
    </row>
    <row r="881" ht="15.75" customHeight="1">
      <c r="A881" s="60"/>
      <c r="B881" s="60"/>
      <c r="C881" s="60"/>
      <c r="D881" s="60"/>
      <c r="E881" s="60"/>
      <c r="F881" s="60"/>
      <c r="G881" s="60"/>
      <c r="H881" s="61"/>
      <c r="I881" s="60"/>
      <c r="J881" s="60"/>
      <c r="K881" s="62"/>
      <c r="L881" s="60"/>
      <c r="M881" s="60"/>
      <c r="N881" s="60"/>
      <c r="O881" s="60"/>
      <c r="P881" s="60"/>
    </row>
    <row r="882" ht="15.75" customHeight="1">
      <c r="A882" s="60"/>
      <c r="B882" s="60"/>
      <c r="C882" s="60"/>
      <c r="D882" s="60"/>
      <c r="E882" s="60"/>
      <c r="F882" s="60"/>
      <c r="G882" s="60"/>
      <c r="H882" s="61"/>
      <c r="I882" s="60"/>
      <c r="J882" s="60"/>
      <c r="K882" s="62"/>
      <c r="L882" s="60"/>
      <c r="M882" s="60"/>
      <c r="N882" s="60"/>
      <c r="O882" s="60"/>
      <c r="P882" s="60"/>
    </row>
    <row r="883" ht="15.75" customHeight="1">
      <c r="A883" s="60"/>
      <c r="B883" s="60"/>
      <c r="C883" s="60"/>
      <c r="D883" s="60"/>
      <c r="E883" s="60"/>
      <c r="F883" s="60"/>
      <c r="G883" s="60"/>
      <c r="H883" s="61"/>
      <c r="I883" s="60"/>
      <c r="J883" s="60"/>
      <c r="K883" s="62"/>
      <c r="L883" s="60"/>
      <c r="M883" s="60"/>
      <c r="N883" s="60"/>
      <c r="O883" s="60"/>
      <c r="P883" s="60"/>
    </row>
    <row r="884" ht="15.75" customHeight="1">
      <c r="A884" s="60"/>
      <c r="B884" s="60"/>
      <c r="C884" s="60"/>
      <c r="D884" s="60"/>
      <c r="E884" s="60"/>
      <c r="F884" s="60"/>
      <c r="G884" s="60"/>
      <c r="H884" s="61"/>
      <c r="I884" s="60"/>
      <c r="J884" s="60"/>
      <c r="K884" s="62"/>
      <c r="L884" s="60"/>
      <c r="M884" s="60"/>
      <c r="N884" s="60"/>
      <c r="O884" s="60"/>
      <c r="P884" s="60"/>
    </row>
    <row r="885" ht="15.75" customHeight="1">
      <c r="A885" s="60"/>
      <c r="B885" s="60"/>
      <c r="C885" s="60"/>
      <c r="D885" s="60"/>
      <c r="E885" s="60"/>
      <c r="F885" s="60"/>
      <c r="G885" s="60"/>
      <c r="H885" s="61"/>
      <c r="I885" s="60"/>
      <c r="J885" s="60"/>
      <c r="K885" s="62"/>
      <c r="L885" s="60"/>
      <c r="M885" s="60"/>
      <c r="N885" s="60"/>
      <c r="O885" s="60"/>
      <c r="P885" s="60"/>
    </row>
    <row r="886" ht="15.75" customHeight="1">
      <c r="A886" s="60"/>
      <c r="B886" s="60"/>
      <c r="C886" s="60"/>
      <c r="D886" s="60"/>
      <c r="E886" s="60"/>
      <c r="F886" s="60"/>
      <c r="G886" s="60"/>
      <c r="H886" s="61"/>
      <c r="I886" s="60"/>
      <c r="J886" s="60"/>
      <c r="K886" s="62"/>
      <c r="L886" s="60"/>
      <c r="M886" s="60"/>
      <c r="N886" s="60"/>
      <c r="O886" s="60"/>
      <c r="P886" s="60"/>
    </row>
    <row r="887" ht="15.75" customHeight="1">
      <c r="A887" s="60"/>
      <c r="B887" s="60"/>
      <c r="C887" s="60"/>
      <c r="D887" s="60"/>
      <c r="E887" s="60"/>
      <c r="F887" s="60"/>
      <c r="G887" s="60"/>
      <c r="H887" s="61"/>
      <c r="I887" s="60"/>
      <c r="J887" s="60"/>
      <c r="K887" s="62"/>
      <c r="L887" s="60"/>
      <c r="M887" s="60"/>
      <c r="N887" s="60"/>
      <c r="O887" s="60"/>
      <c r="P887" s="60"/>
    </row>
    <row r="888" ht="15.75" customHeight="1">
      <c r="A888" s="60"/>
      <c r="B888" s="60"/>
      <c r="C888" s="60"/>
      <c r="D888" s="60"/>
      <c r="E888" s="60"/>
      <c r="F888" s="60"/>
      <c r="G888" s="60"/>
      <c r="H888" s="61"/>
      <c r="I888" s="60"/>
      <c r="J888" s="60"/>
      <c r="K888" s="62"/>
      <c r="L888" s="60"/>
      <c r="M888" s="60"/>
      <c r="N888" s="60"/>
      <c r="O888" s="60"/>
      <c r="P888" s="60"/>
    </row>
    <row r="889" ht="15.75" customHeight="1">
      <c r="A889" s="60"/>
      <c r="B889" s="60"/>
      <c r="C889" s="60"/>
      <c r="D889" s="60"/>
      <c r="E889" s="60"/>
      <c r="F889" s="60"/>
      <c r="G889" s="60"/>
      <c r="H889" s="61"/>
      <c r="I889" s="60"/>
      <c r="J889" s="60"/>
      <c r="K889" s="62"/>
      <c r="L889" s="60"/>
      <c r="M889" s="60"/>
      <c r="N889" s="60"/>
      <c r="O889" s="60"/>
      <c r="P889" s="60"/>
    </row>
    <row r="890" ht="15.75" customHeight="1">
      <c r="A890" s="60"/>
      <c r="B890" s="60"/>
      <c r="C890" s="60"/>
      <c r="D890" s="60"/>
      <c r="E890" s="60"/>
      <c r="F890" s="60"/>
      <c r="G890" s="60"/>
      <c r="H890" s="61"/>
      <c r="I890" s="60"/>
      <c r="J890" s="60"/>
      <c r="K890" s="62"/>
      <c r="L890" s="60"/>
      <c r="M890" s="60"/>
      <c r="N890" s="60"/>
      <c r="O890" s="60"/>
      <c r="P890" s="60"/>
    </row>
    <row r="891" ht="15.75" customHeight="1">
      <c r="A891" s="60"/>
      <c r="B891" s="60"/>
      <c r="C891" s="60"/>
      <c r="D891" s="60"/>
      <c r="E891" s="60"/>
      <c r="F891" s="60"/>
      <c r="G891" s="60"/>
      <c r="H891" s="61"/>
      <c r="I891" s="60"/>
      <c r="J891" s="60"/>
      <c r="K891" s="62"/>
      <c r="L891" s="60"/>
      <c r="M891" s="60"/>
      <c r="N891" s="60"/>
      <c r="O891" s="60"/>
      <c r="P891" s="60"/>
    </row>
    <row r="892" ht="15.75" customHeight="1">
      <c r="A892" s="60"/>
      <c r="B892" s="60"/>
      <c r="C892" s="60"/>
      <c r="D892" s="60"/>
      <c r="E892" s="60"/>
      <c r="F892" s="60"/>
      <c r="G892" s="60"/>
      <c r="H892" s="61"/>
      <c r="I892" s="60"/>
      <c r="J892" s="60"/>
      <c r="K892" s="62"/>
      <c r="L892" s="60"/>
      <c r="M892" s="60"/>
      <c r="N892" s="60"/>
      <c r="O892" s="60"/>
      <c r="P892" s="60"/>
    </row>
    <row r="893" ht="15.75" customHeight="1">
      <c r="A893" s="60"/>
      <c r="B893" s="60"/>
      <c r="C893" s="60"/>
      <c r="D893" s="60"/>
      <c r="E893" s="60"/>
      <c r="F893" s="60"/>
      <c r="G893" s="60"/>
      <c r="H893" s="61"/>
      <c r="I893" s="60"/>
      <c r="J893" s="60"/>
      <c r="K893" s="62"/>
      <c r="L893" s="60"/>
      <c r="M893" s="60"/>
      <c r="N893" s="60"/>
      <c r="O893" s="60"/>
      <c r="P893" s="60"/>
    </row>
    <row r="894" ht="15.75" customHeight="1">
      <c r="A894" s="60"/>
      <c r="B894" s="60"/>
      <c r="C894" s="60"/>
      <c r="D894" s="60"/>
      <c r="E894" s="60"/>
      <c r="F894" s="60"/>
      <c r="G894" s="60"/>
      <c r="H894" s="61"/>
      <c r="I894" s="60"/>
      <c r="J894" s="60"/>
      <c r="K894" s="62"/>
      <c r="L894" s="60"/>
      <c r="M894" s="60"/>
      <c r="N894" s="60"/>
      <c r="O894" s="60"/>
      <c r="P894" s="60"/>
    </row>
    <row r="895" ht="15.75" customHeight="1">
      <c r="A895" s="60"/>
      <c r="B895" s="60"/>
      <c r="C895" s="60"/>
      <c r="D895" s="60"/>
      <c r="E895" s="60"/>
      <c r="F895" s="60"/>
      <c r="G895" s="60"/>
      <c r="H895" s="61"/>
      <c r="I895" s="60"/>
      <c r="J895" s="60"/>
      <c r="K895" s="62"/>
      <c r="L895" s="60"/>
      <c r="M895" s="60"/>
      <c r="N895" s="60"/>
      <c r="O895" s="60"/>
      <c r="P895" s="60"/>
    </row>
    <row r="896" ht="15.75" customHeight="1">
      <c r="A896" s="60"/>
      <c r="B896" s="60"/>
      <c r="C896" s="60"/>
      <c r="D896" s="60"/>
      <c r="E896" s="60"/>
      <c r="F896" s="60"/>
      <c r="G896" s="60"/>
      <c r="H896" s="61"/>
      <c r="I896" s="60"/>
      <c r="J896" s="60"/>
      <c r="K896" s="62"/>
      <c r="L896" s="60"/>
      <c r="M896" s="60"/>
      <c r="N896" s="60"/>
      <c r="O896" s="60"/>
      <c r="P896" s="60"/>
    </row>
    <row r="897" ht="15.75" customHeight="1">
      <c r="A897" s="60"/>
      <c r="B897" s="60"/>
      <c r="C897" s="60"/>
      <c r="D897" s="60"/>
      <c r="E897" s="60"/>
      <c r="F897" s="60"/>
      <c r="G897" s="60"/>
      <c r="H897" s="61"/>
      <c r="I897" s="60"/>
      <c r="J897" s="60"/>
      <c r="K897" s="62"/>
      <c r="L897" s="60"/>
      <c r="M897" s="60"/>
      <c r="N897" s="60"/>
      <c r="O897" s="60"/>
      <c r="P897" s="60"/>
    </row>
    <row r="898" ht="15.75" customHeight="1">
      <c r="A898" s="60"/>
      <c r="B898" s="60"/>
      <c r="C898" s="60"/>
      <c r="D898" s="60"/>
      <c r="E898" s="60"/>
      <c r="F898" s="60"/>
      <c r="G898" s="60"/>
      <c r="H898" s="61"/>
      <c r="I898" s="60"/>
      <c r="J898" s="60"/>
      <c r="K898" s="62"/>
      <c r="L898" s="60"/>
      <c r="M898" s="60"/>
      <c r="N898" s="60"/>
      <c r="O898" s="60"/>
      <c r="P898" s="60"/>
    </row>
    <row r="899" ht="15.75" customHeight="1">
      <c r="A899" s="60"/>
      <c r="B899" s="60"/>
      <c r="C899" s="60"/>
      <c r="D899" s="60"/>
      <c r="E899" s="60"/>
      <c r="F899" s="60"/>
      <c r="G899" s="60"/>
      <c r="H899" s="61"/>
      <c r="I899" s="60"/>
      <c r="J899" s="60"/>
      <c r="K899" s="62"/>
      <c r="L899" s="60"/>
      <c r="M899" s="60"/>
      <c r="N899" s="60"/>
      <c r="O899" s="60"/>
      <c r="P899" s="60"/>
    </row>
    <row r="900" ht="15.75" customHeight="1">
      <c r="A900" s="60"/>
      <c r="B900" s="60"/>
      <c r="C900" s="60"/>
      <c r="D900" s="60"/>
      <c r="E900" s="60"/>
      <c r="F900" s="60"/>
      <c r="G900" s="60"/>
      <c r="H900" s="61"/>
      <c r="I900" s="60"/>
      <c r="J900" s="60"/>
      <c r="K900" s="62"/>
      <c r="L900" s="60"/>
      <c r="M900" s="60"/>
      <c r="N900" s="60"/>
      <c r="O900" s="60"/>
      <c r="P900" s="60"/>
    </row>
    <row r="901" ht="15.75" customHeight="1">
      <c r="A901" s="60"/>
      <c r="B901" s="60"/>
      <c r="C901" s="60"/>
      <c r="D901" s="60"/>
      <c r="E901" s="60"/>
      <c r="F901" s="60"/>
      <c r="G901" s="60"/>
      <c r="H901" s="61"/>
      <c r="I901" s="60"/>
      <c r="J901" s="60"/>
      <c r="K901" s="62"/>
      <c r="L901" s="60"/>
      <c r="M901" s="60"/>
      <c r="N901" s="60"/>
      <c r="O901" s="60"/>
      <c r="P901" s="60"/>
    </row>
    <row r="902" ht="15.75" customHeight="1">
      <c r="A902" s="60"/>
      <c r="B902" s="60"/>
      <c r="C902" s="60"/>
      <c r="D902" s="60"/>
      <c r="E902" s="60"/>
      <c r="F902" s="60"/>
      <c r="G902" s="60"/>
      <c r="H902" s="61"/>
      <c r="I902" s="60"/>
      <c r="J902" s="60"/>
      <c r="K902" s="62"/>
      <c r="L902" s="60"/>
      <c r="M902" s="60"/>
      <c r="N902" s="60"/>
      <c r="O902" s="60"/>
      <c r="P902" s="60"/>
    </row>
    <row r="903" ht="15.75" customHeight="1">
      <c r="A903" s="60"/>
      <c r="B903" s="60"/>
      <c r="C903" s="60"/>
      <c r="D903" s="60"/>
      <c r="E903" s="60"/>
      <c r="F903" s="60"/>
      <c r="G903" s="60"/>
      <c r="H903" s="61"/>
      <c r="I903" s="60"/>
      <c r="J903" s="60"/>
      <c r="K903" s="62"/>
      <c r="L903" s="60"/>
      <c r="M903" s="60"/>
      <c r="N903" s="60"/>
      <c r="O903" s="60"/>
      <c r="P903" s="60"/>
    </row>
    <row r="904" ht="15.75" customHeight="1">
      <c r="A904" s="60"/>
      <c r="B904" s="60"/>
      <c r="C904" s="60"/>
      <c r="D904" s="60"/>
      <c r="E904" s="60"/>
      <c r="F904" s="60"/>
      <c r="G904" s="60"/>
      <c r="H904" s="61"/>
      <c r="I904" s="60"/>
      <c r="J904" s="60"/>
      <c r="K904" s="62"/>
      <c r="L904" s="60"/>
      <c r="M904" s="60"/>
      <c r="N904" s="60"/>
      <c r="O904" s="60"/>
      <c r="P904" s="60"/>
    </row>
    <row r="905" ht="15.75" customHeight="1">
      <c r="A905" s="60"/>
      <c r="B905" s="60"/>
      <c r="C905" s="60"/>
      <c r="D905" s="60"/>
      <c r="E905" s="60"/>
      <c r="F905" s="60"/>
      <c r="G905" s="60"/>
      <c r="H905" s="61"/>
      <c r="I905" s="60"/>
      <c r="J905" s="60"/>
      <c r="K905" s="62"/>
      <c r="L905" s="60"/>
      <c r="M905" s="60"/>
      <c r="N905" s="60"/>
      <c r="O905" s="60"/>
      <c r="P905" s="60"/>
    </row>
    <row r="906" ht="15.75" customHeight="1">
      <c r="A906" s="60"/>
      <c r="B906" s="60"/>
      <c r="C906" s="60"/>
      <c r="D906" s="60"/>
      <c r="E906" s="60"/>
      <c r="F906" s="60"/>
      <c r="G906" s="60"/>
      <c r="H906" s="61"/>
      <c r="I906" s="60"/>
      <c r="J906" s="60"/>
      <c r="K906" s="62"/>
      <c r="L906" s="60"/>
      <c r="M906" s="60"/>
      <c r="N906" s="60"/>
      <c r="O906" s="60"/>
      <c r="P906" s="60"/>
    </row>
    <row r="907" ht="15.75" customHeight="1">
      <c r="A907" s="60"/>
      <c r="B907" s="60"/>
      <c r="C907" s="60"/>
      <c r="D907" s="60"/>
      <c r="E907" s="60"/>
      <c r="F907" s="60"/>
      <c r="G907" s="60"/>
      <c r="H907" s="61"/>
      <c r="I907" s="60"/>
      <c r="J907" s="60"/>
      <c r="K907" s="62"/>
      <c r="L907" s="60"/>
      <c r="M907" s="60"/>
      <c r="N907" s="60"/>
      <c r="O907" s="60"/>
      <c r="P907" s="60"/>
    </row>
    <row r="908" ht="15.75" customHeight="1">
      <c r="A908" s="60"/>
      <c r="B908" s="60"/>
      <c r="C908" s="60"/>
      <c r="D908" s="60"/>
      <c r="E908" s="60"/>
      <c r="F908" s="60"/>
      <c r="G908" s="60"/>
      <c r="H908" s="61"/>
      <c r="I908" s="60"/>
      <c r="J908" s="60"/>
      <c r="K908" s="62"/>
      <c r="L908" s="60"/>
      <c r="M908" s="60"/>
      <c r="N908" s="60"/>
      <c r="O908" s="60"/>
      <c r="P908" s="60"/>
    </row>
    <row r="909" ht="15.75" customHeight="1">
      <c r="A909" s="60"/>
      <c r="B909" s="60"/>
      <c r="C909" s="60"/>
      <c r="D909" s="60"/>
      <c r="E909" s="60"/>
      <c r="F909" s="60"/>
      <c r="G909" s="60"/>
      <c r="H909" s="61"/>
      <c r="I909" s="60"/>
      <c r="J909" s="60"/>
      <c r="K909" s="62"/>
      <c r="L909" s="60"/>
      <c r="M909" s="60"/>
      <c r="N909" s="60"/>
      <c r="O909" s="60"/>
      <c r="P909" s="60"/>
    </row>
    <row r="910" ht="15.75" customHeight="1">
      <c r="A910" s="60"/>
      <c r="B910" s="60"/>
      <c r="C910" s="60"/>
      <c r="D910" s="60"/>
      <c r="E910" s="60"/>
      <c r="F910" s="60"/>
      <c r="G910" s="60"/>
      <c r="H910" s="61"/>
      <c r="I910" s="60"/>
      <c r="J910" s="60"/>
      <c r="K910" s="62"/>
      <c r="L910" s="60"/>
      <c r="M910" s="60"/>
      <c r="N910" s="60"/>
      <c r="O910" s="60"/>
      <c r="P910" s="60"/>
    </row>
    <row r="911" ht="15.75" customHeight="1">
      <c r="A911" s="60"/>
      <c r="B911" s="60"/>
      <c r="C911" s="60"/>
      <c r="D911" s="60"/>
      <c r="E911" s="60"/>
      <c r="F911" s="60"/>
      <c r="G911" s="60"/>
      <c r="H911" s="61"/>
      <c r="I911" s="60"/>
      <c r="J911" s="60"/>
      <c r="K911" s="62"/>
      <c r="L911" s="60"/>
      <c r="M911" s="60"/>
      <c r="N911" s="60"/>
      <c r="O911" s="60"/>
      <c r="P911" s="60"/>
    </row>
    <row r="912" ht="15.75" customHeight="1">
      <c r="A912" s="60"/>
      <c r="B912" s="60"/>
      <c r="C912" s="60"/>
      <c r="D912" s="60"/>
      <c r="E912" s="60"/>
      <c r="F912" s="60"/>
      <c r="G912" s="60"/>
      <c r="H912" s="61"/>
      <c r="I912" s="60"/>
      <c r="J912" s="60"/>
      <c r="K912" s="62"/>
      <c r="L912" s="60"/>
      <c r="M912" s="60"/>
      <c r="N912" s="60"/>
      <c r="O912" s="60"/>
      <c r="P912" s="60"/>
    </row>
    <row r="913" ht="15.75" customHeight="1">
      <c r="A913" s="60"/>
      <c r="B913" s="60"/>
      <c r="C913" s="60"/>
      <c r="D913" s="60"/>
      <c r="E913" s="60"/>
      <c r="F913" s="60"/>
      <c r="G913" s="60"/>
      <c r="H913" s="61"/>
      <c r="I913" s="60"/>
      <c r="J913" s="60"/>
      <c r="K913" s="62"/>
      <c r="L913" s="60"/>
      <c r="M913" s="60"/>
      <c r="N913" s="60"/>
      <c r="O913" s="60"/>
      <c r="P913" s="60"/>
    </row>
    <row r="914" ht="15.75" customHeight="1">
      <c r="A914" s="60"/>
      <c r="B914" s="60"/>
      <c r="C914" s="60"/>
      <c r="D914" s="60"/>
      <c r="E914" s="60"/>
      <c r="F914" s="60"/>
      <c r="G914" s="60"/>
      <c r="H914" s="61"/>
      <c r="I914" s="60"/>
      <c r="J914" s="60"/>
      <c r="K914" s="62"/>
      <c r="L914" s="60"/>
      <c r="M914" s="60"/>
      <c r="N914" s="60"/>
      <c r="O914" s="60"/>
      <c r="P914" s="60"/>
    </row>
    <row r="915" ht="15.75" customHeight="1">
      <c r="A915" s="60"/>
      <c r="B915" s="60"/>
      <c r="C915" s="60"/>
      <c r="D915" s="60"/>
      <c r="E915" s="60"/>
      <c r="F915" s="60"/>
      <c r="G915" s="60"/>
      <c r="H915" s="61"/>
      <c r="I915" s="60"/>
      <c r="J915" s="60"/>
      <c r="K915" s="62"/>
      <c r="L915" s="60"/>
      <c r="M915" s="60"/>
      <c r="N915" s="60"/>
      <c r="O915" s="60"/>
      <c r="P915" s="60"/>
    </row>
    <row r="916" ht="15.75" customHeight="1">
      <c r="A916" s="60"/>
      <c r="B916" s="60"/>
      <c r="C916" s="60"/>
      <c r="D916" s="60"/>
      <c r="E916" s="60"/>
      <c r="F916" s="60"/>
      <c r="G916" s="60"/>
      <c r="H916" s="61"/>
      <c r="I916" s="60"/>
      <c r="J916" s="60"/>
      <c r="K916" s="62"/>
      <c r="L916" s="60"/>
      <c r="M916" s="60"/>
      <c r="N916" s="60"/>
      <c r="O916" s="60"/>
      <c r="P916" s="60"/>
    </row>
    <row r="917" ht="15.75" customHeight="1">
      <c r="A917" s="60"/>
      <c r="B917" s="60"/>
      <c r="C917" s="60"/>
      <c r="D917" s="60"/>
      <c r="E917" s="60"/>
      <c r="F917" s="60"/>
      <c r="G917" s="60"/>
      <c r="H917" s="61"/>
      <c r="I917" s="60"/>
      <c r="J917" s="60"/>
      <c r="K917" s="62"/>
      <c r="L917" s="60"/>
      <c r="M917" s="60"/>
      <c r="N917" s="60"/>
      <c r="O917" s="60"/>
      <c r="P917" s="60"/>
    </row>
    <row r="918" ht="15.75" customHeight="1">
      <c r="A918" s="60"/>
      <c r="B918" s="60"/>
      <c r="C918" s="60"/>
      <c r="D918" s="60"/>
      <c r="E918" s="60"/>
      <c r="F918" s="60"/>
      <c r="G918" s="60"/>
      <c r="H918" s="61"/>
      <c r="I918" s="60"/>
      <c r="J918" s="60"/>
      <c r="K918" s="62"/>
      <c r="L918" s="60"/>
      <c r="M918" s="60"/>
      <c r="N918" s="60"/>
      <c r="O918" s="60"/>
      <c r="P918" s="60"/>
    </row>
    <row r="919" ht="15.75" customHeight="1">
      <c r="A919" s="60"/>
      <c r="B919" s="60"/>
      <c r="C919" s="60"/>
      <c r="D919" s="60"/>
      <c r="E919" s="60"/>
      <c r="F919" s="60"/>
      <c r="G919" s="60"/>
      <c r="H919" s="61"/>
      <c r="I919" s="60"/>
      <c r="J919" s="60"/>
      <c r="K919" s="62"/>
      <c r="L919" s="60"/>
      <c r="M919" s="60"/>
      <c r="N919" s="60"/>
      <c r="O919" s="60"/>
      <c r="P919" s="60"/>
    </row>
    <row r="920" ht="15.75" customHeight="1">
      <c r="A920" s="60"/>
      <c r="B920" s="60"/>
      <c r="C920" s="60"/>
      <c r="D920" s="60"/>
      <c r="E920" s="60"/>
      <c r="F920" s="60"/>
      <c r="G920" s="60"/>
      <c r="H920" s="61"/>
      <c r="I920" s="60"/>
      <c r="J920" s="60"/>
      <c r="K920" s="62"/>
      <c r="L920" s="60"/>
      <c r="M920" s="60"/>
      <c r="N920" s="60"/>
      <c r="O920" s="60"/>
      <c r="P920" s="60"/>
    </row>
    <row r="921" ht="15.75" customHeight="1">
      <c r="A921" s="60"/>
      <c r="B921" s="60"/>
      <c r="C921" s="60"/>
      <c r="D921" s="60"/>
      <c r="E921" s="60"/>
      <c r="F921" s="60"/>
      <c r="G921" s="60"/>
      <c r="H921" s="61"/>
      <c r="I921" s="60"/>
      <c r="J921" s="60"/>
      <c r="K921" s="62"/>
      <c r="L921" s="60"/>
      <c r="M921" s="60"/>
      <c r="N921" s="60"/>
      <c r="O921" s="60"/>
      <c r="P921" s="60"/>
    </row>
    <row r="922" ht="15.75" customHeight="1">
      <c r="A922" s="60"/>
      <c r="B922" s="60"/>
      <c r="C922" s="60"/>
      <c r="D922" s="60"/>
      <c r="E922" s="60"/>
      <c r="F922" s="60"/>
      <c r="G922" s="60"/>
      <c r="H922" s="61"/>
      <c r="I922" s="60"/>
      <c r="J922" s="60"/>
      <c r="K922" s="62"/>
      <c r="L922" s="60"/>
      <c r="M922" s="60"/>
      <c r="N922" s="60"/>
      <c r="O922" s="60"/>
      <c r="P922" s="60"/>
    </row>
    <row r="923" ht="15.75" customHeight="1">
      <c r="A923" s="60"/>
      <c r="B923" s="60"/>
      <c r="C923" s="60"/>
      <c r="D923" s="60"/>
      <c r="E923" s="60"/>
      <c r="F923" s="60"/>
      <c r="G923" s="60"/>
      <c r="H923" s="61"/>
      <c r="I923" s="60"/>
      <c r="J923" s="60"/>
      <c r="K923" s="62"/>
      <c r="L923" s="60"/>
      <c r="M923" s="60"/>
      <c r="N923" s="60"/>
      <c r="O923" s="60"/>
      <c r="P923" s="60"/>
    </row>
    <row r="924" ht="15.75" customHeight="1">
      <c r="A924" s="60"/>
      <c r="B924" s="60"/>
      <c r="C924" s="60"/>
      <c r="D924" s="60"/>
      <c r="E924" s="60"/>
      <c r="F924" s="60"/>
      <c r="G924" s="60"/>
      <c r="H924" s="61"/>
      <c r="I924" s="60"/>
      <c r="J924" s="60"/>
      <c r="K924" s="62"/>
      <c r="L924" s="60"/>
      <c r="M924" s="60"/>
      <c r="N924" s="60"/>
      <c r="O924" s="60"/>
      <c r="P924" s="60"/>
    </row>
    <row r="925" ht="15.75" customHeight="1">
      <c r="A925" s="60"/>
      <c r="B925" s="60"/>
      <c r="C925" s="60"/>
      <c r="D925" s="60"/>
      <c r="E925" s="60"/>
      <c r="F925" s="60"/>
      <c r="G925" s="60"/>
      <c r="H925" s="61"/>
      <c r="I925" s="60"/>
      <c r="J925" s="60"/>
      <c r="K925" s="62"/>
      <c r="L925" s="60"/>
      <c r="M925" s="60"/>
      <c r="N925" s="60"/>
      <c r="O925" s="60"/>
      <c r="P925" s="60"/>
    </row>
    <row r="926" ht="15.75" customHeight="1">
      <c r="A926" s="60"/>
      <c r="B926" s="60"/>
      <c r="C926" s="60"/>
      <c r="D926" s="60"/>
      <c r="E926" s="60"/>
      <c r="F926" s="60"/>
      <c r="G926" s="60"/>
      <c r="H926" s="61"/>
      <c r="I926" s="60"/>
      <c r="J926" s="60"/>
      <c r="K926" s="62"/>
      <c r="L926" s="60"/>
      <c r="M926" s="60"/>
      <c r="N926" s="60"/>
      <c r="O926" s="60"/>
      <c r="P926" s="60"/>
    </row>
    <row r="927" ht="15.75" customHeight="1">
      <c r="A927" s="60"/>
      <c r="B927" s="60"/>
      <c r="C927" s="60"/>
      <c r="D927" s="60"/>
      <c r="E927" s="60"/>
      <c r="F927" s="60"/>
      <c r="G927" s="60"/>
      <c r="H927" s="61"/>
      <c r="I927" s="60"/>
      <c r="J927" s="60"/>
      <c r="K927" s="62"/>
      <c r="L927" s="60"/>
      <c r="M927" s="60"/>
      <c r="N927" s="60"/>
      <c r="O927" s="60"/>
      <c r="P927" s="60"/>
    </row>
    <row r="928" ht="15.75" customHeight="1">
      <c r="A928" s="60"/>
      <c r="B928" s="60"/>
      <c r="C928" s="60"/>
      <c r="D928" s="60"/>
      <c r="E928" s="60"/>
      <c r="F928" s="60"/>
      <c r="G928" s="60"/>
      <c r="H928" s="61"/>
      <c r="I928" s="60"/>
      <c r="J928" s="60"/>
      <c r="K928" s="62"/>
      <c r="L928" s="60"/>
      <c r="M928" s="60"/>
      <c r="N928" s="60"/>
      <c r="O928" s="60"/>
      <c r="P928" s="60"/>
    </row>
    <row r="929" ht="15.75" customHeight="1">
      <c r="A929" s="60"/>
      <c r="B929" s="60"/>
      <c r="C929" s="60"/>
      <c r="D929" s="60"/>
      <c r="E929" s="60"/>
      <c r="F929" s="60"/>
      <c r="G929" s="60"/>
      <c r="H929" s="61"/>
      <c r="I929" s="60"/>
      <c r="J929" s="60"/>
      <c r="K929" s="62"/>
      <c r="L929" s="60"/>
      <c r="M929" s="60"/>
      <c r="N929" s="60"/>
      <c r="O929" s="60"/>
      <c r="P929" s="60"/>
    </row>
    <row r="930" ht="15.75" customHeight="1">
      <c r="A930" s="60"/>
      <c r="B930" s="60"/>
      <c r="C930" s="60"/>
      <c r="D930" s="60"/>
      <c r="E930" s="60"/>
      <c r="F930" s="60"/>
      <c r="G930" s="60"/>
      <c r="H930" s="61"/>
      <c r="I930" s="60"/>
      <c r="J930" s="60"/>
      <c r="K930" s="62"/>
      <c r="L930" s="60"/>
      <c r="M930" s="60"/>
      <c r="N930" s="60"/>
      <c r="O930" s="60"/>
      <c r="P930" s="60"/>
    </row>
    <row r="931" ht="15.75" customHeight="1">
      <c r="A931" s="60"/>
      <c r="B931" s="60"/>
      <c r="C931" s="60"/>
      <c r="D931" s="60"/>
      <c r="E931" s="60"/>
      <c r="F931" s="60"/>
      <c r="G931" s="60"/>
      <c r="H931" s="61"/>
      <c r="I931" s="60"/>
      <c r="J931" s="60"/>
      <c r="K931" s="62"/>
      <c r="L931" s="60"/>
      <c r="M931" s="60"/>
      <c r="N931" s="60"/>
      <c r="O931" s="60"/>
      <c r="P931" s="60"/>
    </row>
    <row r="932" ht="15.75" customHeight="1">
      <c r="A932" s="60"/>
      <c r="B932" s="60"/>
      <c r="C932" s="60"/>
      <c r="D932" s="60"/>
      <c r="E932" s="60"/>
      <c r="F932" s="60"/>
      <c r="G932" s="60"/>
      <c r="H932" s="61"/>
      <c r="I932" s="60"/>
      <c r="J932" s="60"/>
      <c r="K932" s="62"/>
      <c r="L932" s="60"/>
      <c r="M932" s="60"/>
      <c r="N932" s="60"/>
      <c r="O932" s="60"/>
      <c r="P932" s="60"/>
    </row>
    <row r="933" ht="15.75" customHeight="1">
      <c r="A933" s="60"/>
      <c r="B933" s="60"/>
      <c r="C933" s="60"/>
      <c r="D933" s="60"/>
      <c r="E933" s="60"/>
      <c r="F933" s="60"/>
      <c r="G933" s="60"/>
      <c r="H933" s="61"/>
      <c r="I933" s="60"/>
      <c r="J933" s="60"/>
      <c r="K933" s="62"/>
      <c r="L933" s="60"/>
      <c r="M933" s="60"/>
      <c r="N933" s="60"/>
      <c r="O933" s="60"/>
      <c r="P933" s="60"/>
    </row>
    <row r="934" ht="15.75" customHeight="1">
      <c r="A934" s="60"/>
      <c r="B934" s="60"/>
      <c r="C934" s="60"/>
      <c r="D934" s="60"/>
      <c r="E934" s="60"/>
      <c r="F934" s="60"/>
      <c r="G934" s="60"/>
      <c r="H934" s="61"/>
      <c r="I934" s="60"/>
      <c r="J934" s="60"/>
      <c r="K934" s="62"/>
      <c r="L934" s="60"/>
      <c r="M934" s="60"/>
      <c r="N934" s="60"/>
      <c r="O934" s="60"/>
      <c r="P934" s="60"/>
    </row>
    <row r="935" ht="15.75" customHeight="1">
      <c r="A935" s="60"/>
      <c r="B935" s="60"/>
      <c r="C935" s="60"/>
      <c r="D935" s="60"/>
      <c r="E935" s="60"/>
      <c r="F935" s="60"/>
      <c r="G935" s="60"/>
      <c r="H935" s="61"/>
      <c r="I935" s="60"/>
      <c r="J935" s="60"/>
      <c r="K935" s="62"/>
      <c r="L935" s="60"/>
      <c r="M935" s="60"/>
      <c r="N935" s="60"/>
      <c r="O935" s="60"/>
      <c r="P935" s="60"/>
    </row>
    <row r="936" ht="15.75" customHeight="1">
      <c r="A936" s="60"/>
      <c r="B936" s="60"/>
      <c r="C936" s="60"/>
      <c r="D936" s="60"/>
      <c r="E936" s="60"/>
      <c r="F936" s="60"/>
      <c r="G936" s="60"/>
      <c r="H936" s="61"/>
      <c r="I936" s="60"/>
      <c r="J936" s="60"/>
      <c r="K936" s="62"/>
      <c r="L936" s="60"/>
      <c r="M936" s="60"/>
      <c r="N936" s="60"/>
      <c r="O936" s="60"/>
      <c r="P936" s="60"/>
    </row>
    <row r="937" ht="15.75" customHeight="1">
      <c r="A937" s="60"/>
      <c r="B937" s="60"/>
      <c r="C937" s="60"/>
      <c r="D937" s="60"/>
      <c r="E937" s="60"/>
      <c r="F937" s="60"/>
      <c r="G937" s="60"/>
      <c r="H937" s="61"/>
      <c r="I937" s="60"/>
      <c r="J937" s="60"/>
      <c r="K937" s="62"/>
      <c r="L937" s="60"/>
      <c r="M937" s="60"/>
      <c r="N937" s="60"/>
      <c r="O937" s="60"/>
      <c r="P937" s="60"/>
    </row>
    <row r="938" ht="15.75" customHeight="1">
      <c r="A938" s="60"/>
      <c r="B938" s="60"/>
      <c r="C938" s="60"/>
      <c r="D938" s="60"/>
      <c r="E938" s="60"/>
      <c r="F938" s="60"/>
      <c r="G938" s="60"/>
      <c r="H938" s="61"/>
      <c r="I938" s="60"/>
      <c r="J938" s="60"/>
      <c r="K938" s="62"/>
      <c r="L938" s="60"/>
      <c r="M938" s="60"/>
      <c r="N938" s="60"/>
      <c r="O938" s="60"/>
      <c r="P938" s="60"/>
    </row>
    <row r="939" ht="15.75" customHeight="1">
      <c r="A939" s="60"/>
      <c r="B939" s="60"/>
      <c r="C939" s="60"/>
      <c r="D939" s="60"/>
      <c r="E939" s="60"/>
      <c r="F939" s="60"/>
      <c r="G939" s="60"/>
      <c r="H939" s="61"/>
      <c r="I939" s="60"/>
      <c r="J939" s="60"/>
      <c r="K939" s="62"/>
      <c r="L939" s="60"/>
      <c r="M939" s="60"/>
      <c r="N939" s="60"/>
      <c r="O939" s="60"/>
      <c r="P939" s="60"/>
    </row>
    <row r="940" ht="15.75" customHeight="1">
      <c r="A940" s="60"/>
      <c r="B940" s="60"/>
      <c r="C940" s="60"/>
      <c r="D940" s="60"/>
      <c r="E940" s="60"/>
      <c r="F940" s="60"/>
      <c r="G940" s="60"/>
      <c r="H940" s="61"/>
      <c r="I940" s="60"/>
      <c r="J940" s="60"/>
      <c r="K940" s="62"/>
      <c r="L940" s="60"/>
      <c r="M940" s="60"/>
      <c r="N940" s="60"/>
      <c r="O940" s="60"/>
      <c r="P940" s="60"/>
    </row>
    <row r="941" ht="15.75" customHeight="1">
      <c r="A941" s="60"/>
      <c r="B941" s="60"/>
      <c r="C941" s="60"/>
      <c r="D941" s="60"/>
      <c r="E941" s="60"/>
      <c r="F941" s="60"/>
      <c r="G941" s="60"/>
      <c r="H941" s="61"/>
      <c r="I941" s="60"/>
      <c r="J941" s="60"/>
      <c r="K941" s="62"/>
      <c r="L941" s="60"/>
      <c r="M941" s="60"/>
      <c r="N941" s="60"/>
      <c r="O941" s="60"/>
      <c r="P941" s="60"/>
    </row>
    <row r="942" ht="15.75" customHeight="1">
      <c r="A942" s="60"/>
      <c r="B942" s="60"/>
      <c r="C942" s="60"/>
      <c r="D942" s="60"/>
      <c r="E942" s="60"/>
      <c r="F942" s="60"/>
      <c r="G942" s="60"/>
      <c r="H942" s="61"/>
      <c r="I942" s="60"/>
      <c r="J942" s="60"/>
      <c r="K942" s="62"/>
      <c r="L942" s="60"/>
      <c r="M942" s="60"/>
      <c r="N942" s="60"/>
      <c r="O942" s="60"/>
      <c r="P942" s="60"/>
    </row>
    <row r="943" ht="15.75" customHeight="1">
      <c r="A943" s="60"/>
      <c r="B943" s="60"/>
      <c r="C943" s="60"/>
      <c r="D943" s="60"/>
      <c r="E943" s="60"/>
      <c r="F943" s="60"/>
      <c r="G943" s="60"/>
      <c r="H943" s="61"/>
      <c r="I943" s="60"/>
      <c r="J943" s="60"/>
      <c r="K943" s="62"/>
      <c r="L943" s="60"/>
      <c r="M943" s="60"/>
      <c r="N943" s="60"/>
      <c r="O943" s="60"/>
      <c r="P943" s="60"/>
    </row>
    <row r="944" ht="15.75" customHeight="1">
      <c r="A944" s="60"/>
      <c r="B944" s="60"/>
      <c r="C944" s="60"/>
      <c r="D944" s="60"/>
      <c r="E944" s="60"/>
      <c r="F944" s="60"/>
      <c r="G944" s="60"/>
      <c r="H944" s="61"/>
      <c r="I944" s="60"/>
      <c r="J944" s="60"/>
      <c r="K944" s="62"/>
      <c r="L944" s="60"/>
      <c r="M944" s="60"/>
      <c r="N944" s="60"/>
      <c r="O944" s="60"/>
      <c r="P944" s="60"/>
    </row>
    <row r="945" ht="15.75" customHeight="1">
      <c r="A945" s="60"/>
      <c r="B945" s="60"/>
      <c r="C945" s="60"/>
      <c r="D945" s="60"/>
      <c r="E945" s="60"/>
      <c r="F945" s="60"/>
      <c r="G945" s="60"/>
      <c r="H945" s="61"/>
      <c r="I945" s="60"/>
      <c r="J945" s="60"/>
      <c r="K945" s="62"/>
      <c r="L945" s="60"/>
      <c r="M945" s="60"/>
      <c r="N945" s="60"/>
      <c r="O945" s="60"/>
      <c r="P945" s="60"/>
    </row>
    <row r="946" ht="15.75" customHeight="1">
      <c r="A946" s="60"/>
      <c r="B946" s="60"/>
      <c r="C946" s="60"/>
      <c r="D946" s="60"/>
      <c r="E946" s="60"/>
      <c r="F946" s="60"/>
      <c r="G946" s="60"/>
      <c r="H946" s="61"/>
      <c r="I946" s="60"/>
      <c r="J946" s="60"/>
      <c r="K946" s="62"/>
      <c r="L946" s="60"/>
      <c r="M946" s="60"/>
      <c r="N946" s="60"/>
      <c r="O946" s="60"/>
      <c r="P946" s="60"/>
    </row>
    <row r="947" ht="15.75" customHeight="1">
      <c r="A947" s="60"/>
      <c r="B947" s="60"/>
      <c r="C947" s="60"/>
      <c r="D947" s="60"/>
      <c r="E947" s="60"/>
      <c r="F947" s="60"/>
      <c r="G947" s="60"/>
      <c r="H947" s="61"/>
      <c r="I947" s="60"/>
      <c r="J947" s="60"/>
      <c r="K947" s="62"/>
      <c r="L947" s="60"/>
      <c r="M947" s="60"/>
      <c r="N947" s="60"/>
      <c r="O947" s="60"/>
      <c r="P947" s="60"/>
    </row>
    <row r="948" ht="15.75" customHeight="1">
      <c r="A948" s="60"/>
      <c r="B948" s="60"/>
      <c r="C948" s="60"/>
      <c r="D948" s="60"/>
      <c r="E948" s="60"/>
      <c r="F948" s="60"/>
      <c r="G948" s="60"/>
      <c r="H948" s="61"/>
      <c r="I948" s="60"/>
      <c r="J948" s="60"/>
      <c r="K948" s="62"/>
      <c r="L948" s="60"/>
      <c r="M948" s="60"/>
      <c r="N948" s="60"/>
      <c r="O948" s="60"/>
      <c r="P948" s="60"/>
    </row>
    <row r="949" ht="15.75" customHeight="1">
      <c r="A949" s="60"/>
      <c r="B949" s="60"/>
      <c r="C949" s="60"/>
      <c r="D949" s="60"/>
      <c r="E949" s="60"/>
      <c r="F949" s="60"/>
      <c r="G949" s="60"/>
      <c r="H949" s="61"/>
      <c r="I949" s="60"/>
      <c r="J949" s="60"/>
      <c r="K949" s="62"/>
      <c r="L949" s="60"/>
      <c r="M949" s="60"/>
      <c r="N949" s="60"/>
      <c r="O949" s="60"/>
      <c r="P949" s="60"/>
    </row>
    <row r="950" ht="15.75" customHeight="1">
      <c r="A950" s="60"/>
      <c r="B950" s="60"/>
      <c r="C950" s="60"/>
      <c r="D950" s="60"/>
      <c r="E950" s="60"/>
      <c r="F950" s="60"/>
      <c r="G950" s="60"/>
      <c r="H950" s="61"/>
      <c r="I950" s="60"/>
      <c r="J950" s="60"/>
      <c r="K950" s="62"/>
      <c r="L950" s="60"/>
      <c r="M950" s="60"/>
      <c r="N950" s="60"/>
      <c r="O950" s="60"/>
      <c r="P950" s="60"/>
    </row>
    <row r="951" ht="15.75" customHeight="1">
      <c r="A951" s="60"/>
      <c r="B951" s="60"/>
      <c r="C951" s="60"/>
      <c r="D951" s="60"/>
      <c r="E951" s="60"/>
      <c r="F951" s="60"/>
      <c r="G951" s="60"/>
      <c r="H951" s="61"/>
      <c r="I951" s="60"/>
      <c r="J951" s="60"/>
      <c r="K951" s="62"/>
      <c r="L951" s="60"/>
      <c r="M951" s="60"/>
      <c r="N951" s="60"/>
      <c r="O951" s="60"/>
      <c r="P951" s="60"/>
    </row>
    <row r="952" ht="15.75" customHeight="1">
      <c r="A952" s="60"/>
      <c r="B952" s="60"/>
      <c r="C952" s="60"/>
      <c r="D952" s="60"/>
      <c r="E952" s="60"/>
      <c r="F952" s="60"/>
      <c r="G952" s="60"/>
      <c r="H952" s="61"/>
      <c r="I952" s="60"/>
      <c r="J952" s="60"/>
      <c r="K952" s="62"/>
      <c r="L952" s="60"/>
      <c r="M952" s="60"/>
      <c r="N952" s="60"/>
      <c r="O952" s="60"/>
      <c r="P952" s="60"/>
    </row>
    <row r="953" ht="15.75" customHeight="1">
      <c r="A953" s="60"/>
      <c r="B953" s="60"/>
      <c r="C953" s="60"/>
      <c r="D953" s="60"/>
      <c r="E953" s="60"/>
      <c r="F953" s="60"/>
      <c r="G953" s="60"/>
      <c r="H953" s="61"/>
      <c r="I953" s="60"/>
      <c r="J953" s="60"/>
      <c r="K953" s="62"/>
      <c r="L953" s="60"/>
      <c r="M953" s="60"/>
      <c r="N953" s="60"/>
      <c r="O953" s="60"/>
      <c r="P953" s="60"/>
    </row>
    <row r="954" ht="15.75" customHeight="1">
      <c r="A954" s="60"/>
      <c r="B954" s="60"/>
      <c r="C954" s="60"/>
      <c r="D954" s="60"/>
      <c r="E954" s="60"/>
      <c r="F954" s="60"/>
      <c r="G954" s="60"/>
      <c r="H954" s="61"/>
      <c r="I954" s="60"/>
      <c r="J954" s="60"/>
      <c r="K954" s="62"/>
      <c r="L954" s="60"/>
      <c r="M954" s="60"/>
      <c r="N954" s="60"/>
      <c r="O954" s="60"/>
      <c r="P954" s="60"/>
    </row>
    <row r="955" ht="15.75" customHeight="1">
      <c r="A955" s="60"/>
      <c r="B955" s="60"/>
      <c r="C955" s="60"/>
      <c r="D955" s="60"/>
      <c r="E955" s="60"/>
      <c r="F955" s="60"/>
      <c r="G955" s="60"/>
      <c r="H955" s="61"/>
      <c r="I955" s="60"/>
      <c r="J955" s="60"/>
      <c r="K955" s="62"/>
      <c r="L955" s="60"/>
      <c r="M955" s="60"/>
      <c r="N955" s="60"/>
      <c r="O955" s="60"/>
      <c r="P955" s="60"/>
    </row>
    <row r="956" ht="15.75" customHeight="1">
      <c r="A956" s="60"/>
      <c r="B956" s="60"/>
      <c r="C956" s="60"/>
      <c r="D956" s="60"/>
      <c r="E956" s="60"/>
      <c r="F956" s="60"/>
      <c r="G956" s="60"/>
      <c r="H956" s="61"/>
      <c r="I956" s="60"/>
      <c r="J956" s="60"/>
      <c r="K956" s="62"/>
      <c r="L956" s="60"/>
      <c r="M956" s="60"/>
      <c r="N956" s="60"/>
      <c r="O956" s="60"/>
      <c r="P956" s="60"/>
    </row>
    <row r="957" ht="15.75" customHeight="1">
      <c r="A957" s="60"/>
      <c r="B957" s="60"/>
      <c r="C957" s="60"/>
      <c r="D957" s="60"/>
      <c r="E957" s="60"/>
      <c r="F957" s="60"/>
      <c r="G957" s="60"/>
      <c r="H957" s="61"/>
      <c r="I957" s="60"/>
      <c r="J957" s="60"/>
      <c r="K957" s="62"/>
      <c r="L957" s="60"/>
      <c r="M957" s="60"/>
      <c r="N957" s="60"/>
      <c r="O957" s="60"/>
      <c r="P957" s="60"/>
    </row>
    <row r="958" ht="15.75" customHeight="1">
      <c r="A958" s="60"/>
      <c r="B958" s="60"/>
      <c r="C958" s="60"/>
      <c r="D958" s="60"/>
      <c r="E958" s="60"/>
      <c r="F958" s="60"/>
      <c r="G958" s="60"/>
      <c r="H958" s="61"/>
      <c r="I958" s="60"/>
      <c r="J958" s="60"/>
      <c r="K958" s="62"/>
      <c r="L958" s="60"/>
      <c r="M958" s="60"/>
      <c r="N958" s="60"/>
      <c r="O958" s="60"/>
      <c r="P958" s="60"/>
    </row>
    <row r="959" ht="15.75" customHeight="1">
      <c r="A959" s="60"/>
      <c r="B959" s="60"/>
      <c r="C959" s="60"/>
      <c r="D959" s="60"/>
      <c r="E959" s="60"/>
      <c r="F959" s="60"/>
      <c r="G959" s="60"/>
      <c r="H959" s="61"/>
      <c r="I959" s="60"/>
      <c r="J959" s="60"/>
      <c r="K959" s="62"/>
      <c r="L959" s="60"/>
      <c r="M959" s="60"/>
      <c r="N959" s="60"/>
      <c r="O959" s="60"/>
      <c r="P959" s="60"/>
    </row>
    <row r="960" ht="15.75" customHeight="1">
      <c r="A960" s="60"/>
      <c r="B960" s="60"/>
      <c r="C960" s="60"/>
      <c r="D960" s="60"/>
      <c r="E960" s="60"/>
      <c r="F960" s="60"/>
      <c r="G960" s="60"/>
      <c r="H960" s="61"/>
      <c r="I960" s="60"/>
      <c r="J960" s="60"/>
      <c r="K960" s="62"/>
      <c r="L960" s="60"/>
      <c r="M960" s="60"/>
      <c r="N960" s="60"/>
      <c r="O960" s="60"/>
      <c r="P960" s="60"/>
    </row>
    <row r="961" ht="15.75" customHeight="1">
      <c r="A961" s="60"/>
      <c r="B961" s="60"/>
      <c r="C961" s="60"/>
      <c r="D961" s="60"/>
      <c r="E961" s="60"/>
      <c r="F961" s="60"/>
      <c r="G961" s="60"/>
      <c r="H961" s="61"/>
      <c r="I961" s="60"/>
      <c r="J961" s="60"/>
      <c r="K961" s="62"/>
      <c r="L961" s="60"/>
      <c r="M961" s="60"/>
      <c r="N961" s="60"/>
      <c r="O961" s="60"/>
      <c r="P961" s="60"/>
    </row>
    <row r="962" ht="15.75" customHeight="1">
      <c r="A962" s="60"/>
      <c r="B962" s="60"/>
      <c r="C962" s="60"/>
      <c r="D962" s="60"/>
      <c r="E962" s="60"/>
      <c r="F962" s="60"/>
      <c r="G962" s="60"/>
      <c r="H962" s="61"/>
      <c r="I962" s="60"/>
      <c r="J962" s="60"/>
      <c r="K962" s="62"/>
      <c r="L962" s="60"/>
      <c r="M962" s="60"/>
      <c r="N962" s="60"/>
      <c r="O962" s="60"/>
      <c r="P962" s="60"/>
    </row>
    <row r="963" ht="15.75" customHeight="1">
      <c r="A963" s="60"/>
      <c r="B963" s="60"/>
      <c r="C963" s="60"/>
      <c r="D963" s="60"/>
      <c r="E963" s="60"/>
      <c r="F963" s="60"/>
      <c r="G963" s="60"/>
      <c r="H963" s="61"/>
      <c r="I963" s="60"/>
      <c r="J963" s="60"/>
      <c r="K963" s="62"/>
      <c r="L963" s="60"/>
      <c r="M963" s="60"/>
      <c r="N963" s="60"/>
      <c r="O963" s="60"/>
      <c r="P963" s="60"/>
    </row>
    <row r="964" ht="15.75" customHeight="1">
      <c r="A964" s="60"/>
      <c r="B964" s="60"/>
      <c r="C964" s="60"/>
      <c r="D964" s="60"/>
      <c r="E964" s="60"/>
      <c r="F964" s="60"/>
      <c r="G964" s="60"/>
      <c r="H964" s="61"/>
      <c r="I964" s="60"/>
      <c r="J964" s="60"/>
      <c r="K964" s="62"/>
      <c r="L964" s="60"/>
      <c r="M964" s="60"/>
      <c r="N964" s="60"/>
      <c r="O964" s="60"/>
      <c r="P964" s="60"/>
    </row>
    <row r="965" ht="15.75" customHeight="1">
      <c r="A965" s="60"/>
      <c r="B965" s="60"/>
      <c r="C965" s="60"/>
      <c r="D965" s="60"/>
      <c r="E965" s="60"/>
      <c r="F965" s="60"/>
      <c r="G965" s="60"/>
      <c r="H965" s="61"/>
      <c r="I965" s="60"/>
      <c r="J965" s="60"/>
      <c r="K965" s="62"/>
      <c r="L965" s="60"/>
      <c r="M965" s="60"/>
      <c r="N965" s="60"/>
      <c r="O965" s="60"/>
      <c r="P965" s="60"/>
    </row>
    <row r="966" ht="15.75" customHeight="1">
      <c r="A966" s="60"/>
      <c r="B966" s="60"/>
      <c r="C966" s="60"/>
      <c r="D966" s="60"/>
      <c r="E966" s="60"/>
      <c r="F966" s="60"/>
      <c r="G966" s="60"/>
      <c r="H966" s="61"/>
      <c r="I966" s="60"/>
      <c r="J966" s="60"/>
      <c r="K966" s="62"/>
      <c r="L966" s="60"/>
      <c r="M966" s="60"/>
      <c r="N966" s="60"/>
      <c r="O966" s="60"/>
      <c r="P966" s="60"/>
    </row>
    <row r="967" ht="15.75" customHeight="1">
      <c r="A967" s="60"/>
      <c r="B967" s="60"/>
      <c r="C967" s="60"/>
      <c r="D967" s="60"/>
      <c r="E967" s="60"/>
      <c r="F967" s="60"/>
      <c r="G967" s="60"/>
      <c r="H967" s="61"/>
      <c r="I967" s="60"/>
      <c r="J967" s="60"/>
      <c r="K967" s="62"/>
      <c r="L967" s="60"/>
      <c r="M967" s="60"/>
      <c r="N967" s="60"/>
      <c r="O967" s="60"/>
      <c r="P967" s="60"/>
    </row>
    <row r="968" ht="15.75" customHeight="1">
      <c r="A968" s="60"/>
      <c r="B968" s="60"/>
      <c r="C968" s="60"/>
      <c r="D968" s="60"/>
      <c r="E968" s="60"/>
      <c r="F968" s="60"/>
      <c r="G968" s="60"/>
      <c r="H968" s="61"/>
      <c r="I968" s="60"/>
      <c r="J968" s="60"/>
      <c r="K968" s="62"/>
      <c r="L968" s="60"/>
      <c r="M968" s="60"/>
      <c r="N968" s="60"/>
      <c r="O968" s="60"/>
      <c r="P968" s="60"/>
    </row>
    <row r="969" ht="15.75" customHeight="1">
      <c r="A969" s="60"/>
      <c r="B969" s="60"/>
      <c r="C969" s="60"/>
      <c r="D969" s="60"/>
      <c r="E969" s="60"/>
      <c r="F969" s="60"/>
      <c r="G969" s="60"/>
      <c r="H969" s="61"/>
      <c r="I969" s="60"/>
      <c r="J969" s="60"/>
      <c r="K969" s="62"/>
      <c r="L969" s="60"/>
      <c r="M969" s="60"/>
      <c r="N969" s="60"/>
      <c r="O969" s="60"/>
      <c r="P969" s="60"/>
    </row>
    <row r="970" ht="15.75" customHeight="1">
      <c r="A970" s="60"/>
      <c r="B970" s="60"/>
      <c r="C970" s="60"/>
      <c r="D970" s="60"/>
      <c r="E970" s="60"/>
      <c r="F970" s="60"/>
      <c r="G970" s="60"/>
      <c r="H970" s="61"/>
      <c r="I970" s="60"/>
      <c r="J970" s="60"/>
      <c r="K970" s="62"/>
      <c r="L970" s="60"/>
      <c r="M970" s="60"/>
      <c r="N970" s="60"/>
      <c r="O970" s="60"/>
      <c r="P970" s="60"/>
    </row>
    <row r="971" ht="15.75" customHeight="1">
      <c r="A971" s="60"/>
      <c r="B971" s="60"/>
      <c r="C971" s="60"/>
      <c r="D971" s="60"/>
      <c r="E971" s="60"/>
      <c r="F971" s="60"/>
      <c r="G971" s="60"/>
      <c r="H971" s="61"/>
      <c r="I971" s="60"/>
      <c r="J971" s="60"/>
      <c r="K971" s="62"/>
      <c r="L971" s="60"/>
      <c r="M971" s="60"/>
      <c r="N971" s="60"/>
      <c r="O971" s="60"/>
      <c r="P971" s="60"/>
    </row>
    <row r="972" ht="15.75" customHeight="1">
      <c r="A972" s="60"/>
      <c r="B972" s="60"/>
      <c r="C972" s="60"/>
      <c r="D972" s="60"/>
      <c r="E972" s="60"/>
      <c r="F972" s="60"/>
      <c r="G972" s="60"/>
      <c r="H972" s="61"/>
      <c r="I972" s="60"/>
      <c r="J972" s="60"/>
      <c r="K972" s="62"/>
      <c r="L972" s="60"/>
      <c r="M972" s="60"/>
      <c r="N972" s="60"/>
      <c r="O972" s="60"/>
      <c r="P972" s="60"/>
    </row>
    <row r="973" ht="15.75" customHeight="1">
      <c r="A973" s="60"/>
      <c r="B973" s="60"/>
      <c r="C973" s="60"/>
      <c r="D973" s="60"/>
      <c r="E973" s="60"/>
      <c r="F973" s="60"/>
      <c r="G973" s="60"/>
      <c r="H973" s="61"/>
      <c r="I973" s="60"/>
      <c r="J973" s="60"/>
      <c r="K973" s="62"/>
      <c r="L973" s="60"/>
      <c r="M973" s="60"/>
      <c r="N973" s="60"/>
      <c r="O973" s="60"/>
      <c r="P973" s="60"/>
    </row>
    <row r="974" ht="15.75" customHeight="1">
      <c r="A974" s="60"/>
      <c r="B974" s="60"/>
      <c r="C974" s="60"/>
      <c r="D974" s="60"/>
      <c r="E974" s="60"/>
      <c r="F974" s="60"/>
      <c r="G974" s="60"/>
      <c r="H974" s="61"/>
      <c r="I974" s="60"/>
      <c r="J974" s="60"/>
      <c r="K974" s="62"/>
      <c r="L974" s="60"/>
      <c r="M974" s="60"/>
      <c r="N974" s="60"/>
      <c r="O974" s="60"/>
      <c r="P974" s="60"/>
    </row>
    <row r="975" ht="15.75" customHeight="1">
      <c r="A975" s="60"/>
      <c r="B975" s="60"/>
      <c r="C975" s="60"/>
      <c r="D975" s="60"/>
      <c r="E975" s="60"/>
      <c r="F975" s="60"/>
      <c r="G975" s="60"/>
      <c r="H975" s="61"/>
      <c r="I975" s="60"/>
      <c r="J975" s="60"/>
      <c r="K975" s="62"/>
      <c r="L975" s="60"/>
      <c r="M975" s="60"/>
      <c r="N975" s="60"/>
      <c r="O975" s="60"/>
      <c r="P975" s="60"/>
    </row>
    <row r="976" ht="15.75" customHeight="1">
      <c r="A976" s="60"/>
      <c r="B976" s="60"/>
      <c r="C976" s="60"/>
      <c r="D976" s="60"/>
      <c r="E976" s="60"/>
      <c r="F976" s="60"/>
      <c r="G976" s="60"/>
      <c r="H976" s="61"/>
      <c r="I976" s="60"/>
      <c r="J976" s="60"/>
      <c r="K976" s="62"/>
      <c r="L976" s="60"/>
      <c r="M976" s="60"/>
      <c r="N976" s="60"/>
      <c r="O976" s="60"/>
      <c r="P976" s="60"/>
    </row>
    <row r="977" ht="15.75" customHeight="1">
      <c r="A977" s="60"/>
      <c r="B977" s="60"/>
      <c r="C977" s="60"/>
      <c r="D977" s="60"/>
      <c r="E977" s="60"/>
      <c r="F977" s="60"/>
      <c r="G977" s="60"/>
      <c r="H977" s="61"/>
      <c r="I977" s="60"/>
      <c r="J977" s="60"/>
      <c r="K977" s="62"/>
      <c r="L977" s="60"/>
      <c r="M977" s="60"/>
      <c r="N977" s="60"/>
      <c r="O977" s="60"/>
      <c r="P977" s="60"/>
    </row>
    <row r="978" ht="15.75" customHeight="1">
      <c r="A978" s="60"/>
      <c r="B978" s="60"/>
      <c r="C978" s="60"/>
      <c r="D978" s="60"/>
      <c r="E978" s="60"/>
      <c r="F978" s="60"/>
      <c r="G978" s="60"/>
      <c r="H978" s="61"/>
      <c r="I978" s="60"/>
      <c r="J978" s="60"/>
      <c r="K978" s="62"/>
      <c r="L978" s="60"/>
      <c r="M978" s="60"/>
      <c r="N978" s="60"/>
      <c r="O978" s="60"/>
      <c r="P978" s="60"/>
    </row>
    <row r="979" ht="15.75" customHeight="1">
      <c r="A979" s="60"/>
      <c r="B979" s="60"/>
      <c r="C979" s="60"/>
      <c r="D979" s="60"/>
      <c r="E979" s="60"/>
      <c r="F979" s="60"/>
      <c r="G979" s="60"/>
      <c r="H979" s="61"/>
      <c r="I979" s="60"/>
      <c r="J979" s="60"/>
      <c r="K979" s="62"/>
      <c r="L979" s="60"/>
      <c r="M979" s="60"/>
      <c r="N979" s="60"/>
      <c r="O979" s="60"/>
      <c r="P979" s="60"/>
    </row>
    <row r="980" ht="15.75" customHeight="1">
      <c r="A980" s="60"/>
      <c r="B980" s="60"/>
      <c r="C980" s="60"/>
      <c r="D980" s="60"/>
      <c r="E980" s="60"/>
      <c r="F980" s="60"/>
      <c r="G980" s="60"/>
      <c r="H980" s="61"/>
      <c r="I980" s="60"/>
      <c r="J980" s="60"/>
      <c r="K980" s="62"/>
      <c r="L980" s="60"/>
      <c r="M980" s="60"/>
      <c r="N980" s="60"/>
      <c r="O980" s="60"/>
      <c r="P980" s="60"/>
    </row>
    <row r="981" ht="15.75" customHeight="1">
      <c r="A981" s="60"/>
      <c r="B981" s="60"/>
      <c r="C981" s="60"/>
      <c r="D981" s="60"/>
      <c r="E981" s="60"/>
      <c r="F981" s="60"/>
      <c r="G981" s="60"/>
      <c r="H981" s="61"/>
      <c r="I981" s="60"/>
      <c r="J981" s="60"/>
      <c r="K981" s="62"/>
      <c r="L981" s="60"/>
      <c r="M981" s="60"/>
      <c r="N981" s="60"/>
      <c r="O981" s="60"/>
      <c r="P981" s="60"/>
    </row>
    <row r="982" ht="15.75" customHeight="1">
      <c r="A982" s="60"/>
      <c r="B982" s="60"/>
      <c r="C982" s="60"/>
      <c r="D982" s="60"/>
      <c r="E982" s="60"/>
      <c r="F982" s="60"/>
      <c r="G982" s="60"/>
      <c r="H982" s="61"/>
      <c r="I982" s="60"/>
      <c r="J982" s="60"/>
      <c r="K982" s="62"/>
      <c r="L982" s="60"/>
      <c r="M982" s="60"/>
      <c r="N982" s="60"/>
      <c r="O982" s="60"/>
      <c r="P982" s="60"/>
    </row>
    <row r="983" ht="15.75" customHeight="1">
      <c r="A983" s="60"/>
      <c r="B983" s="60"/>
      <c r="C983" s="60"/>
      <c r="D983" s="60"/>
      <c r="E983" s="60"/>
      <c r="F983" s="60"/>
      <c r="G983" s="60"/>
      <c r="H983" s="61"/>
      <c r="I983" s="60"/>
      <c r="J983" s="60"/>
      <c r="K983" s="62"/>
      <c r="L983" s="60"/>
      <c r="M983" s="60"/>
      <c r="N983" s="60"/>
      <c r="O983" s="60"/>
      <c r="P983" s="60"/>
    </row>
    <row r="984" ht="15.75" customHeight="1">
      <c r="A984" s="60"/>
      <c r="B984" s="60"/>
      <c r="C984" s="60"/>
      <c r="D984" s="60"/>
      <c r="E984" s="60"/>
      <c r="F984" s="60"/>
      <c r="G984" s="60"/>
      <c r="H984" s="61"/>
      <c r="I984" s="60"/>
      <c r="J984" s="60"/>
      <c r="K984" s="62"/>
      <c r="L984" s="60"/>
      <c r="M984" s="60"/>
      <c r="N984" s="60"/>
      <c r="O984" s="60"/>
      <c r="P984" s="60"/>
    </row>
    <row r="985" ht="15.75" customHeight="1">
      <c r="A985" s="60"/>
      <c r="B985" s="60"/>
      <c r="C985" s="60"/>
      <c r="D985" s="60"/>
      <c r="E985" s="60"/>
      <c r="F985" s="60"/>
      <c r="G985" s="60"/>
      <c r="H985" s="61"/>
      <c r="I985" s="60"/>
      <c r="J985" s="60"/>
      <c r="K985" s="62"/>
      <c r="L985" s="60"/>
      <c r="M985" s="60"/>
      <c r="N985" s="60"/>
      <c r="O985" s="60"/>
      <c r="P985" s="60"/>
    </row>
    <row r="986" ht="15.75" customHeight="1">
      <c r="A986" s="60"/>
      <c r="B986" s="60"/>
      <c r="C986" s="60"/>
      <c r="D986" s="60"/>
      <c r="E986" s="60"/>
      <c r="F986" s="60"/>
      <c r="G986" s="60"/>
      <c r="H986" s="61"/>
      <c r="I986" s="60"/>
      <c r="J986" s="60"/>
      <c r="K986" s="62"/>
      <c r="L986" s="60"/>
      <c r="M986" s="60"/>
      <c r="N986" s="60"/>
      <c r="O986" s="60"/>
      <c r="P986" s="60"/>
    </row>
    <row r="987" ht="15.75" customHeight="1">
      <c r="A987" s="60"/>
      <c r="B987" s="60"/>
      <c r="C987" s="60"/>
      <c r="D987" s="60"/>
      <c r="E987" s="60"/>
      <c r="F987" s="60"/>
      <c r="G987" s="60"/>
      <c r="H987" s="61"/>
      <c r="I987" s="60"/>
      <c r="J987" s="60"/>
      <c r="K987" s="62"/>
      <c r="L987" s="60"/>
      <c r="M987" s="60"/>
      <c r="N987" s="60"/>
      <c r="O987" s="60"/>
      <c r="P987" s="60"/>
    </row>
    <row r="988" ht="15.75" customHeight="1">
      <c r="A988" s="60"/>
      <c r="B988" s="60"/>
      <c r="C988" s="60"/>
      <c r="D988" s="60"/>
      <c r="E988" s="60"/>
      <c r="F988" s="60"/>
      <c r="G988" s="60"/>
      <c r="H988" s="61"/>
      <c r="I988" s="60"/>
      <c r="J988" s="60"/>
      <c r="K988" s="62"/>
      <c r="L988" s="60"/>
      <c r="M988" s="60"/>
      <c r="N988" s="60"/>
      <c r="O988" s="60"/>
      <c r="P988" s="60"/>
    </row>
    <row r="989" ht="15.75" customHeight="1">
      <c r="A989" s="60"/>
      <c r="B989" s="60"/>
      <c r="C989" s="60"/>
      <c r="D989" s="60"/>
      <c r="E989" s="60"/>
      <c r="F989" s="60"/>
      <c r="G989" s="60"/>
      <c r="H989" s="61"/>
      <c r="I989" s="60"/>
      <c r="J989" s="60"/>
      <c r="K989" s="62"/>
      <c r="L989" s="60"/>
      <c r="M989" s="60"/>
      <c r="N989" s="60"/>
      <c r="O989" s="60"/>
      <c r="P989" s="60"/>
    </row>
    <row r="990" ht="15.75" customHeight="1">
      <c r="A990" s="60"/>
      <c r="B990" s="60"/>
      <c r="C990" s="60"/>
      <c r="D990" s="60"/>
      <c r="E990" s="60"/>
      <c r="F990" s="60"/>
      <c r="G990" s="60"/>
      <c r="H990" s="61"/>
      <c r="I990" s="60"/>
      <c r="J990" s="60"/>
      <c r="K990" s="62"/>
      <c r="L990" s="60"/>
      <c r="M990" s="60"/>
      <c r="N990" s="60"/>
      <c r="O990" s="60"/>
      <c r="P990" s="60"/>
    </row>
    <row r="991" ht="15.75" customHeight="1">
      <c r="A991" s="60"/>
      <c r="B991" s="60"/>
      <c r="C991" s="60"/>
      <c r="D991" s="60"/>
      <c r="E991" s="60"/>
      <c r="F991" s="60"/>
      <c r="G991" s="60"/>
      <c r="H991" s="61"/>
      <c r="I991" s="60"/>
      <c r="J991" s="60"/>
      <c r="K991" s="62"/>
      <c r="L991" s="60"/>
      <c r="M991" s="60"/>
      <c r="N991" s="60"/>
      <c r="O991" s="60"/>
      <c r="P991" s="60"/>
    </row>
    <row r="992" ht="15.75" customHeight="1">
      <c r="A992" s="60"/>
      <c r="B992" s="60"/>
      <c r="C992" s="60"/>
      <c r="D992" s="60"/>
      <c r="E992" s="60"/>
      <c r="F992" s="60"/>
      <c r="G992" s="60"/>
      <c r="H992" s="61"/>
      <c r="I992" s="60"/>
      <c r="J992" s="60"/>
      <c r="K992" s="62"/>
      <c r="L992" s="60"/>
      <c r="M992" s="60"/>
      <c r="N992" s="60"/>
      <c r="O992" s="60"/>
      <c r="P992" s="60"/>
    </row>
    <row r="993" ht="15.75" customHeight="1">
      <c r="A993" s="60"/>
      <c r="B993" s="60"/>
      <c r="C993" s="60"/>
      <c r="D993" s="60"/>
      <c r="E993" s="60"/>
      <c r="F993" s="60"/>
      <c r="G993" s="60"/>
      <c r="H993" s="61"/>
      <c r="I993" s="60"/>
      <c r="J993" s="60"/>
      <c r="K993" s="62"/>
      <c r="L993" s="60"/>
      <c r="M993" s="60"/>
      <c r="N993" s="60"/>
      <c r="O993" s="60"/>
      <c r="P993" s="60"/>
    </row>
    <row r="994" ht="15.75" customHeight="1">
      <c r="A994" s="60"/>
      <c r="B994" s="60"/>
      <c r="C994" s="60"/>
      <c r="D994" s="60"/>
      <c r="E994" s="60"/>
      <c r="F994" s="60"/>
      <c r="G994" s="60"/>
      <c r="H994" s="61"/>
      <c r="I994" s="60"/>
      <c r="J994" s="60"/>
      <c r="K994" s="62"/>
      <c r="L994" s="60"/>
      <c r="M994" s="60"/>
      <c r="N994" s="60"/>
      <c r="O994" s="60"/>
      <c r="P994" s="60"/>
    </row>
    <row r="995" ht="15.75" customHeight="1">
      <c r="A995" s="60"/>
      <c r="B995" s="60"/>
      <c r="C995" s="60"/>
      <c r="D995" s="60"/>
      <c r="E995" s="60"/>
      <c r="F995" s="60"/>
      <c r="G995" s="60"/>
      <c r="H995" s="61"/>
      <c r="I995" s="60"/>
      <c r="J995" s="60"/>
      <c r="K995" s="62"/>
      <c r="L995" s="60"/>
      <c r="M995" s="60"/>
      <c r="N995" s="60"/>
      <c r="O995" s="60"/>
      <c r="P995" s="60"/>
    </row>
    <row r="996" ht="15.75" customHeight="1">
      <c r="A996" s="60"/>
      <c r="B996" s="60"/>
      <c r="C996" s="60"/>
      <c r="D996" s="60"/>
      <c r="E996" s="60"/>
      <c r="F996" s="60"/>
      <c r="G996" s="60"/>
      <c r="H996" s="61"/>
      <c r="I996" s="60"/>
      <c r="J996" s="60"/>
      <c r="K996" s="62"/>
      <c r="L996" s="60"/>
      <c r="M996" s="60"/>
      <c r="N996" s="60"/>
      <c r="O996" s="60"/>
      <c r="P996" s="60"/>
    </row>
    <row r="997" ht="15.75" customHeight="1">
      <c r="A997" s="60"/>
      <c r="B997" s="60"/>
      <c r="C997" s="60"/>
      <c r="D997" s="60"/>
      <c r="E997" s="60"/>
      <c r="F997" s="60"/>
      <c r="G997" s="60"/>
      <c r="H997" s="61"/>
      <c r="I997" s="60"/>
      <c r="J997" s="60"/>
      <c r="K997" s="62"/>
      <c r="L997" s="60"/>
      <c r="M997" s="60"/>
      <c r="N997" s="60"/>
      <c r="O997" s="60"/>
      <c r="P997" s="60"/>
    </row>
    <row r="998" ht="15.75" customHeight="1">
      <c r="A998" s="60"/>
      <c r="B998" s="60"/>
      <c r="C998" s="60"/>
      <c r="D998" s="60"/>
      <c r="E998" s="60"/>
      <c r="F998" s="60"/>
      <c r="G998" s="60"/>
      <c r="H998" s="61"/>
      <c r="I998" s="60"/>
      <c r="J998" s="60"/>
      <c r="K998" s="62"/>
      <c r="L998" s="60"/>
      <c r="M998" s="60"/>
      <c r="N998" s="60"/>
      <c r="O998" s="60"/>
      <c r="P998" s="60"/>
    </row>
    <row r="999" ht="15.75" customHeight="1">
      <c r="A999" s="60"/>
      <c r="B999" s="60"/>
      <c r="C999" s="60"/>
      <c r="D999" s="60"/>
      <c r="E999" s="60"/>
      <c r="F999" s="60"/>
      <c r="G999" s="60"/>
      <c r="H999" s="61"/>
      <c r="I999" s="60"/>
      <c r="J999" s="60"/>
      <c r="K999" s="62"/>
      <c r="L999" s="60"/>
      <c r="M999" s="60"/>
      <c r="N999" s="60"/>
      <c r="O999" s="60"/>
      <c r="P999" s="60"/>
    </row>
    <row r="1000" ht="15.75" customHeight="1">
      <c r="A1000" s="60"/>
      <c r="B1000" s="60"/>
      <c r="C1000" s="60"/>
      <c r="D1000" s="60"/>
      <c r="E1000" s="60"/>
      <c r="F1000" s="60"/>
      <c r="G1000" s="60"/>
      <c r="H1000" s="61"/>
      <c r="I1000" s="60"/>
      <c r="J1000" s="60"/>
      <c r="K1000" s="62"/>
      <c r="L1000" s="60"/>
      <c r="M1000" s="60"/>
      <c r="N1000" s="60"/>
      <c r="O1000" s="60"/>
      <c r="P1000" s="6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9.5"/>
    <col customWidth="1" min="8" max="8" width="25.5"/>
  </cols>
  <sheetData>
    <row r="1" ht="15.75" customHeight="1">
      <c r="A1" s="56" t="str">
        <f>IFERROR(__xludf.DUMMYFUNCTION("QUERY('Sales Data'!A:L,""Select Col2,Col3, Col4, Col5, Col6, Col7, Col11, Col12"")"),"Month ")</f>
        <v>Month </v>
      </c>
      <c r="B1" s="56" t="str">
        <f>IFERROR(__xludf.DUMMYFUNCTION("""COMPUTED_VALUE"""),"Region")</f>
        <v>Region</v>
      </c>
      <c r="C1" s="56" t="str">
        <f>IFERROR(__xludf.DUMMYFUNCTION("""COMPUTED_VALUE"""),"City")</f>
        <v>City</v>
      </c>
      <c r="D1" s="56" t="str">
        <f>IFERROR(__xludf.DUMMYFUNCTION("""COMPUTED_VALUE"""),"Product")</f>
        <v>Product</v>
      </c>
      <c r="E1" s="56" t="str">
        <f>IFERROR(__xludf.DUMMYFUNCTION("""COMPUTED_VALUE"""),"Old Plan Quantity (Without IPL)")</f>
        <v>Old Plan Quantity (Without IPL)</v>
      </c>
      <c r="F1" s="56" t="str">
        <f>IFERROR(__xludf.DUMMYFUNCTION("""COMPUTED_VALUE"""),"New Plan Quantity (with IPL)")</f>
        <v>New Plan Quantity (with IPL)</v>
      </c>
      <c r="G1" s="56" t="str">
        <f>IFERROR(__xludf.DUMMYFUNCTION("""COMPUTED_VALUE"""),"Old Plan Revenue (without IPL)")</f>
        <v>Old Plan Revenue (without IPL)</v>
      </c>
      <c r="H1" s="56" t="str">
        <f>IFERROR(__xludf.DUMMYFUNCTION("""COMPUTED_VALUE"""),"New Plan Revenue (with IPL)")</f>
        <v>New Plan Revenue (with IPL)</v>
      </c>
    </row>
    <row r="2" ht="15.75" customHeight="1">
      <c r="A2" s="6" t="str">
        <f>IFERROR(__xludf.DUMMYFUNCTION("""COMPUTED_VALUE"""),"January")</f>
        <v>January</v>
      </c>
      <c r="B2" s="6" t="str">
        <f>IFERROR(__xludf.DUMMYFUNCTION("""COMPUTED_VALUE"""),"North")</f>
        <v>North</v>
      </c>
      <c r="C2" s="6" t="str">
        <f>IFERROR(__xludf.DUMMYFUNCTION("""COMPUTED_VALUE"""),"Delhi")</f>
        <v>Delhi</v>
      </c>
      <c r="D2" s="6" t="str">
        <f>IFERROR(__xludf.DUMMYFUNCTION("""COMPUTED_VALUE"""),"ZestVita")</f>
        <v>ZestVita</v>
      </c>
      <c r="E2" s="6">
        <f>IFERROR(__xludf.DUMMYFUNCTION("""COMPUTED_VALUE"""),21497.0)</f>
        <v>21497</v>
      </c>
      <c r="F2" s="6">
        <f>IFERROR(__xludf.DUMMYFUNCTION("""COMPUTED_VALUE"""),26871.0)</f>
        <v>26871</v>
      </c>
      <c r="G2" s="59">
        <f>IFERROR(__xludf.DUMMYFUNCTION("""COMPUTED_VALUE"""),2902095.0)</f>
        <v>2902095</v>
      </c>
      <c r="H2" s="6">
        <f>IFERROR(__xludf.DUMMYFUNCTION("""COMPUTED_VALUE"""),3627585.0)</f>
        <v>3627585</v>
      </c>
    </row>
    <row r="3" ht="15.75" customHeight="1">
      <c r="A3" s="6" t="str">
        <f>IFERROR(__xludf.DUMMYFUNCTION("""COMPUTED_VALUE"""),"January")</f>
        <v>January</v>
      </c>
      <c r="B3" s="6" t="str">
        <f>IFERROR(__xludf.DUMMYFUNCTION("""COMPUTED_VALUE"""),"North")</f>
        <v>North</v>
      </c>
      <c r="C3" s="6" t="str">
        <f>IFERROR(__xludf.DUMMYFUNCTION("""COMPUTED_VALUE"""),"Delhi")</f>
        <v>Delhi</v>
      </c>
      <c r="D3" s="6" t="str">
        <f>IFERROR(__xludf.DUMMYFUNCTION("""COMPUTED_VALUE"""),"NutriKid")</f>
        <v>NutriKid</v>
      </c>
      <c r="E3" s="6">
        <f>IFERROR(__xludf.DUMMYFUNCTION("""COMPUTED_VALUE"""),16650.0)</f>
        <v>16650</v>
      </c>
      <c r="F3" s="6">
        <f>IFERROR(__xludf.DUMMYFUNCTION("""COMPUTED_VALUE"""),20147.0)</f>
        <v>20147</v>
      </c>
      <c r="G3" s="59">
        <f>IFERROR(__xludf.DUMMYFUNCTION("""COMPUTED_VALUE"""),999000.0)</f>
        <v>999000</v>
      </c>
      <c r="H3" s="6">
        <f>IFERROR(__xludf.DUMMYFUNCTION("""COMPUTED_VALUE"""),1208820.0)</f>
        <v>1208820</v>
      </c>
    </row>
    <row r="4" ht="15.75" customHeight="1">
      <c r="A4" s="6" t="str">
        <f>IFERROR(__xludf.DUMMYFUNCTION("""COMPUTED_VALUE"""),"January")</f>
        <v>January</v>
      </c>
      <c r="B4" s="6" t="str">
        <f>IFERROR(__xludf.DUMMYFUNCTION("""COMPUTED_VALUE"""),"East")</f>
        <v>East</v>
      </c>
      <c r="C4" s="6" t="str">
        <f>IFERROR(__xludf.DUMMYFUNCTION("""COMPUTED_VALUE"""),"Kolkata")</f>
        <v>Kolkata</v>
      </c>
      <c r="D4" s="6" t="str">
        <f>IFERROR(__xludf.DUMMYFUNCTION("""COMPUTED_VALUE"""),"ZestVita")</f>
        <v>ZestVita</v>
      </c>
      <c r="E4" s="6">
        <f>IFERROR(__xludf.DUMMYFUNCTION("""COMPUTED_VALUE"""),11470.0)</f>
        <v>11470</v>
      </c>
      <c r="F4" s="6">
        <f>IFERROR(__xludf.DUMMYFUNCTION("""COMPUTED_VALUE"""),12617.0)</f>
        <v>12617</v>
      </c>
      <c r="G4" s="59">
        <f>IFERROR(__xludf.DUMMYFUNCTION("""COMPUTED_VALUE"""),1548450.0)</f>
        <v>1548450</v>
      </c>
      <c r="H4" s="6">
        <f>IFERROR(__xludf.DUMMYFUNCTION("""COMPUTED_VALUE"""),1703295.0)</f>
        <v>1703295</v>
      </c>
    </row>
    <row r="5" ht="15.75" customHeight="1">
      <c r="A5" s="6" t="str">
        <f>IFERROR(__xludf.DUMMYFUNCTION("""COMPUTED_VALUE"""),"January")</f>
        <v>January</v>
      </c>
      <c r="B5" s="6" t="str">
        <f>IFERROR(__xludf.DUMMYFUNCTION("""COMPUTED_VALUE"""),"East")</f>
        <v>East</v>
      </c>
      <c r="C5" s="6" t="str">
        <f>IFERROR(__xludf.DUMMYFUNCTION("""COMPUTED_VALUE"""),"Kolkata")</f>
        <v>Kolkata</v>
      </c>
      <c r="D5" s="6" t="str">
        <f>IFERROR(__xludf.DUMMYFUNCTION("""COMPUTED_VALUE"""),"NutriKid")</f>
        <v>NutriKid</v>
      </c>
      <c r="E5" s="6">
        <f>IFERROR(__xludf.DUMMYFUNCTION("""COMPUTED_VALUE"""),22348.0)</f>
        <v>22348</v>
      </c>
      <c r="F5" s="6">
        <f>IFERROR(__xludf.DUMMYFUNCTION("""COMPUTED_VALUE"""),27488.0)</f>
        <v>27488</v>
      </c>
      <c r="G5" s="59">
        <f>IFERROR(__xludf.DUMMYFUNCTION("""COMPUTED_VALUE"""),1340880.0)</f>
        <v>1340880</v>
      </c>
      <c r="H5" s="6">
        <f>IFERROR(__xludf.DUMMYFUNCTION("""COMPUTED_VALUE"""),1649280.0)</f>
        <v>1649280</v>
      </c>
    </row>
    <row r="6" ht="15.75" customHeight="1">
      <c r="A6" s="6" t="str">
        <f>IFERROR(__xludf.DUMMYFUNCTION("""COMPUTED_VALUE"""),"January")</f>
        <v>January</v>
      </c>
      <c r="B6" s="6" t="str">
        <f>IFERROR(__xludf.DUMMYFUNCTION("""COMPUTED_VALUE"""),"West")</f>
        <v>West</v>
      </c>
      <c r="C6" s="6" t="str">
        <f>IFERROR(__xludf.DUMMYFUNCTION("""COMPUTED_VALUE"""),"Pune")</f>
        <v>Pune</v>
      </c>
      <c r="D6" s="6" t="str">
        <f>IFERROR(__xludf.DUMMYFUNCTION("""COMPUTED_VALUE"""),"ZestVita")</f>
        <v>ZestVita</v>
      </c>
      <c r="E6" s="6">
        <f>IFERROR(__xludf.DUMMYFUNCTION("""COMPUTED_VALUE"""),13727.0)</f>
        <v>13727</v>
      </c>
      <c r="F6" s="6">
        <f>IFERROR(__xludf.DUMMYFUNCTION("""COMPUTED_VALUE"""),15649.0)</f>
        <v>15649</v>
      </c>
      <c r="G6" s="59">
        <f>IFERROR(__xludf.DUMMYFUNCTION("""COMPUTED_VALUE"""),1853145.0)</f>
        <v>1853145</v>
      </c>
      <c r="H6" s="6">
        <f>IFERROR(__xludf.DUMMYFUNCTION("""COMPUTED_VALUE"""),2112615.0)</f>
        <v>2112615</v>
      </c>
    </row>
    <row r="7" ht="15.75" customHeight="1">
      <c r="A7" s="6" t="str">
        <f>IFERROR(__xludf.DUMMYFUNCTION("""COMPUTED_VALUE"""),"January")</f>
        <v>January</v>
      </c>
      <c r="B7" s="6" t="str">
        <f>IFERROR(__xludf.DUMMYFUNCTION("""COMPUTED_VALUE"""),"West")</f>
        <v>West</v>
      </c>
      <c r="C7" s="6" t="str">
        <f>IFERROR(__xludf.DUMMYFUNCTION("""COMPUTED_VALUE"""),"Pune")</f>
        <v>Pune</v>
      </c>
      <c r="D7" s="6" t="str">
        <f>IFERROR(__xludf.DUMMYFUNCTION("""COMPUTED_VALUE"""),"NutriKid")</f>
        <v>NutriKid</v>
      </c>
      <c r="E7" s="6">
        <f>IFERROR(__xludf.DUMMYFUNCTION("""COMPUTED_VALUE"""),15799.0)</f>
        <v>15799</v>
      </c>
      <c r="F7" s="6">
        <f>IFERROR(__xludf.DUMMYFUNCTION("""COMPUTED_VALUE"""),19275.0)</f>
        <v>19275</v>
      </c>
      <c r="G7" s="59">
        <f>IFERROR(__xludf.DUMMYFUNCTION("""COMPUTED_VALUE"""),947940.0)</f>
        <v>947940</v>
      </c>
      <c r="H7" s="6">
        <f>IFERROR(__xludf.DUMMYFUNCTION("""COMPUTED_VALUE"""),1156500.0)</f>
        <v>1156500</v>
      </c>
    </row>
    <row r="8" ht="15.75" customHeight="1">
      <c r="A8" s="6" t="str">
        <f>IFERROR(__xludf.DUMMYFUNCTION("""COMPUTED_VALUE"""),"January")</f>
        <v>January</v>
      </c>
      <c r="B8" s="6" t="str">
        <f>IFERROR(__xludf.DUMMYFUNCTION("""COMPUTED_VALUE"""),"South")</f>
        <v>South</v>
      </c>
      <c r="C8" s="6" t="str">
        <f>IFERROR(__xludf.DUMMYFUNCTION("""COMPUTED_VALUE"""),"Bengaluru")</f>
        <v>Bengaluru</v>
      </c>
      <c r="D8" s="6" t="str">
        <f>IFERROR(__xludf.DUMMYFUNCTION("""COMPUTED_VALUE"""),"ZestVita")</f>
        <v>ZestVita</v>
      </c>
      <c r="E8" s="6">
        <f>IFERROR(__xludf.DUMMYFUNCTION("""COMPUTED_VALUE"""),24827.0)</f>
        <v>24827</v>
      </c>
      <c r="F8" s="6">
        <f>IFERROR(__xludf.DUMMYFUNCTION("""COMPUTED_VALUE"""),30537.0)</f>
        <v>30537</v>
      </c>
      <c r="G8" s="59">
        <f>IFERROR(__xludf.DUMMYFUNCTION("""COMPUTED_VALUE"""),3351645.0)</f>
        <v>3351645</v>
      </c>
      <c r="H8" s="6">
        <f>IFERROR(__xludf.DUMMYFUNCTION("""COMPUTED_VALUE"""),4122495.0)</f>
        <v>4122495</v>
      </c>
    </row>
    <row r="9" ht="15.75" customHeight="1">
      <c r="A9" s="6" t="str">
        <f>IFERROR(__xludf.DUMMYFUNCTION("""COMPUTED_VALUE"""),"January")</f>
        <v>January</v>
      </c>
      <c r="B9" s="6" t="str">
        <f>IFERROR(__xludf.DUMMYFUNCTION("""COMPUTED_VALUE"""),"South")</f>
        <v>South</v>
      </c>
      <c r="C9" s="6" t="str">
        <f>IFERROR(__xludf.DUMMYFUNCTION("""COMPUTED_VALUE"""),"Bengaluru")</f>
        <v>Bengaluru</v>
      </c>
      <c r="D9" s="6" t="str">
        <f>IFERROR(__xludf.DUMMYFUNCTION("""COMPUTED_VALUE"""),"NutriKid")</f>
        <v>NutriKid</v>
      </c>
      <c r="E9" s="6">
        <f>IFERROR(__xludf.DUMMYFUNCTION("""COMPUTED_VALUE"""),13468.0)</f>
        <v>13468</v>
      </c>
      <c r="F9" s="6">
        <f>IFERROR(__xludf.DUMMYFUNCTION("""COMPUTED_VALUE"""),14949.0)</f>
        <v>14949</v>
      </c>
      <c r="G9" s="59">
        <f>IFERROR(__xludf.DUMMYFUNCTION("""COMPUTED_VALUE"""),808080.0)</f>
        <v>808080</v>
      </c>
      <c r="H9" s="6">
        <f>IFERROR(__xludf.DUMMYFUNCTION("""COMPUTED_VALUE"""),896940.0)</f>
        <v>896940</v>
      </c>
    </row>
    <row r="10" ht="15.75" customHeight="1">
      <c r="A10" s="6" t="str">
        <f>IFERROR(__xludf.DUMMYFUNCTION("""COMPUTED_VALUE"""),"January")</f>
        <v>January</v>
      </c>
      <c r="B10" s="6" t="str">
        <f>IFERROR(__xludf.DUMMYFUNCTION("""COMPUTED_VALUE"""),"North")</f>
        <v>North</v>
      </c>
      <c r="C10" s="6" t="str">
        <f>IFERROR(__xludf.DUMMYFUNCTION("""COMPUTED_VALUE"""),"Chandigarh")</f>
        <v>Chandigarh</v>
      </c>
      <c r="D10" s="6" t="str">
        <f>IFERROR(__xludf.DUMMYFUNCTION("""COMPUTED_VALUE"""),"ZestVita")</f>
        <v>ZestVita</v>
      </c>
      <c r="E10" s="6">
        <f>IFERROR(__xludf.DUMMYFUNCTION("""COMPUTED_VALUE"""),22237.0)</f>
        <v>22237</v>
      </c>
      <c r="F10" s="6">
        <f>IFERROR(__xludf.DUMMYFUNCTION("""COMPUTED_VALUE"""),24683.0)</f>
        <v>24683</v>
      </c>
      <c r="G10" s="59">
        <f>IFERROR(__xludf.DUMMYFUNCTION("""COMPUTED_VALUE"""),3001995.0)</f>
        <v>3001995</v>
      </c>
      <c r="H10" s="6">
        <f>IFERROR(__xludf.DUMMYFUNCTION("""COMPUTED_VALUE"""),3332205.0)</f>
        <v>3332205</v>
      </c>
    </row>
    <row r="11" ht="15.75" customHeight="1">
      <c r="A11" s="6" t="str">
        <f>IFERROR(__xludf.DUMMYFUNCTION("""COMPUTED_VALUE"""),"January")</f>
        <v>January</v>
      </c>
      <c r="B11" s="6" t="str">
        <f>IFERROR(__xludf.DUMMYFUNCTION("""COMPUTED_VALUE"""),"North")</f>
        <v>North</v>
      </c>
      <c r="C11" s="6" t="str">
        <f>IFERROR(__xludf.DUMMYFUNCTION("""COMPUTED_VALUE"""),"Chandigarh")</f>
        <v>Chandigarh</v>
      </c>
      <c r="D11" s="6" t="str">
        <f>IFERROR(__xludf.DUMMYFUNCTION("""COMPUTED_VALUE"""),"NutriKid")</f>
        <v>NutriKid</v>
      </c>
      <c r="E11" s="6">
        <f>IFERROR(__xludf.DUMMYFUNCTION("""COMPUTED_VALUE"""),23421.0)</f>
        <v>23421</v>
      </c>
      <c r="F11" s="6">
        <f>IFERROR(__xludf.DUMMYFUNCTION("""COMPUTED_VALUE"""),29042.0)</f>
        <v>29042</v>
      </c>
      <c r="G11" s="59">
        <f>IFERROR(__xludf.DUMMYFUNCTION("""COMPUTED_VALUE"""),1405260.0)</f>
        <v>1405260</v>
      </c>
      <c r="H11" s="6">
        <f>IFERROR(__xludf.DUMMYFUNCTION("""COMPUTED_VALUE"""),1742520.0)</f>
        <v>1742520</v>
      </c>
    </row>
    <row r="12" ht="15.75" customHeight="1">
      <c r="A12" s="6" t="str">
        <f>IFERROR(__xludf.DUMMYFUNCTION("""COMPUTED_VALUE"""),"January")</f>
        <v>January</v>
      </c>
      <c r="B12" s="6" t="str">
        <f>IFERROR(__xludf.DUMMYFUNCTION("""COMPUTED_VALUE"""),"East")</f>
        <v>East</v>
      </c>
      <c r="C12" s="6" t="str">
        <f>IFERROR(__xludf.DUMMYFUNCTION("""COMPUTED_VALUE"""),"Bhubaneswar")</f>
        <v>Bhubaneswar</v>
      </c>
      <c r="D12" s="6" t="str">
        <f>IFERROR(__xludf.DUMMYFUNCTION("""COMPUTED_VALUE"""),"ZestVita")</f>
        <v>ZestVita</v>
      </c>
      <c r="E12" s="6">
        <f>IFERROR(__xludf.DUMMYFUNCTION("""COMPUTED_VALUE"""),13092.0)</f>
        <v>13092</v>
      </c>
      <c r="F12" s="6">
        <f>IFERROR(__xludf.DUMMYFUNCTION("""COMPUTED_VALUE"""),13878.0)</f>
        <v>13878</v>
      </c>
      <c r="G12" s="59">
        <f>IFERROR(__xludf.DUMMYFUNCTION("""COMPUTED_VALUE"""),1546492.5)</f>
        <v>1546492.5</v>
      </c>
      <c r="H12" s="6">
        <f>IFERROR(__xludf.DUMMYFUNCTION("""COMPUTED_VALUE"""),1873530.0)</f>
        <v>1873530</v>
      </c>
    </row>
    <row r="13" ht="15.75" customHeight="1">
      <c r="A13" s="6" t="str">
        <f>IFERROR(__xludf.DUMMYFUNCTION("""COMPUTED_VALUE"""),"January")</f>
        <v>January</v>
      </c>
      <c r="B13" s="6" t="str">
        <f>IFERROR(__xludf.DUMMYFUNCTION("""COMPUTED_VALUE"""),"East")</f>
        <v>East</v>
      </c>
      <c r="C13" s="6" t="str">
        <f>IFERROR(__xludf.DUMMYFUNCTION("""COMPUTED_VALUE"""),"Bhubaneswar")</f>
        <v>Bhubaneswar</v>
      </c>
      <c r="D13" s="6" t="str">
        <f>IFERROR(__xludf.DUMMYFUNCTION("""COMPUTED_VALUE"""),"NutriKid")</f>
        <v>NutriKid</v>
      </c>
      <c r="E13" s="6">
        <f>IFERROR(__xludf.DUMMYFUNCTION("""COMPUTED_VALUE"""),17172.0)</f>
        <v>17172</v>
      </c>
      <c r="F13" s="6">
        <f>IFERROR(__xludf.DUMMYFUNCTION("""COMPUTED_VALUE"""),18546.0)</f>
        <v>18546</v>
      </c>
      <c r="G13" s="59">
        <f>IFERROR(__xludf.DUMMYFUNCTION("""COMPUTED_VALUE"""),901530.0)</f>
        <v>901530</v>
      </c>
      <c r="H13" s="6">
        <f>IFERROR(__xludf.DUMMYFUNCTION("""COMPUTED_VALUE"""),1112760.0)</f>
        <v>1112760</v>
      </c>
    </row>
    <row r="14" ht="15.75" customHeight="1">
      <c r="A14" s="6" t="str">
        <f>IFERROR(__xludf.DUMMYFUNCTION("""COMPUTED_VALUE"""),"January")</f>
        <v>January</v>
      </c>
      <c r="B14" s="6" t="str">
        <f>IFERROR(__xludf.DUMMYFUNCTION("""COMPUTED_VALUE"""),"West")</f>
        <v>West</v>
      </c>
      <c r="C14" s="6" t="str">
        <f>IFERROR(__xludf.DUMMYFUNCTION("""COMPUTED_VALUE"""),"Ahmedabad")</f>
        <v>Ahmedabad</v>
      </c>
      <c r="D14" s="6" t="str">
        <f>IFERROR(__xludf.DUMMYFUNCTION("""COMPUTED_VALUE"""),"ZestVita")</f>
        <v>ZestVita</v>
      </c>
      <c r="E14" s="6">
        <f>IFERROR(__xludf.DUMMYFUNCTION("""COMPUTED_VALUE"""),19536.0)</f>
        <v>19536</v>
      </c>
      <c r="F14" s="6">
        <f>IFERROR(__xludf.DUMMYFUNCTION("""COMPUTED_VALUE"""),23248.0)</f>
        <v>23248</v>
      </c>
      <c r="G14" s="59">
        <f>IFERROR(__xludf.DUMMYFUNCTION("""COMPUTED_VALUE"""),2637360.0)</f>
        <v>2637360</v>
      </c>
      <c r="H14" s="6">
        <f>IFERROR(__xludf.DUMMYFUNCTION("""COMPUTED_VALUE"""),3138480.0)</f>
        <v>3138480</v>
      </c>
    </row>
    <row r="15" ht="15.75" customHeight="1">
      <c r="A15" s="6" t="str">
        <f>IFERROR(__xludf.DUMMYFUNCTION("""COMPUTED_VALUE"""),"January")</f>
        <v>January</v>
      </c>
      <c r="B15" s="6" t="str">
        <f>IFERROR(__xludf.DUMMYFUNCTION("""COMPUTED_VALUE"""),"West")</f>
        <v>West</v>
      </c>
      <c r="C15" s="6" t="str">
        <f>IFERROR(__xludf.DUMMYFUNCTION("""COMPUTED_VALUE"""),"Ahmedabad")</f>
        <v>Ahmedabad</v>
      </c>
      <c r="D15" s="6" t="str">
        <f>IFERROR(__xludf.DUMMYFUNCTION("""COMPUTED_VALUE"""),"NutriKid")</f>
        <v>NutriKid</v>
      </c>
      <c r="E15" s="6">
        <f>IFERROR(__xludf.DUMMYFUNCTION("""COMPUTED_VALUE"""),11359.0)</f>
        <v>11359</v>
      </c>
      <c r="F15" s="6">
        <f>IFERROR(__xludf.DUMMYFUNCTION("""COMPUTED_VALUE"""),13176.0)</f>
        <v>13176</v>
      </c>
      <c r="G15" s="59">
        <f>IFERROR(__xludf.DUMMYFUNCTION("""COMPUTED_VALUE"""),681540.0)</f>
        <v>681540</v>
      </c>
      <c r="H15" s="6">
        <f>IFERROR(__xludf.DUMMYFUNCTION("""COMPUTED_VALUE"""),790560.0)</f>
        <v>790560</v>
      </c>
    </row>
    <row r="16" ht="15.75" customHeight="1">
      <c r="A16" s="6" t="str">
        <f>IFERROR(__xludf.DUMMYFUNCTION("""COMPUTED_VALUE"""),"January")</f>
        <v>January</v>
      </c>
      <c r="B16" s="6" t="str">
        <f>IFERROR(__xludf.DUMMYFUNCTION("""COMPUTED_VALUE"""),"South")</f>
        <v>South</v>
      </c>
      <c r="C16" s="6" t="str">
        <f>IFERROR(__xludf.DUMMYFUNCTION("""COMPUTED_VALUE"""),"Chennai")</f>
        <v>Chennai</v>
      </c>
      <c r="D16" s="6" t="str">
        <f>IFERROR(__xludf.DUMMYFUNCTION("""COMPUTED_VALUE"""),"ZestVita")</f>
        <v>ZestVita</v>
      </c>
      <c r="E16" s="6">
        <f>IFERROR(__xludf.DUMMYFUNCTION("""COMPUTED_VALUE"""),12062.0)</f>
        <v>12062</v>
      </c>
      <c r="F16" s="6">
        <f>IFERROR(__xludf.DUMMYFUNCTION("""COMPUTED_VALUE"""),13268.0)</f>
        <v>13268</v>
      </c>
      <c r="G16" s="59">
        <f>IFERROR(__xludf.DUMMYFUNCTION("""COMPUTED_VALUE"""),1628370.0)</f>
        <v>1628370</v>
      </c>
      <c r="H16" s="6">
        <f>IFERROR(__xludf.DUMMYFUNCTION("""COMPUTED_VALUE"""),1791180.0)</f>
        <v>1791180</v>
      </c>
    </row>
    <row r="17" ht="15.75" customHeight="1">
      <c r="A17" s="6" t="str">
        <f>IFERROR(__xludf.DUMMYFUNCTION("""COMPUTED_VALUE"""),"January")</f>
        <v>January</v>
      </c>
      <c r="B17" s="6" t="str">
        <f>IFERROR(__xludf.DUMMYFUNCTION("""COMPUTED_VALUE"""),"South")</f>
        <v>South</v>
      </c>
      <c r="C17" s="6" t="str">
        <f>IFERROR(__xludf.DUMMYFUNCTION("""COMPUTED_VALUE"""),"Chennai")</f>
        <v>Chennai</v>
      </c>
      <c r="D17" s="6" t="str">
        <f>IFERROR(__xludf.DUMMYFUNCTION("""COMPUTED_VALUE"""),"NutriKid")</f>
        <v>NutriKid</v>
      </c>
      <c r="E17" s="6">
        <f>IFERROR(__xludf.DUMMYFUNCTION("""COMPUTED_VALUE"""),13579.0)</f>
        <v>13579</v>
      </c>
      <c r="F17" s="6">
        <f>IFERROR(__xludf.DUMMYFUNCTION("""COMPUTED_VALUE"""),16702.0)</f>
        <v>16702</v>
      </c>
      <c r="G17" s="59">
        <f>IFERROR(__xludf.DUMMYFUNCTION("""COMPUTED_VALUE"""),814740.0)</f>
        <v>814740</v>
      </c>
      <c r="H17" s="6">
        <f>IFERROR(__xludf.DUMMYFUNCTION("""COMPUTED_VALUE"""),1002120.0)</f>
        <v>1002120</v>
      </c>
    </row>
    <row r="18" ht="15.75" customHeight="1">
      <c r="A18" s="6" t="str">
        <f>IFERROR(__xludf.DUMMYFUNCTION("""COMPUTED_VALUE"""),"January")</f>
        <v>January</v>
      </c>
      <c r="B18" s="6" t="str">
        <f>IFERROR(__xludf.DUMMYFUNCTION("""COMPUTED_VALUE"""),"North")</f>
        <v>North</v>
      </c>
      <c r="C18" s="6" t="str">
        <f>IFERROR(__xludf.DUMMYFUNCTION("""COMPUTED_VALUE"""),"Lucknow")</f>
        <v>Lucknow</v>
      </c>
      <c r="D18" s="6" t="str">
        <f>IFERROR(__xludf.DUMMYFUNCTION("""COMPUTED_VALUE"""),"ZestVita")</f>
        <v>ZestVita</v>
      </c>
      <c r="E18" s="6">
        <f>IFERROR(__xludf.DUMMYFUNCTION("""COMPUTED_VALUE"""),22339.0)</f>
        <v>22339</v>
      </c>
      <c r="F18" s="6">
        <f>IFERROR(__xludf.DUMMYFUNCTION("""COMPUTED_VALUE"""),25913.0)</f>
        <v>25913</v>
      </c>
      <c r="G18" s="59">
        <f>IFERROR(__xludf.DUMMYFUNCTION("""COMPUTED_VALUE"""),2714188.5)</f>
        <v>2714188.5</v>
      </c>
      <c r="H18" s="6">
        <f>IFERROR(__xludf.DUMMYFUNCTION("""COMPUTED_VALUE"""),3498255.0)</f>
        <v>3498255</v>
      </c>
    </row>
    <row r="19" ht="15.75" customHeight="1">
      <c r="A19" s="6" t="str">
        <f>IFERROR(__xludf.DUMMYFUNCTION("""COMPUTED_VALUE"""),"January")</f>
        <v>January</v>
      </c>
      <c r="B19" s="6" t="str">
        <f>IFERROR(__xludf.DUMMYFUNCTION("""COMPUTED_VALUE"""),"North")</f>
        <v>North</v>
      </c>
      <c r="C19" s="6" t="str">
        <f>IFERROR(__xludf.DUMMYFUNCTION("""COMPUTED_VALUE"""),"Lucknow")</f>
        <v>Lucknow</v>
      </c>
      <c r="D19" s="6" t="str">
        <f>IFERROR(__xludf.DUMMYFUNCTION("""COMPUTED_VALUE"""),"NutriKid")</f>
        <v>NutriKid</v>
      </c>
      <c r="E19" s="6">
        <f>IFERROR(__xludf.DUMMYFUNCTION("""COMPUTED_VALUE"""),19542.0)</f>
        <v>19542</v>
      </c>
      <c r="F19" s="6">
        <f>IFERROR(__xludf.DUMMYFUNCTION("""COMPUTED_VALUE"""),22082.0)</f>
        <v>22082</v>
      </c>
      <c r="G19" s="59">
        <f>IFERROR(__xludf.DUMMYFUNCTION("""COMPUTED_VALUE"""),1055268.0)</f>
        <v>1055268</v>
      </c>
      <c r="H19" s="6">
        <f>IFERROR(__xludf.DUMMYFUNCTION("""COMPUTED_VALUE"""),1324920.0)</f>
        <v>1324920</v>
      </c>
    </row>
    <row r="20" ht="15.75" customHeight="1">
      <c r="A20" s="6" t="str">
        <f>IFERROR(__xludf.DUMMYFUNCTION("""COMPUTED_VALUE"""),"January")</f>
        <v>January</v>
      </c>
      <c r="B20" s="6" t="str">
        <f>IFERROR(__xludf.DUMMYFUNCTION("""COMPUTED_VALUE"""),"East")</f>
        <v>East</v>
      </c>
      <c r="C20" s="6" t="str">
        <f>IFERROR(__xludf.DUMMYFUNCTION("""COMPUTED_VALUE"""),"Ranchi")</f>
        <v>Ranchi</v>
      </c>
      <c r="D20" s="6" t="str">
        <f>IFERROR(__xludf.DUMMYFUNCTION("""COMPUTED_VALUE"""),"ZestVita")</f>
        <v>ZestVita</v>
      </c>
      <c r="E20" s="6">
        <f>IFERROR(__xludf.DUMMYFUNCTION("""COMPUTED_VALUE"""),25253.0)</f>
        <v>25253</v>
      </c>
      <c r="F20" s="6">
        <f>IFERROR(__xludf.DUMMYFUNCTION("""COMPUTED_VALUE"""),27273.0)</f>
        <v>27273</v>
      </c>
      <c r="G20" s="59">
        <f>IFERROR(__xludf.DUMMYFUNCTION("""COMPUTED_VALUE"""),3238697.25)</f>
        <v>3238697.25</v>
      </c>
      <c r="H20" s="6">
        <f>IFERROR(__xludf.DUMMYFUNCTION("""COMPUTED_VALUE"""),3681855.0)</f>
        <v>3681855</v>
      </c>
    </row>
    <row r="21" ht="15.75" customHeight="1">
      <c r="A21" s="6" t="str">
        <f>IFERROR(__xludf.DUMMYFUNCTION("""COMPUTED_VALUE"""),"January")</f>
        <v>January</v>
      </c>
      <c r="B21" s="6" t="str">
        <f>IFERROR(__xludf.DUMMYFUNCTION("""COMPUTED_VALUE"""),"East")</f>
        <v>East</v>
      </c>
      <c r="C21" s="6" t="str">
        <f>IFERROR(__xludf.DUMMYFUNCTION("""COMPUTED_VALUE"""),"Ranchi")</f>
        <v>Ranchi</v>
      </c>
      <c r="D21" s="6" t="str">
        <f>IFERROR(__xludf.DUMMYFUNCTION("""COMPUTED_VALUE"""),"NutriKid")</f>
        <v>NutriKid</v>
      </c>
      <c r="E21" s="6">
        <f>IFERROR(__xludf.DUMMYFUNCTION("""COMPUTED_VALUE"""),15890.0)</f>
        <v>15890</v>
      </c>
      <c r="F21" s="6">
        <f>IFERROR(__xludf.DUMMYFUNCTION("""COMPUTED_VALUE"""),16208.0)</f>
        <v>16208</v>
      </c>
      <c r="G21" s="59">
        <f>IFERROR(__xludf.DUMMYFUNCTION("""COMPUTED_VALUE"""),905730.0)</f>
        <v>905730</v>
      </c>
      <c r="H21" s="6">
        <f>IFERROR(__xludf.DUMMYFUNCTION("""COMPUTED_VALUE"""),972480.0)</f>
        <v>972480</v>
      </c>
    </row>
    <row r="22" ht="15.75" customHeight="1">
      <c r="A22" s="6" t="str">
        <f>IFERROR(__xludf.DUMMYFUNCTION("""COMPUTED_VALUE"""),"January")</f>
        <v>January</v>
      </c>
      <c r="B22" s="6" t="str">
        <f>IFERROR(__xludf.DUMMYFUNCTION("""COMPUTED_VALUE"""),"West")</f>
        <v>West</v>
      </c>
      <c r="C22" s="6" t="str">
        <f>IFERROR(__xludf.DUMMYFUNCTION("""COMPUTED_VALUE"""),"Surat")</f>
        <v>Surat</v>
      </c>
      <c r="D22" s="6" t="str">
        <f>IFERROR(__xludf.DUMMYFUNCTION("""COMPUTED_VALUE"""),"ZestVita")</f>
        <v>ZestVita</v>
      </c>
      <c r="E22" s="6">
        <f>IFERROR(__xludf.DUMMYFUNCTION("""COMPUTED_VALUE"""),17834.0)</f>
        <v>17834</v>
      </c>
      <c r="F22" s="6">
        <f>IFERROR(__xludf.DUMMYFUNCTION("""COMPUTED_VALUE"""),18547.0)</f>
        <v>18547</v>
      </c>
      <c r="G22" s="59">
        <f>IFERROR(__xludf.DUMMYFUNCTION("""COMPUTED_VALUE"""),2287210.5)</f>
        <v>2287210.5</v>
      </c>
      <c r="H22" s="6">
        <f>IFERROR(__xludf.DUMMYFUNCTION("""COMPUTED_VALUE"""),2503845.0)</f>
        <v>2503845</v>
      </c>
    </row>
    <row r="23" ht="15.75" customHeight="1">
      <c r="A23" s="6" t="str">
        <f>IFERROR(__xludf.DUMMYFUNCTION("""COMPUTED_VALUE"""),"January")</f>
        <v>January</v>
      </c>
      <c r="B23" s="6" t="str">
        <f>IFERROR(__xludf.DUMMYFUNCTION("""COMPUTED_VALUE"""),"West")</f>
        <v>West</v>
      </c>
      <c r="C23" s="6" t="str">
        <f>IFERROR(__xludf.DUMMYFUNCTION("""COMPUTED_VALUE"""),"Surat")</f>
        <v>Surat</v>
      </c>
      <c r="D23" s="6" t="str">
        <f>IFERROR(__xludf.DUMMYFUNCTION("""COMPUTED_VALUE"""),"NutriKid")</f>
        <v>NutriKid</v>
      </c>
      <c r="E23" s="6">
        <f>IFERROR(__xludf.DUMMYFUNCTION("""COMPUTED_VALUE"""),14097.0)</f>
        <v>14097</v>
      </c>
      <c r="F23" s="6">
        <f>IFERROR(__xludf.DUMMYFUNCTION("""COMPUTED_VALUE"""),14943.0)</f>
        <v>14943</v>
      </c>
      <c r="G23" s="59">
        <f>IFERROR(__xludf.DUMMYFUNCTION("""COMPUTED_VALUE"""),803529.0)</f>
        <v>803529</v>
      </c>
      <c r="H23" s="6">
        <f>IFERROR(__xludf.DUMMYFUNCTION("""COMPUTED_VALUE"""),896580.0)</f>
        <v>896580</v>
      </c>
    </row>
    <row r="24" ht="15.75" customHeight="1">
      <c r="A24" s="6" t="str">
        <f>IFERROR(__xludf.DUMMYFUNCTION("""COMPUTED_VALUE"""),"January")</f>
        <v>January</v>
      </c>
      <c r="B24" s="6" t="str">
        <f>IFERROR(__xludf.DUMMYFUNCTION("""COMPUTED_VALUE"""),"South")</f>
        <v>South</v>
      </c>
      <c r="C24" s="6" t="str">
        <f>IFERROR(__xludf.DUMMYFUNCTION("""COMPUTED_VALUE"""),"Hyderabad")</f>
        <v>Hyderabad</v>
      </c>
      <c r="D24" s="6" t="str">
        <f>IFERROR(__xludf.DUMMYFUNCTION("""COMPUTED_VALUE"""),"ZestVita")</f>
        <v>ZestVita</v>
      </c>
      <c r="E24" s="6">
        <f>IFERROR(__xludf.DUMMYFUNCTION("""COMPUTED_VALUE"""),24642.0)</f>
        <v>24642</v>
      </c>
      <c r="F24" s="6">
        <f>IFERROR(__xludf.DUMMYFUNCTION("""COMPUTED_VALUE"""),29078.0)</f>
        <v>29078</v>
      </c>
      <c r="G24" s="59">
        <f>IFERROR(__xludf.DUMMYFUNCTION("""COMPUTED_VALUE"""),3326670.0)</f>
        <v>3326670</v>
      </c>
      <c r="H24" s="6">
        <f>IFERROR(__xludf.DUMMYFUNCTION("""COMPUTED_VALUE"""),3925530.0)</f>
        <v>3925530</v>
      </c>
    </row>
    <row r="25" ht="15.75" customHeight="1">
      <c r="A25" s="6" t="str">
        <f>IFERROR(__xludf.DUMMYFUNCTION("""COMPUTED_VALUE"""),"January")</f>
        <v>January</v>
      </c>
      <c r="B25" s="6" t="str">
        <f>IFERROR(__xludf.DUMMYFUNCTION("""COMPUTED_VALUE"""),"South")</f>
        <v>South</v>
      </c>
      <c r="C25" s="6" t="str">
        <f>IFERROR(__xludf.DUMMYFUNCTION("""COMPUTED_VALUE"""),"Hyderabad")</f>
        <v>Hyderabad</v>
      </c>
      <c r="D25" s="6" t="str">
        <f>IFERROR(__xludf.DUMMYFUNCTION("""COMPUTED_VALUE"""),"NutriKid")</f>
        <v>NutriKid</v>
      </c>
      <c r="E25" s="6">
        <f>IFERROR(__xludf.DUMMYFUNCTION("""COMPUTED_VALUE"""),24864.0)</f>
        <v>24864</v>
      </c>
      <c r="F25" s="6">
        <f>IFERROR(__xludf.DUMMYFUNCTION("""COMPUTED_VALUE"""),29588.0)</f>
        <v>29588</v>
      </c>
      <c r="G25" s="59">
        <f>IFERROR(__xludf.DUMMYFUNCTION("""COMPUTED_VALUE"""),1491840.0)</f>
        <v>1491840</v>
      </c>
      <c r="H25" s="6">
        <f>IFERROR(__xludf.DUMMYFUNCTION("""COMPUTED_VALUE"""),1775280.0)</f>
        <v>1775280</v>
      </c>
    </row>
    <row r="26" ht="15.75" customHeight="1">
      <c r="A26" s="6" t="str">
        <f>IFERROR(__xludf.DUMMYFUNCTION("""COMPUTED_VALUE"""),"January")</f>
        <v>January</v>
      </c>
      <c r="B26" s="6" t="str">
        <f>IFERROR(__xludf.DUMMYFUNCTION("""COMPUTED_VALUE"""),"North")</f>
        <v>North</v>
      </c>
      <c r="C26" s="6" t="str">
        <f>IFERROR(__xludf.DUMMYFUNCTION("""COMPUTED_VALUE"""),"Dehradun")</f>
        <v>Dehradun</v>
      </c>
      <c r="D26" s="6" t="str">
        <f>IFERROR(__xludf.DUMMYFUNCTION("""COMPUTED_VALUE"""),"ZestVita")</f>
        <v>ZestVita</v>
      </c>
      <c r="E26" s="6">
        <f>IFERROR(__xludf.DUMMYFUNCTION("""COMPUTED_VALUE"""),20824.0)</f>
        <v>20824</v>
      </c>
      <c r="F26" s="6">
        <f>IFERROR(__xludf.DUMMYFUNCTION("""COMPUTED_VALUE"""),22490.0)</f>
        <v>22490</v>
      </c>
      <c r="G26" s="59">
        <f>IFERROR(__xludf.DUMMYFUNCTION("""COMPUTED_VALUE"""),2459835.0)</f>
        <v>2459835</v>
      </c>
      <c r="H26" s="6">
        <f>IFERROR(__xludf.DUMMYFUNCTION("""COMPUTED_VALUE"""),3036150.0)</f>
        <v>3036150</v>
      </c>
    </row>
    <row r="27" ht="15.75" customHeight="1">
      <c r="A27" s="6" t="str">
        <f>IFERROR(__xludf.DUMMYFUNCTION("""COMPUTED_VALUE"""),"January")</f>
        <v>January</v>
      </c>
      <c r="B27" s="6" t="str">
        <f>IFERROR(__xludf.DUMMYFUNCTION("""COMPUTED_VALUE"""),"North")</f>
        <v>North</v>
      </c>
      <c r="C27" s="6" t="str">
        <f>IFERROR(__xludf.DUMMYFUNCTION("""COMPUTED_VALUE"""),"Dehradun")</f>
        <v>Dehradun</v>
      </c>
      <c r="D27" s="6" t="str">
        <f>IFERROR(__xludf.DUMMYFUNCTION("""COMPUTED_VALUE"""),"NutriKid")</f>
        <v>NutriKid</v>
      </c>
      <c r="E27" s="6">
        <f>IFERROR(__xludf.DUMMYFUNCTION("""COMPUTED_VALUE"""),12937.0)</f>
        <v>12937</v>
      </c>
      <c r="F27" s="6">
        <f>IFERROR(__xludf.DUMMYFUNCTION("""COMPUTED_VALUE"""),13584.0)</f>
        <v>13584</v>
      </c>
      <c r="G27" s="59">
        <f>IFERROR(__xludf.DUMMYFUNCTION("""COMPUTED_VALUE"""),679192.5)</f>
        <v>679192.5</v>
      </c>
      <c r="H27" s="6">
        <f>IFERROR(__xludf.DUMMYFUNCTION("""COMPUTED_VALUE"""),815040.0)</f>
        <v>815040</v>
      </c>
    </row>
    <row r="28" ht="15.75" customHeight="1">
      <c r="A28" s="6" t="str">
        <f>IFERROR(__xludf.DUMMYFUNCTION("""COMPUTED_VALUE"""),"January")</f>
        <v>January</v>
      </c>
      <c r="B28" s="6" t="str">
        <f>IFERROR(__xludf.DUMMYFUNCTION("""COMPUTED_VALUE"""),"South")</f>
        <v>South</v>
      </c>
      <c r="C28" s="6" t="str">
        <f>IFERROR(__xludf.DUMMYFUNCTION("""COMPUTED_VALUE"""),"Kochi")</f>
        <v>Kochi</v>
      </c>
      <c r="D28" s="6" t="str">
        <f>IFERROR(__xludf.DUMMYFUNCTION("""COMPUTED_VALUE"""),"ZestVita")</f>
        <v>ZestVita</v>
      </c>
      <c r="E28" s="6">
        <f>IFERROR(__xludf.DUMMYFUNCTION("""COMPUTED_VALUE"""),22650.0)</f>
        <v>22650</v>
      </c>
      <c r="F28" s="6">
        <f>IFERROR(__xludf.DUMMYFUNCTION("""COMPUTED_VALUE"""),23556.0)</f>
        <v>23556</v>
      </c>
      <c r="G28" s="59">
        <f>IFERROR(__xludf.DUMMYFUNCTION("""COMPUTED_VALUE"""),2751975.0)</f>
        <v>2751975</v>
      </c>
      <c r="H28" s="6">
        <f>IFERROR(__xludf.DUMMYFUNCTION("""COMPUTED_VALUE"""),3180060.0)</f>
        <v>3180060</v>
      </c>
    </row>
    <row r="29" ht="15.75" customHeight="1">
      <c r="A29" s="6" t="str">
        <f>IFERROR(__xludf.DUMMYFUNCTION("""COMPUTED_VALUE"""),"January")</f>
        <v>January</v>
      </c>
      <c r="B29" s="6" t="str">
        <f>IFERROR(__xludf.DUMMYFUNCTION("""COMPUTED_VALUE"""),"South")</f>
        <v>South</v>
      </c>
      <c r="C29" s="6" t="str">
        <f>IFERROR(__xludf.DUMMYFUNCTION("""COMPUTED_VALUE"""),"Kochi")</f>
        <v>Kochi</v>
      </c>
      <c r="D29" s="6" t="str">
        <f>IFERROR(__xludf.DUMMYFUNCTION("""COMPUTED_VALUE"""),"NutriKid")</f>
        <v>NutriKid</v>
      </c>
      <c r="E29" s="6">
        <f>IFERROR(__xludf.DUMMYFUNCTION("""COMPUTED_VALUE"""),13986.0)</f>
        <v>13986</v>
      </c>
      <c r="F29" s="6">
        <f>IFERROR(__xludf.DUMMYFUNCTION("""COMPUTED_VALUE"""),14545.0)</f>
        <v>14545</v>
      </c>
      <c r="G29" s="59">
        <f>IFERROR(__xludf.DUMMYFUNCTION("""COMPUTED_VALUE"""),755244.0)</f>
        <v>755244</v>
      </c>
      <c r="H29" s="6">
        <f>IFERROR(__xludf.DUMMYFUNCTION("""COMPUTED_VALUE"""),872700.0)</f>
        <v>872700</v>
      </c>
    </row>
    <row r="30" ht="15.75" customHeight="1">
      <c r="A30" s="6" t="str">
        <f>IFERROR(__xludf.DUMMYFUNCTION("""COMPUTED_VALUE"""),"January")</f>
        <v>January</v>
      </c>
      <c r="B30" s="6" t="str">
        <f>IFERROR(__xludf.DUMMYFUNCTION("""COMPUTED_VALUE"""),"West")</f>
        <v>West</v>
      </c>
      <c r="C30" s="6" t="str">
        <f>IFERROR(__xludf.DUMMYFUNCTION("""COMPUTED_VALUE"""),"Jaipur")</f>
        <v>Jaipur</v>
      </c>
      <c r="D30" s="6" t="str">
        <f>IFERROR(__xludf.DUMMYFUNCTION("""COMPUTED_VALUE"""),"ZestVita")</f>
        <v>ZestVita</v>
      </c>
      <c r="E30" s="6">
        <f>IFERROR(__xludf.DUMMYFUNCTION("""COMPUTED_VALUE"""),20091.0)</f>
        <v>20091</v>
      </c>
      <c r="F30" s="6">
        <f>IFERROR(__xludf.DUMMYFUNCTION("""COMPUTED_VALUE"""),23105.0)</f>
        <v>23105</v>
      </c>
      <c r="G30" s="59">
        <f>IFERROR(__xludf.DUMMYFUNCTION("""COMPUTED_VALUE"""),2712285.0)</f>
        <v>2712285</v>
      </c>
      <c r="H30" s="6">
        <f>IFERROR(__xludf.DUMMYFUNCTION("""COMPUTED_VALUE"""),3119175.0)</f>
        <v>3119175</v>
      </c>
    </row>
    <row r="31" ht="15.75" customHeight="1">
      <c r="A31" s="6" t="str">
        <f>IFERROR(__xludf.DUMMYFUNCTION("""COMPUTED_VALUE"""),"January")</f>
        <v>January</v>
      </c>
      <c r="B31" s="6" t="str">
        <f>IFERROR(__xludf.DUMMYFUNCTION("""COMPUTED_VALUE"""),"West")</f>
        <v>West</v>
      </c>
      <c r="C31" s="6" t="str">
        <f>IFERROR(__xludf.DUMMYFUNCTION("""COMPUTED_VALUE"""),"Jaipur")</f>
        <v>Jaipur</v>
      </c>
      <c r="D31" s="6" t="str">
        <f>IFERROR(__xludf.DUMMYFUNCTION("""COMPUTED_VALUE"""),"NutriKid")</f>
        <v>NutriKid</v>
      </c>
      <c r="E31" s="6">
        <f>IFERROR(__xludf.DUMMYFUNCTION("""COMPUTED_VALUE"""),15244.0)</f>
        <v>15244</v>
      </c>
      <c r="F31" s="6">
        <f>IFERROR(__xludf.DUMMYFUNCTION("""COMPUTED_VALUE"""),18598.0)</f>
        <v>18598</v>
      </c>
      <c r="G31" s="59">
        <f>IFERROR(__xludf.DUMMYFUNCTION("""COMPUTED_VALUE"""),914640.0)</f>
        <v>914640</v>
      </c>
      <c r="H31" s="6">
        <f>IFERROR(__xludf.DUMMYFUNCTION("""COMPUTED_VALUE"""),1115880.0)</f>
        <v>1115880</v>
      </c>
    </row>
    <row r="32" ht="15.75" customHeight="1">
      <c r="A32" s="6" t="str">
        <f>IFERROR(__xludf.DUMMYFUNCTION("""COMPUTED_VALUE"""),"January")</f>
        <v>January</v>
      </c>
      <c r="B32" s="6" t="str">
        <f>IFERROR(__xludf.DUMMYFUNCTION("""COMPUTED_VALUE"""),"East")</f>
        <v>East</v>
      </c>
      <c r="C32" s="6" t="str">
        <f>IFERROR(__xludf.DUMMYFUNCTION("""COMPUTED_VALUE"""),"Patna")</f>
        <v>Patna</v>
      </c>
      <c r="D32" s="6" t="str">
        <f>IFERROR(__xludf.DUMMYFUNCTION("""COMPUTED_VALUE"""),"ZestVita")</f>
        <v>ZestVita</v>
      </c>
      <c r="E32" s="6">
        <f>IFERROR(__xludf.DUMMYFUNCTION("""COMPUTED_VALUE"""),17316.0)</f>
        <v>17316</v>
      </c>
      <c r="F32" s="6">
        <f>IFERROR(__xludf.DUMMYFUNCTION("""COMPUTED_VALUE"""),19740.0)</f>
        <v>19740</v>
      </c>
      <c r="G32" s="59">
        <f>IFERROR(__xludf.DUMMYFUNCTION("""COMPUTED_VALUE"""),2220777.0)</f>
        <v>2220777</v>
      </c>
      <c r="H32" s="6">
        <f>IFERROR(__xludf.DUMMYFUNCTION("""COMPUTED_VALUE"""),2664900.0)</f>
        <v>2664900</v>
      </c>
    </row>
    <row r="33" ht="15.75" customHeight="1">
      <c r="A33" s="6" t="str">
        <f>IFERROR(__xludf.DUMMYFUNCTION("""COMPUTED_VALUE"""),"January")</f>
        <v>January</v>
      </c>
      <c r="B33" s="6" t="str">
        <f>IFERROR(__xludf.DUMMYFUNCTION("""COMPUTED_VALUE"""),"East")</f>
        <v>East</v>
      </c>
      <c r="C33" s="6" t="str">
        <f>IFERROR(__xludf.DUMMYFUNCTION("""COMPUTED_VALUE"""),"Patna")</f>
        <v>Patna</v>
      </c>
      <c r="D33" s="6" t="str">
        <f>IFERROR(__xludf.DUMMYFUNCTION("""COMPUTED_VALUE"""),"NutriKid")</f>
        <v>NutriKid</v>
      </c>
      <c r="E33" s="6">
        <f>IFERROR(__xludf.DUMMYFUNCTION("""COMPUTED_VALUE"""),22866.0)</f>
        <v>22866</v>
      </c>
      <c r="F33" s="6">
        <f>IFERROR(__xludf.DUMMYFUNCTION("""COMPUTED_VALUE"""),26982.0)</f>
        <v>26982</v>
      </c>
      <c r="G33" s="59">
        <f>IFERROR(__xludf.DUMMYFUNCTION("""COMPUTED_VALUE"""),1303362.0)</f>
        <v>1303362</v>
      </c>
      <c r="H33" s="6">
        <f>IFERROR(__xludf.DUMMYFUNCTION("""COMPUTED_VALUE"""),1618920.0)</f>
        <v>1618920</v>
      </c>
    </row>
    <row r="34" ht="15.75" customHeight="1">
      <c r="A34" s="6" t="str">
        <f>IFERROR(__xludf.DUMMYFUNCTION("""COMPUTED_VALUE"""),"February")</f>
        <v>February</v>
      </c>
      <c r="B34" s="6" t="str">
        <f>IFERROR(__xludf.DUMMYFUNCTION("""COMPUTED_VALUE"""),"North")</f>
        <v>North</v>
      </c>
      <c r="C34" s="6" t="str">
        <f>IFERROR(__xludf.DUMMYFUNCTION("""COMPUTED_VALUE"""),"Delhi")</f>
        <v>Delhi</v>
      </c>
      <c r="D34" s="6" t="str">
        <f>IFERROR(__xludf.DUMMYFUNCTION("""COMPUTED_VALUE"""),"ZestVita")</f>
        <v>ZestVita</v>
      </c>
      <c r="E34" s="6">
        <f>IFERROR(__xludf.DUMMYFUNCTION("""COMPUTED_VALUE"""),24722.0)</f>
        <v>24722</v>
      </c>
      <c r="F34" s="6">
        <f>IFERROR(__xludf.DUMMYFUNCTION("""COMPUTED_VALUE"""),27441.0)</f>
        <v>27441</v>
      </c>
      <c r="G34" s="59">
        <f>IFERROR(__xludf.DUMMYFUNCTION("""COMPUTED_VALUE"""),3337470.0)</f>
        <v>3337470</v>
      </c>
      <c r="H34" s="6">
        <f>IFERROR(__xludf.DUMMYFUNCTION("""COMPUTED_VALUE"""),3704535.0)</f>
        <v>3704535</v>
      </c>
    </row>
    <row r="35" ht="15.75" customHeight="1">
      <c r="A35" s="6" t="str">
        <f>IFERROR(__xludf.DUMMYFUNCTION("""COMPUTED_VALUE"""),"February")</f>
        <v>February</v>
      </c>
      <c r="B35" s="6" t="str">
        <f>IFERROR(__xludf.DUMMYFUNCTION("""COMPUTED_VALUE"""),"North")</f>
        <v>North</v>
      </c>
      <c r="C35" s="6" t="str">
        <f>IFERROR(__xludf.DUMMYFUNCTION("""COMPUTED_VALUE"""),"Delhi")</f>
        <v>Delhi</v>
      </c>
      <c r="D35" s="6" t="str">
        <f>IFERROR(__xludf.DUMMYFUNCTION("""COMPUTED_VALUE"""),"NutriKid")</f>
        <v>NutriKid</v>
      </c>
      <c r="E35" s="6">
        <f>IFERROR(__xludf.DUMMYFUNCTION("""COMPUTED_VALUE"""),19148.0)</f>
        <v>19148</v>
      </c>
      <c r="F35" s="6">
        <f>IFERROR(__xludf.DUMMYFUNCTION("""COMPUTED_VALUE"""),23361.0)</f>
        <v>23361</v>
      </c>
      <c r="G35" s="59">
        <f>IFERROR(__xludf.DUMMYFUNCTION("""COMPUTED_VALUE"""),1148880.0)</f>
        <v>1148880</v>
      </c>
      <c r="H35" s="6">
        <f>IFERROR(__xludf.DUMMYFUNCTION("""COMPUTED_VALUE"""),1401660.0)</f>
        <v>1401660</v>
      </c>
    </row>
    <row r="36" ht="15.75" customHeight="1">
      <c r="A36" s="6" t="str">
        <f>IFERROR(__xludf.DUMMYFUNCTION("""COMPUTED_VALUE"""),"February")</f>
        <v>February</v>
      </c>
      <c r="B36" s="6" t="str">
        <f>IFERROR(__xludf.DUMMYFUNCTION("""COMPUTED_VALUE"""),"East")</f>
        <v>East</v>
      </c>
      <c r="C36" s="6" t="str">
        <f>IFERROR(__xludf.DUMMYFUNCTION("""COMPUTED_VALUE"""),"Kolkata")</f>
        <v>Kolkata</v>
      </c>
      <c r="D36" s="6" t="str">
        <f>IFERROR(__xludf.DUMMYFUNCTION("""COMPUTED_VALUE"""),"ZestVita")</f>
        <v>ZestVita</v>
      </c>
      <c r="E36" s="6">
        <f>IFERROR(__xludf.DUMMYFUNCTION("""COMPUTED_VALUE"""),13535.0)</f>
        <v>13535</v>
      </c>
      <c r="F36" s="6">
        <f>IFERROR(__xludf.DUMMYFUNCTION("""COMPUTED_VALUE"""),15159.0)</f>
        <v>15159</v>
      </c>
      <c r="G36" s="59">
        <f>IFERROR(__xludf.DUMMYFUNCTION("""COMPUTED_VALUE"""),1827225.0)</f>
        <v>1827225</v>
      </c>
      <c r="H36" s="6">
        <f>IFERROR(__xludf.DUMMYFUNCTION("""COMPUTED_VALUE"""),2046465.0)</f>
        <v>2046465</v>
      </c>
    </row>
    <row r="37" ht="15.75" customHeight="1">
      <c r="A37" s="6" t="str">
        <f>IFERROR(__xludf.DUMMYFUNCTION("""COMPUTED_VALUE"""),"February")</f>
        <v>February</v>
      </c>
      <c r="B37" s="6" t="str">
        <f>IFERROR(__xludf.DUMMYFUNCTION("""COMPUTED_VALUE"""),"East")</f>
        <v>East</v>
      </c>
      <c r="C37" s="6" t="str">
        <f>IFERROR(__xludf.DUMMYFUNCTION("""COMPUTED_VALUE"""),"Kolkata")</f>
        <v>Kolkata</v>
      </c>
      <c r="D37" s="6" t="str">
        <f>IFERROR(__xludf.DUMMYFUNCTION("""COMPUTED_VALUE"""),"NutriKid")</f>
        <v>NutriKid</v>
      </c>
      <c r="E37" s="6">
        <f>IFERROR(__xludf.DUMMYFUNCTION("""COMPUTED_VALUE"""),25924.0)</f>
        <v>25924</v>
      </c>
      <c r="F37" s="6">
        <f>IFERROR(__xludf.DUMMYFUNCTION("""COMPUTED_VALUE"""),30072.0)</f>
        <v>30072</v>
      </c>
      <c r="G37" s="59">
        <f>IFERROR(__xludf.DUMMYFUNCTION("""COMPUTED_VALUE"""),1555440.0)</f>
        <v>1555440</v>
      </c>
      <c r="H37" s="6">
        <f>IFERROR(__xludf.DUMMYFUNCTION("""COMPUTED_VALUE"""),1804320.0)</f>
        <v>1804320</v>
      </c>
    </row>
    <row r="38" ht="15.75" customHeight="1">
      <c r="A38" s="6" t="str">
        <f>IFERROR(__xludf.DUMMYFUNCTION("""COMPUTED_VALUE"""),"February")</f>
        <v>February</v>
      </c>
      <c r="B38" s="6" t="str">
        <f>IFERROR(__xludf.DUMMYFUNCTION("""COMPUTED_VALUE"""),"West")</f>
        <v>West</v>
      </c>
      <c r="C38" s="6" t="str">
        <f>IFERROR(__xludf.DUMMYFUNCTION("""COMPUTED_VALUE"""),"Pune")</f>
        <v>Pune</v>
      </c>
      <c r="D38" s="6" t="str">
        <f>IFERROR(__xludf.DUMMYFUNCTION("""COMPUTED_VALUE"""),"ZestVita")</f>
        <v>ZestVita</v>
      </c>
      <c r="E38" s="6">
        <f>IFERROR(__xludf.DUMMYFUNCTION("""COMPUTED_VALUE"""),15923.0)</f>
        <v>15923</v>
      </c>
      <c r="F38" s="6">
        <f>IFERROR(__xludf.DUMMYFUNCTION("""COMPUTED_VALUE"""),19267.0)</f>
        <v>19267</v>
      </c>
      <c r="G38" s="59">
        <f>IFERROR(__xludf.DUMMYFUNCTION("""COMPUTED_VALUE"""),2149605.0)</f>
        <v>2149605</v>
      </c>
      <c r="H38" s="6">
        <f>IFERROR(__xludf.DUMMYFUNCTION("""COMPUTED_VALUE"""),2601045.0)</f>
        <v>2601045</v>
      </c>
    </row>
    <row r="39" ht="15.75" customHeight="1">
      <c r="A39" s="6" t="str">
        <f>IFERROR(__xludf.DUMMYFUNCTION("""COMPUTED_VALUE"""),"February")</f>
        <v>February</v>
      </c>
      <c r="B39" s="6" t="str">
        <f>IFERROR(__xludf.DUMMYFUNCTION("""COMPUTED_VALUE"""),"West")</f>
        <v>West</v>
      </c>
      <c r="C39" s="6" t="str">
        <f>IFERROR(__xludf.DUMMYFUNCTION("""COMPUTED_VALUE"""),"Pune")</f>
        <v>Pune</v>
      </c>
      <c r="D39" s="6" t="str">
        <f>IFERROR(__xludf.DUMMYFUNCTION("""COMPUTED_VALUE"""),"NutriKid")</f>
        <v>NutriKid</v>
      </c>
      <c r="E39" s="6">
        <f>IFERROR(__xludf.DUMMYFUNCTION("""COMPUTED_VALUE"""),18643.0)</f>
        <v>18643</v>
      </c>
      <c r="F39" s="6">
        <f>IFERROR(__xludf.DUMMYFUNCTION("""COMPUTED_VALUE"""),21626.0)</f>
        <v>21626</v>
      </c>
      <c r="G39" s="59">
        <f>IFERROR(__xludf.DUMMYFUNCTION("""COMPUTED_VALUE"""),1118580.0)</f>
        <v>1118580</v>
      </c>
      <c r="H39" s="6">
        <f>IFERROR(__xludf.DUMMYFUNCTION("""COMPUTED_VALUE"""),1297560.0)</f>
        <v>1297560</v>
      </c>
    </row>
    <row r="40" ht="15.75" customHeight="1">
      <c r="A40" s="6" t="str">
        <f>IFERROR(__xludf.DUMMYFUNCTION("""COMPUTED_VALUE"""),"February")</f>
        <v>February</v>
      </c>
      <c r="B40" s="6" t="str">
        <f>IFERROR(__xludf.DUMMYFUNCTION("""COMPUTED_VALUE"""),"South")</f>
        <v>South</v>
      </c>
      <c r="C40" s="6" t="str">
        <f>IFERROR(__xludf.DUMMYFUNCTION("""COMPUTED_VALUE"""),"Bengaluru")</f>
        <v>Bengaluru</v>
      </c>
      <c r="D40" s="6" t="str">
        <f>IFERROR(__xludf.DUMMYFUNCTION("""COMPUTED_VALUE"""),"ZestVita")</f>
        <v>ZestVita</v>
      </c>
      <c r="E40" s="6">
        <f>IFERROR(__xludf.DUMMYFUNCTION("""COMPUTED_VALUE"""),29296.0)</f>
        <v>29296</v>
      </c>
      <c r="F40" s="6">
        <f>IFERROR(__xludf.DUMMYFUNCTION("""COMPUTED_VALUE"""),32812.0)</f>
        <v>32812</v>
      </c>
      <c r="G40" s="59">
        <f>IFERROR(__xludf.DUMMYFUNCTION("""COMPUTED_VALUE"""),3954960.0)</f>
        <v>3954960</v>
      </c>
      <c r="H40" s="6">
        <f>IFERROR(__xludf.DUMMYFUNCTION("""COMPUTED_VALUE"""),4429620.0)</f>
        <v>4429620</v>
      </c>
    </row>
    <row r="41" ht="15.75" customHeight="1">
      <c r="A41" s="6" t="str">
        <f>IFERROR(__xludf.DUMMYFUNCTION("""COMPUTED_VALUE"""),"February")</f>
        <v>February</v>
      </c>
      <c r="B41" s="6" t="str">
        <f>IFERROR(__xludf.DUMMYFUNCTION("""COMPUTED_VALUE"""),"South")</f>
        <v>South</v>
      </c>
      <c r="C41" s="6" t="str">
        <f>IFERROR(__xludf.DUMMYFUNCTION("""COMPUTED_VALUE"""),"Bengaluru")</f>
        <v>Bengaluru</v>
      </c>
      <c r="D41" s="6" t="str">
        <f>IFERROR(__xludf.DUMMYFUNCTION("""COMPUTED_VALUE"""),"NutriKid")</f>
        <v>NutriKid</v>
      </c>
      <c r="E41" s="6">
        <f>IFERROR(__xludf.DUMMYFUNCTION("""COMPUTED_VALUE"""),15623.0)</f>
        <v>15623</v>
      </c>
      <c r="F41" s="6">
        <f>IFERROR(__xludf.DUMMYFUNCTION("""COMPUTED_VALUE"""),18748.0)</f>
        <v>18748</v>
      </c>
      <c r="G41" s="59">
        <f>IFERROR(__xludf.DUMMYFUNCTION("""COMPUTED_VALUE"""),937380.0)</f>
        <v>937380</v>
      </c>
      <c r="H41" s="6">
        <f>IFERROR(__xludf.DUMMYFUNCTION("""COMPUTED_VALUE"""),1124880.0)</f>
        <v>1124880</v>
      </c>
    </row>
    <row r="42" ht="15.75" customHeight="1">
      <c r="A42" s="6" t="str">
        <f>IFERROR(__xludf.DUMMYFUNCTION("""COMPUTED_VALUE"""),"February")</f>
        <v>February</v>
      </c>
      <c r="B42" s="6" t="str">
        <f>IFERROR(__xludf.DUMMYFUNCTION("""COMPUTED_VALUE"""),"North")</f>
        <v>North</v>
      </c>
      <c r="C42" s="6" t="str">
        <f>IFERROR(__xludf.DUMMYFUNCTION("""COMPUTED_VALUE"""),"Chandigarh")</f>
        <v>Chandigarh</v>
      </c>
      <c r="D42" s="6" t="str">
        <f>IFERROR(__xludf.DUMMYFUNCTION("""COMPUTED_VALUE"""),"ZestVita")</f>
        <v>ZestVita</v>
      </c>
      <c r="E42" s="6">
        <f>IFERROR(__xludf.DUMMYFUNCTION("""COMPUTED_VALUE"""),25573.0)</f>
        <v>25573</v>
      </c>
      <c r="F42" s="6">
        <f>IFERROR(__xludf.DUMMYFUNCTION("""COMPUTED_VALUE"""),29409.0)</f>
        <v>29409</v>
      </c>
      <c r="G42" s="59">
        <f>IFERROR(__xludf.DUMMYFUNCTION("""COMPUTED_VALUE"""),3452355.0)</f>
        <v>3452355</v>
      </c>
      <c r="H42" s="6">
        <f>IFERROR(__xludf.DUMMYFUNCTION("""COMPUTED_VALUE"""),3970215.0)</f>
        <v>3970215</v>
      </c>
    </row>
    <row r="43" ht="15.75" customHeight="1">
      <c r="A43" s="6" t="str">
        <f>IFERROR(__xludf.DUMMYFUNCTION("""COMPUTED_VALUE"""),"February")</f>
        <v>February</v>
      </c>
      <c r="B43" s="6" t="str">
        <f>IFERROR(__xludf.DUMMYFUNCTION("""COMPUTED_VALUE"""),"North")</f>
        <v>North</v>
      </c>
      <c r="C43" s="6" t="str">
        <f>IFERROR(__xludf.DUMMYFUNCTION("""COMPUTED_VALUE"""),"Chandigarh")</f>
        <v>Chandigarh</v>
      </c>
      <c r="D43" s="6" t="str">
        <f>IFERROR(__xludf.DUMMYFUNCTION("""COMPUTED_VALUE"""),"NutriKid")</f>
        <v>NutriKid</v>
      </c>
      <c r="E43" s="6">
        <f>IFERROR(__xludf.DUMMYFUNCTION("""COMPUTED_VALUE"""),27637.0)</f>
        <v>27637</v>
      </c>
      <c r="F43" s="6">
        <f>IFERROR(__xludf.DUMMYFUNCTION("""COMPUTED_VALUE"""),32059.0)</f>
        <v>32059</v>
      </c>
      <c r="G43" s="59">
        <f>IFERROR(__xludf.DUMMYFUNCTION("""COMPUTED_VALUE"""),1658220.0)</f>
        <v>1658220</v>
      </c>
      <c r="H43" s="6">
        <f>IFERROR(__xludf.DUMMYFUNCTION("""COMPUTED_VALUE"""),1923540.0)</f>
        <v>1923540</v>
      </c>
    </row>
    <row r="44" ht="15.75" customHeight="1">
      <c r="A44" s="6" t="str">
        <f>IFERROR(__xludf.DUMMYFUNCTION("""COMPUTED_VALUE"""),"February")</f>
        <v>February</v>
      </c>
      <c r="B44" s="6" t="str">
        <f>IFERROR(__xludf.DUMMYFUNCTION("""COMPUTED_VALUE"""),"East")</f>
        <v>East</v>
      </c>
      <c r="C44" s="6" t="str">
        <f>IFERROR(__xludf.DUMMYFUNCTION("""COMPUTED_VALUE"""),"Bhubaneswar")</f>
        <v>Bhubaneswar</v>
      </c>
      <c r="D44" s="6" t="str">
        <f>IFERROR(__xludf.DUMMYFUNCTION("""COMPUTED_VALUE"""),"ZestVita")</f>
        <v>ZestVita</v>
      </c>
      <c r="E44" s="6">
        <f>IFERROR(__xludf.DUMMYFUNCTION("""COMPUTED_VALUE"""),13878.0)</f>
        <v>13878</v>
      </c>
      <c r="F44" s="6">
        <f>IFERROR(__xludf.DUMMYFUNCTION("""COMPUTED_VALUE"""),14433.0)</f>
        <v>14433</v>
      </c>
      <c r="G44" s="59">
        <f>IFERROR(__xludf.DUMMYFUNCTION("""COMPUTED_VALUE"""),1639338.75)</f>
        <v>1639338.75</v>
      </c>
      <c r="H44" s="6">
        <f>IFERROR(__xludf.DUMMYFUNCTION("""COMPUTED_VALUE"""),1948455.0)</f>
        <v>1948455</v>
      </c>
    </row>
    <row r="45" ht="15.75" customHeight="1">
      <c r="A45" s="6" t="str">
        <f>IFERROR(__xludf.DUMMYFUNCTION("""COMPUTED_VALUE"""),"February")</f>
        <v>February</v>
      </c>
      <c r="B45" s="6" t="str">
        <f>IFERROR(__xludf.DUMMYFUNCTION("""COMPUTED_VALUE"""),"East")</f>
        <v>East</v>
      </c>
      <c r="C45" s="6" t="str">
        <f>IFERROR(__xludf.DUMMYFUNCTION("""COMPUTED_VALUE"""),"Bhubaneswar")</f>
        <v>Bhubaneswar</v>
      </c>
      <c r="D45" s="6" t="str">
        <f>IFERROR(__xludf.DUMMYFUNCTION("""COMPUTED_VALUE"""),"NutriKid")</f>
        <v>NutriKid</v>
      </c>
      <c r="E45" s="6">
        <f>IFERROR(__xludf.DUMMYFUNCTION("""COMPUTED_VALUE"""),18202.0)</f>
        <v>18202</v>
      </c>
      <c r="F45" s="6">
        <f>IFERROR(__xludf.DUMMYFUNCTION("""COMPUTED_VALUE"""),19476.0)</f>
        <v>19476</v>
      </c>
      <c r="G45" s="59">
        <f>IFERROR(__xludf.DUMMYFUNCTION("""COMPUTED_VALUE"""),955605.0)</f>
        <v>955605</v>
      </c>
      <c r="H45" s="6">
        <f>IFERROR(__xludf.DUMMYFUNCTION("""COMPUTED_VALUE"""),1168560.0)</f>
        <v>1168560</v>
      </c>
    </row>
    <row r="46" ht="15.75" customHeight="1">
      <c r="A46" s="6" t="str">
        <f>IFERROR(__xludf.DUMMYFUNCTION("""COMPUTED_VALUE"""),"February")</f>
        <v>February</v>
      </c>
      <c r="B46" s="6" t="str">
        <f>IFERROR(__xludf.DUMMYFUNCTION("""COMPUTED_VALUE"""),"West")</f>
        <v>West</v>
      </c>
      <c r="C46" s="6" t="str">
        <f>IFERROR(__xludf.DUMMYFUNCTION("""COMPUTED_VALUE"""),"Ahmedabad")</f>
        <v>Ahmedabad</v>
      </c>
      <c r="D46" s="6" t="str">
        <f>IFERROR(__xludf.DUMMYFUNCTION("""COMPUTED_VALUE"""),"ZestVita")</f>
        <v>ZestVita</v>
      </c>
      <c r="E46" s="6">
        <f>IFERROR(__xludf.DUMMYFUNCTION("""COMPUTED_VALUE"""),22662.0)</f>
        <v>22662</v>
      </c>
      <c r="F46" s="6">
        <f>IFERROR(__xludf.DUMMYFUNCTION("""COMPUTED_VALUE"""),28101.0)</f>
        <v>28101</v>
      </c>
      <c r="G46" s="59">
        <f>IFERROR(__xludf.DUMMYFUNCTION("""COMPUTED_VALUE"""),3059370.0)</f>
        <v>3059370</v>
      </c>
      <c r="H46" s="6">
        <f>IFERROR(__xludf.DUMMYFUNCTION("""COMPUTED_VALUE"""),3793635.0)</f>
        <v>3793635</v>
      </c>
    </row>
    <row r="47" ht="15.75" customHeight="1">
      <c r="A47" s="6" t="str">
        <f>IFERROR(__xludf.DUMMYFUNCTION("""COMPUTED_VALUE"""),"February")</f>
        <v>February</v>
      </c>
      <c r="B47" s="6" t="str">
        <f>IFERROR(__xludf.DUMMYFUNCTION("""COMPUTED_VALUE"""),"West")</f>
        <v>West</v>
      </c>
      <c r="C47" s="6" t="str">
        <f>IFERROR(__xludf.DUMMYFUNCTION("""COMPUTED_VALUE"""),"Ahmedabad")</f>
        <v>Ahmedabad</v>
      </c>
      <c r="D47" s="6" t="str">
        <f>IFERROR(__xludf.DUMMYFUNCTION("""COMPUTED_VALUE"""),"NutriKid")</f>
        <v>NutriKid</v>
      </c>
      <c r="E47" s="6">
        <f>IFERROR(__xludf.DUMMYFUNCTION("""COMPUTED_VALUE"""),13063.0)</f>
        <v>13063</v>
      </c>
      <c r="F47" s="6">
        <f>IFERROR(__xludf.DUMMYFUNCTION("""COMPUTED_VALUE"""),16329.0)</f>
        <v>16329</v>
      </c>
      <c r="G47" s="59">
        <f>IFERROR(__xludf.DUMMYFUNCTION("""COMPUTED_VALUE"""),783780.0)</f>
        <v>783780</v>
      </c>
      <c r="H47" s="6">
        <f>IFERROR(__xludf.DUMMYFUNCTION("""COMPUTED_VALUE"""),979740.0)</f>
        <v>979740</v>
      </c>
    </row>
    <row r="48" ht="15.75" customHeight="1">
      <c r="A48" s="6" t="str">
        <f>IFERROR(__xludf.DUMMYFUNCTION("""COMPUTED_VALUE"""),"February")</f>
        <v>February</v>
      </c>
      <c r="B48" s="6" t="str">
        <f>IFERROR(__xludf.DUMMYFUNCTION("""COMPUTED_VALUE"""),"South")</f>
        <v>South</v>
      </c>
      <c r="C48" s="6" t="str">
        <f>IFERROR(__xludf.DUMMYFUNCTION("""COMPUTED_VALUE"""),"Chennai")</f>
        <v>Chennai</v>
      </c>
      <c r="D48" s="6" t="str">
        <f>IFERROR(__xludf.DUMMYFUNCTION("""COMPUTED_VALUE"""),"ZestVita")</f>
        <v>ZestVita</v>
      </c>
      <c r="E48" s="6">
        <f>IFERROR(__xludf.DUMMYFUNCTION("""COMPUTED_VALUE"""),14233.0)</f>
        <v>14233</v>
      </c>
      <c r="F48" s="6">
        <f>IFERROR(__xludf.DUMMYFUNCTION("""COMPUTED_VALUE"""),17364.0)</f>
        <v>17364</v>
      </c>
      <c r="G48" s="59">
        <f>IFERROR(__xludf.DUMMYFUNCTION("""COMPUTED_VALUE"""),1921455.0)</f>
        <v>1921455</v>
      </c>
      <c r="H48" s="6">
        <f>IFERROR(__xludf.DUMMYFUNCTION("""COMPUTED_VALUE"""),2344140.0)</f>
        <v>2344140</v>
      </c>
    </row>
    <row r="49" ht="15.75" customHeight="1">
      <c r="A49" s="6" t="str">
        <f>IFERROR(__xludf.DUMMYFUNCTION("""COMPUTED_VALUE"""),"February")</f>
        <v>February</v>
      </c>
      <c r="B49" s="6" t="str">
        <f>IFERROR(__xludf.DUMMYFUNCTION("""COMPUTED_VALUE"""),"South")</f>
        <v>South</v>
      </c>
      <c r="C49" s="6" t="str">
        <f>IFERROR(__xludf.DUMMYFUNCTION("""COMPUTED_VALUE"""),"Chennai")</f>
        <v>Chennai</v>
      </c>
      <c r="D49" s="6" t="str">
        <f>IFERROR(__xludf.DUMMYFUNCTION("""COMPUTED_VALUE"""),"NutriKid")</f>
        <v>NutriKid</v>
      </c>
      <c r="E49" s="6">
        <f>IFERROR(__xludf.DUMMYFUNCTION("""COMPUTED_VALUE"""),15616.0)</f>
        <v>15616</v>
      </c>
      <c r="F49" s="6">
        <f>IFERROR(__xludf.DUMMYFUNCTION("""COMPUTED_VALUE"""),18115.0)</f>
        <v>18115</v>
      </c>
      <c r="G49" s="59">
        <f>IFERROR(__xludf.DUMMYFUNCTION("""COMPUTED_VALUE"""),936960.0)</f>
        <v>936960</v>
      </c>
      <c r="H49" s="6">
        <f>IFERROR(__xludf.DUMMYFUNCTION("""COMPUTED_VALUE"""),1086900.0)</f>
        <v>1086900</v>
      </c>
    </row>
    <row r="50" ht="15.75" customHeight="1">
      <c r="A50" s="6" t="str">
        <f>IFERROR(__xludf.DUMMYFUNCTION("""COMPUTED_VALUE"""),"February")</f>
        <v>February</v>
      </c>
      <c r="B50" s="6" t="str">
        <f>IFERROR(__xludf.DUMMYFUNCTION("""COMPUTED_VALUE"""),"North")</f>
        <v>North</v>
      </c>
      <c r="C50" s="6" t="str">
        <f>IFERROR(__xludf.DUMMYFUNCTION("""COMPUTED_VALUE"""),"Lucknow")</f>
        <v>Lucknow</v>
      </c>
      <c r="D50" s="6" t="str">
        <f>IFERROR(__xludf.DUMMYFUNCTION("""COMPUTED_VALUE"""),"ZestVita")</f>
        <v>ZestVita</v>
      </c>
      <c r="E50" s="6">
        <f>IFERROR(__xludf.DUMMYFUNCTION("""COMPUTED_VALUE"""),23233.0)</f>
        <v>23233</v>
      </c>
      <c r="F50" s="6">
        <f>IFERROR(__xludf.DUMMYFUNCTION("""COMPUTED_VALUE"""),26718.0)</f>
        <v>26718</v>
      </c>
      <c r="G50" s="59">
        <f>IFERROR(__xludf.DUMMYFUNCTION("""COMPUTED_VALUE"""),2822809.5)</f>
        <v>2822809.5</v>
      </c>
      <c r="H50" s="6">
        <f>IFERROR(__xludf.DUMMYFUNCTION("""COMPUTED_VALUE"""),3606930.0)</f>
        <v>3606930</v>
      </c>
    </row>
    <row r="51" ht="15.75" customHeight="1">
      <c r="A51" s="6" t="str">
        <f>IFERROR(__xludf.DUMMYFUNCTION("""COMPUTED_VALUE"""),"February")</f>
        <v>February</v>
      </c>
      <c r="B51" s="6" t="str">
        <f>IFERROR(__xludf.DUMMYFUNCTION("""COMPUTED_VALUE"""),"North")</f>
        <v>North</v>
      </c>
      <c r="C51" s="6" t="str">
        <f>IFERROR(__xludf.DUMMYFUNCTION("""COMPUTED_VALUE"""),"Lucknow")</f>
        <v>Lucknow</v>
      </c>
      <c r="D51" s="6" t="str">
        <f>IFERROR(__xludf.DUMMYFUNCTION("""COMPUTED_VALUE"""),"NutriKid")</f>
        <v>NutriKid</v>
      </c>
      <c r="E51" s="6">
        <f>IFERROR(__xludf.DUMMYFUNCTION("""COMPUTED_VALUE"""),20324.0)</f>
        <v>20324</v>
      </c>
      <c r="F51" s="6">
        <f>IFERROR(__xludf.DUMMYFUNCTION("""COMPUTED_VALUE"""),22763.0)</f>
        <v>22763</v>
      </c>
      <c r="G51" s="59">
        <f>IFERROR(__xludf.DUMMYFUNCTION("""COMPUTED_VALUE"""),1097496.0)</f>
        <v>1097496</v>
      </c>
      <c r="H51" s="6">
        <f>IFERROR(__xludf.DUMMYFUNCTION("""COMPUTED_VALUE"""),1365780.0)</f>
        <v>1365780</v>
      </c>
    </row>
    <row r="52" ht="15.75" customHeight="1">
      <c r="A52" s="6" t="str">
        <f>IFERROR(__xludf.DUMMYFUNCTION("""COMPUTED_VALUE"""),"February")</f>
        <v>February</v>
      </c>
      <c r="B52" s="6" t="str">
        <f>IFERROR(__xludf.DUMMYFUNCTION("""COMPUTED_VALUE"""),"East")</f>
        <v>East</v>
      </c>
      <c r="C52" s="6" t="str">
        <f>IFERROR(__xludf.DUMMYFUNCTION("""COMPUTED_VALUE"""),"Ranchi")</f>
        <v>Ranchi</v>
      </c>
      <c r="D52" s="6" t="str">
        <f>IFERROR(__xludf.DUMMYFUNCTION("""COMPUTED_VALUE"""),"ZestVita")</f>
        <v>ZestVita</v>
      </c>
      <c r="E52" s="6">
        <f>IFERROR(__xludf.DUMMYFUNCTION("""COMPUTED_VALUE"""),26263.0)</f>
        <v>26263</v>
      </c>
      <c r="F52" s="6">
        <f>IFERROR(__xludf.DUMMYFUNCTION("""COMPUTED_VALUE"""),27839.0)</f>
        <v>27839</v>
      </c>
      <c r="G52" s="59">
        <f>IFERROR(__xludf.DUMMYFUNCTION("""COMPUTED_VALUE"""),3368229.75)</f>
        <v>3368229.75</v>
      </c>
      <c r="H52" s="6">
        <f>IFERROR(__xludf.DUMMYFUNCTION("""COMPUTED_VALUE"""),3758265.0)</f>
        <v>3758265</v>
      </c>
    </row>
    <row r="53" ht="15.75" customHeight="1">
      <c r="A53" s="6" t="str">
        <f>IFERROR(__xludf.DUMMYFUNCTION("""COMPUTED_VALUE"""),"February")</f>
        <v>February</v>
      </c>
      <c r="B53" s="6" t="str">
        <f>IFERROR(__xludf.DUMMYFUNCTION("""COMPUTED_VALUE"""),"East")</f>
        <v>East</v>
      </c>
      <c r="C53" s="6" t="str">
        <f>IFERROR(__xludf.DUMMYFUNCTION("""COMPUTED_VALUE"""),"Ranchi")</f>
        <v>Ranchi</v>
      </c>
      <c r="D53" s="6" t="str">
        <f>IFERROR(__xludf.DUMMYFUNCTION("""COMPUTED_VALUE"""),"NutriKid")</f>
        <v>NutriKid</v>
      </c>
      <c r="E53" s="6">
        <f>IFERROR(__xludf.DUMMYFUNCTION("""COMPUTED_VALUE"""),16526.0)</f>
        <v>16526</v>
      </c>
      <c r="F53" s="6">
        <f>IFERROR(__xludf.DUMMYFUNCTION("""COMPUTED_VALUE"""),17022.0)</f>
        <v>17022</v>
      </c>
      <c r="G53" s="59">
        <f>IFERROR(__xludf.DUMMYFUNCTION("""COMPUTED_VALUE"""),941982.0)</f>
        <v>941982</v>
      </c>
      <c r="H53" s="6">
        <f>IFERROR(__xludf.DUMMYFUNCTION("""COMPUTED_VALUE"""),1021320.0)</f>
        <v>1021320</v>
      </c>
    </row>
    <row r="54" ht="15.75" customHeight="1">
      <c r="A54" s="6" t="str">
        <f>IFERROR(__xludf.DUMMYFUNCTION("""COMPUTED_VALUE"""),"February")</f>
        <v>February</v>
      </c>
      <c r="B54" s="6" t="str">
        <f>IFERROR(__xludf.DUMMYFUNCTION("""COMPUTED_VALUE"""),"West")</f>
        <v>West</v>
      </c>
      <c r="C54" s="6" t="str">
        <f>IFERROR(__xludf.DUMMYFUNCTION("""COMPUTED_VALUE"""),"Surat")</f>
        <v>Surat</v>
      </c>
      <c r="D54" s="6" t="str">
        <f>IFERROR(__xludf.DUMMYFUNCTION("""COMPUTED_VALUE"""),"ZestVita")</f>
        <v>ZestVita</v>
      </c>
      <c r="E54" s="6">
        <f>IFERROR(__xludf.DUMMYFUNCTION("""COMPUTED_VALUE"""),20866.0)</f>
        <v>20866</v>
      </c>
      <c r="F54" s="6">
        <f>IFERROR(__xludf.DUMMYFUNCTION("""COMPUTED_VALUE"""),21283.0)</f>
        <v>21283</v>
      </c>
      <c r="G54" s="59">
        <f>IFERROR(__xludf.DUMMYFUNCTION("""COMPUTED_VALUE"""),2676064.5)</f>
        <v>2676064.5</v>
      </c>
      <c r="H54" s="6">
        <f>IFERROR(__xludf.DUMMYFUNCTION("""COMPUTED_VALUE"""),2873205.0)</f>
        <v>2873205</v>
      </c>
    </row>
    <row r="55" ht="15.75" customHeight="1">
      <c r="A55" s="6" t="str">
        <f>IFERROR(__xludf.DUMMYFUNCTION("""COMPUTED_VALUE"""),"February")</f>
        <v>February</v>
      </c>
      <c r="B55" s="6" t="str">
        <f>IFERROR(__xludf.DUMMYFUNCTION("""COMPUTED_VALUE"""),"West")</f>
        <v>West</v>
      </c>
      <c r="C55" s="6" t="str">
        <f>IFERROR(__xludf.DUMMYFUNCTION("""COMPUTED_VALUE"""),"Surat")</f>
        <v>Surat</v>
      </c>
      <c r="D55" s="6" t="str">
        <f>IFERROR(__xludf.DUMMYFUNCTION("""COMPUTED_VALUE"""),"NutriKid")</f>
        <v>NutriKid</v>
      </c>
      <c r="E55" s="6">
        <f>IFERROR(__xludf.DUMMYFUNCTION("""COMPUTED_VALUE"""),16493.0)</f>
        <v>16493</v>
      </c>
      <c r="F55" s="6">
        <f>IFERROR(__xludf.DUMMYFUNCTION("""COMPUTED_VALUE"""),16988.0)</f>
        <v>16988</v>
      </c>
      <c r="G55" s="59">
        <f>IFERROR(__xludf.DUMMYFUNCTION("""COMPUTED_VALUE"""),940101.0)</f>
        <v>940101</v>
      </c>
      <c r="H55" s="6">
        <f>IFERROR(__xludf.DUMMYFUNCTION("""COMPUTED_VALUE"""),1019280.0)</f>
        <v>1019280</v>
      </c>
    </row>
    <row r="56" ht="15.75" customHeight="1">
      <c r="A56" s="6" t="str">
        <f>IFERROR(__xludf.DUMMYFUNCTION("""COMPUTED_VALUE"""),"February")</f>
        <v>February</v>
      </c>
      <c r="B56" s="6" t="str">
        <f>IFERROR(__xludf.DUMMYFUNCTION("""COMPUTED_VALUE"""),"South")</f>
        <v>South</v>
      </c>
      <c r="C56" s="6" t="str">
        <f>IFERROR(__xludf.DUMMYFUNCTION("""COMPUTED_VALUE"""),"Hyderabad")</f>
        <v>Hyderabad</v>
      </c>
      <c r="D56" s="6" t="str">
        <f>IFERROR(__xludf.DUMMYFUNCTION("""COMPUTED_VALUE"""),"ZestVita")</f>
        <v>ZestVita</v>
      </c>
      <c r="E56" s="6">
        <f>IFERROR(__xludf.DUMMYFUNCTION("""COMPUTED_VALUE"""),29078.0)</f>
        <v>29078</v>
      </c>
      <c r="F56" s="6">
        <f>IFERROR(__xludf.DUMMYFUNCTION("""COMPUTED_VALUE"""),33730.0)</f>
        <v>33730</v>
      </c>
      <c r="G56" s="59">
        <f>IFERROR(__xludf.DUMMYFUNCTION("""COMPUTED_VALUE"""),3925530.0)</f>
        <v>3925530</v>
      </c>
      <c r="H56" s="6">
        <f>IFERROR(__xludf.DUMMYFUNCTION("""COMPUTED_VALUE"""),4553550.0)</f>
        <v>4553550</v>
      </c>
    </row>
    <row r="57" ht="15.75" customHeight="1">
      <c r="A57" s="6" t="str">
        <f>IFERROR(__xludf.DUMMYFUNCTION("""COMPUTED_VALUE"""),"February")</f>
        <v>February</v>
      </c>
      <c r="B57" s="6" t="str">
        <f>IFERROR(__xludf.DUMMYFUNCTION("""COMPUTED_VALUE"""),"South")</f>
        <v>South</v>
      </c>
      <c r="C57" s="6" t="str">
        <f>IFERROR(__xludf.DUMMYFUNCTION("""COMPUTED_VALUE"""),"Hyderabad")</f>
        <v>Hyderabad</v>
      </c>
      <c r="D57" s="6" t="str">
        <f>IFERROR(__xludf.DUMMYFUNCTION("""COMPUTED_VALUE"""),"NutriKid")</f>
        <v>NutriKid</v>
      </c>
      <c r="E57" s="6">
        <f>IFERROR(__xludf.DUMMYFUNCTION("""COMPUTED_VALUE"""),28842.0)</f>
        <v>28842</v>
      </c>
      <c r="F57" s="6">
        <f>IFERROR(__xludf.DUMMYFUNCTION("""COMPUTED_VALUE"""),31726.0)</f>
        <v>31726</v>
      </c>
      <c r="G57" s="59">
        <f>IFERROR(__xludf.DUMMYFUNCTION("""COMPUTED_VALUE"""),1730520.0)</f>
        <v>1730520</v>
      </c>
      <c r="H57" s="6">
        <f>IFERROR(__xludf.DUMMYFUNCTION("""COMPUTED_VALUE"""),1903560.0)</f>
        <v>1903560</v>
      </c>
    </row>
    <row r="58" ht="15.75" customHeight="1">
      <c r="A58" s="6" t="str">
        <f>IFERROR(__xludf.DUMMYFUNCTION("""COMPUTED_VALUE"""),"February")</f>
        <v>February</v>
      </c>
      <c r="B58" s="6" t="str">
        <f>IFERROR(__xludf.DUMMYFUNCTION("""COMPUTED_VALUE"""),"North")</f>
        <v>North</v>
      </c>
      <c r="C58" s="6" t="str">
        <f>IFERROR(__xludf.DUMMYFUNCTION("""COMPUTED_VALUE"""),"Dehradun")</f>
        <v>Dehradun</v>
      </c>
      <c r="D58" s="6" t="str">
        <f>IFERROR(__xludf.DUMMYFUNCTION("""COMPUTED_VALUE"""),"ZestVita")</f>
        <v>ZestVita</v>
      </c>
      <c r="E58" s="6">
        <f>IFERROR(__xludf.DUMMYFUNCTION("""COMPUTED_VALUE"""),21865.0)</f>
        <v>21865</v>
      </c>
      <c r="F58" s="6">
        <f>IFERROR(__xludf.DUMMYFUNCTION("""COMPUTED_VALUE"""),23614.0)</f>
        <v>23614</v>
      </c>
      <c r="G58" s="59">
        <f>IFERROR(__xludf.DUMMYFUNCTION("""COMPUTED_VALUE"""),2582803.125)</f>
        <v>2582803.125</v>
      </c>
      <c r="H58" s="6">
        <f>IFERROR(__xludf.DUMMYFUNCTION("""COMPUTED_VALUE"""),3187890.0)</f>
        <v>3187890</v>
      </c>
    </row>
    <row r="59" ht="15.75" customHeight="1">
      <c r="A59" s="6" t="str">
        <f>IFERROR(__xludf.DUMMYFUNCTION("""COMPUTED_VALUE"""),"February")</f>
        <v>February</v>
      </c>
      <c r="B59" s="6" t="str">
        <f>IFERROR(__xludf.DUMMYFUNCTION("""COMPUTED_VALUE"""),"North")</f>
        <v>North</v>
      </c>
      <c r="C59" s="6" t="str">
        <f>IFERROR(__xludf.DUMMYFUNCTION("""COMPUTED_VALUE"""),"Dehradun")</f>
        <v>Dehradun</v>
      </c>
      <c r="D59" s="6" t="str">
        <f>IFERROR(__xludf.DUMMYFUNCTION("""COMPUTED_VALUE"""),"NutriKid")</f>
        <v>NutriKid</v>
      </c>
      <c r="E59" s="6">
        <f>IFERROR(__xludf.DUMMYFUNCTION("""COMPUTED_VALUE"""),13454.0)</f>
        <v>13454</v>
      </c>
      <c r="F59" s="6">
        <f>IFERROR(__xludf.DUMMYFUNCTION("""COMPUTED_VALUE"""),14530.0)</f>
        <v>14530</v>
      </c>
      <c r="G59" s="59">
        <f>IFERROR(__xludf.DUMMYFUNCTION("""COMPUTED_VALUE"""),706335.0)</f>
        <v>706335</v>
      </c>
      <c r="H59" s="6">
        <f>IFERROR(__xludf.DUMMYFUNCTION("""COMPUTED_VALUE"""),871800.0)</f>
        <v>871800</v>
      </c>
    </row>
    <row r="60" ht="15.75" customHeight="1">
      <c r="A60" s="6" t="str">
        <f>IFERROR(__xludf.DUMMYFUNCTION("""COMPUTED_VALUE"""),"February")</f>
        <v>February</v>
      </c>
      <c r="B60" s="6" t="str">
        <f>IFERROR(__xludf.DUMMYFUNCTION("""COMPUTED_VALUE"""),"South")</f>
        <v>South</v>
      </c>
      <c r="C60" s="6" t="str">
        <f>IFERROR(__xludf.DUMMYFUNCTION("""COMPUTED_VALUE"""),"Kochi")</f>
        <v>Kochi</v>
      </c>
      <c r="D60" s="6" t="str">
        <f>IFERROR(__xludf.DUMMYFUNCTION("""COMPUTED_VALUE"""),"ZestVita")</f>
        <v>ZestVita</v>
      </c>
      <c r="E60" s="6">
        <f>IFERROR(__xludf.DUMMYFUNCTION("""COMPUTED_VALUE"""),24236.0)</f>
        <v>24236</v>
      </c>
      <c r="F60" s="6">
        <f>IFERROR(__xludf.DUMMYFUNCTION("""COMPUTED_VALUE"""),24721.0)</f>
        <v>24721</v>
      </c>
      <c r="G60" s="59">
        <f>IFERROR(__xludf.DUMMYFUNCTION("""COMPUTED_VALUE"""),2944674.0)</f>
        <v>2944674</v>
      </c>
      <c r="H60" s="6">
        <f>IFERROR(__xludf.DUMMYFUNCTION("""COMPUTED_VALUE"""),3337335.0)</f>
        <v>3337335</v>
      </c>
    </row>
    <row r="61" ht="15.75" customHeight="1">
      <c r="A61" s="6" t="str">
        <f>IFERROR(__xludf.DUMMYFUNCTION("""COMPUTED_VALUE"""),"February")</f>
        <v>February</v>
      </c>
      <c r="B61" s="6" t="str">
        <f>IFERROR(__xludf.DUMMYFUNCTION("""COMPUTED_VALUE"""),"South")</f>
        <v>South</v>
      </c>
      <c r="C61" s="6" t="str">
        <f>IFERROR(__xludf.DUMMYFUNCTION("""COMPUTED_VALUE"""),"Kochi")</f>
        <v>Kochi</v>
      </c>
      <c r="D61" s="6" t="str">
        <f>IFERROR(__xludf.DUMMYFUNCTION("""COMPUTED_VALUE"""),"NutriKid")</f>
        <v>NutriKid</v>
      </c>
      <c r="E61" s="6">
        <f>IFERROR(__xludf.DUMMYFUNCTION("""COMPUTED_VALUE"""),14406.0)</f>
        <v>14406</v>
      </c>
      <c r="F61" s="6">
        <f>IFERROR(__xludf.DUMMYFUNCTION("""COMPUTED_VALUE"""),15270.0)</f>
        <v>15270</v>
      </c>
      <c r="G61" s="59">
        <f>IFERROR(__xludf.DUMMYFUNCTION("""COMPUTED_VALUE"""),777924.0)</f>
        <v>777924</v>
      </c>
      <c r="H61" s="6">
        <f>IFERROR(__xludf.DUMMYFUNCTION("""COMPUTED_VALUE"""),916200.0)</f>
        <v>916200</v>
      </c>
    </row>
    <row r="62" ht="15.75" customHeight="1">
      <c r="A62" s="6" t="str">
        <f>IFERROR(__xludf.DUMMYFUNCTION("""COMPUTED_VALUE"""),"February")</f>
        <v>February</v>
      </c>
      <c r="B62" s="6" t="str">
        <f>IFERROR(__xludf.DUMMYFUNCTION("""COMPUTED_VALUE"""),"West")</f>
        <v>West</v>
      </c>
      <c r="C62" s="6" t="str">
        <f>IFERROR(__xludf.DUMMYFUNCTION("""COMPUTED_VALUE"""),"Jaipur")</f>
        <v>Jaipur</v>
      </c>
      <c r="D62" s="6" t="str">
        <f>IFERROR(__xludf.DUMMYFUNCTION("""COMPUTED_VALUE"""),"ZestVita")</f>
        <v>ZestVita</v>
      </c>
      <c r="E62" s="6">
        <f>IFERROR(__xludf.DUMMYFUNCTION("""COMPUTED_VALUE"""),23105.0)</f>
        <v>23105</v>
      </c>
      <c r="F62" s="6">
        <f>IFERROR(__xludf.DUMMYFUNCTION("""COMPUTED_VALUE"""),28188.0)</f>
        <v>28188</v>
      </c>
      <c r="G62" s="59">
        <f>IFERROR(__xludf.DUMMYFUNCTION("""COMPUTED_VALUE"""),3119175.0)</f>
        <v>3119175</v>
      </c>
      <c r="H62" s="6">
        <f>IFERROR(__xludf.DUMMYFUNCTION("""COMPUTED_VALUE"""),3805380.0)</f>
        <v>3805380</v>
      </c>
    </row>
    <row r="63" ht="15.75" customHeight="1">
      <c r="A63" s="6" t="str">
        <f>IFERROR(__xludf.DUMMYFUNCTION("""COMPUTED_VALUE"""),"February")</f>
        <v>February</v>
      </c>
      <c r="B63" s="6" t="str">
        <f>IFERROR(__xludf.DUMMYFUNCTION("""COMPUTED_VALUE"""),"West")</f>
        <v>West</v>
      </c>
      <c r="C63" s="6" t="str">
        <f>IFERROR(__xludf.DUMMYFUNCTION("""COMPUTED_VALUE"""),"Jaipur")</f>
        <v>Jaipur</v>
      </c>
      <c r="D63" s="6" t="str">
        <f>IFERROR(__xludf.DUMMYFUNCTION("""COMPUTED_VALUE"""),"NutriKid")</f>
        <v>NutriKid</v>
      </c>
      <c r="E63" s="6">
        <f>IFERROR(__xludf.DUMMYFUNCTION("""COMPUTED_VALUE"""),17683.0)</f>
        <v>17683</v>
      </c>
      <c r="F63" s="6">
        <f>IFERROR(__xludf.DUMMYFUNCTION("""COMPUTED_VALUE"""),21573.0)</f>
        <v>21573</v>
      </c>
      <c r="G63" s="59">
        <f>IFERROR(__xludf.DUMMYFUNCTION("""COMPUTED_VALUE"""),1060980.0)</f>
        <v>1060980</v>
      </c>
      <c r="H63" s="6">
        <f>IFERROR(__xludf.DUMMYFUNCTION("""COMPUTED_VALUE"""),1294380.0)</f>
        <v>1294380</v>
      </c>
    </row>
    <row r="64" ht="15.75" customHeight="1">
      <c r="A64" s="6" t="str">
        <f>IFERROR(__xludf.DUMMYFUNCTION("""COMPUTED_VALUE"""),"February")</f>
        <v>February</v>
      </c>
      <c r="B64" s="6" t="str">
        <f>IFERROR(__xludf.DUMMYFUNCTION("""COMPUTED_VALUE"""),"East")</f>
        <v>East</v>
      </c>
      <c r="C64" s="6" t="str">
        <f>IFERROR(__xludf.DUMMYFUNCTION("""COMPUTED_VALUE"""),"Patna")</f>
        <v>Patna</v>
      </c>
      <c r="D64" s="6" t="str">
        <f>IFERROR(__xludf.DUMMYFUNCTION("""COMPUTED_VALUE"""),"ZestVita")</f>
        <v>ZestVita</v>
      </c>
      <c r="E64" s="6">
        <f>IFERROR(__xludf.DUMMYFUNCTION("""COMPUTED_VALUE"""),20260.0)</f>
        <v>20260</v>
      </c>
      <c r="F64" s="6">
        <f>IFERROR(__xludf.DUMMYFUNCTION("""COMPUTED_VALUE"""),23907.0)</f>
        <v>23907</v>
      </c>
      <c r="G64" s="59">
        <f>IFERROR(__xludf.DUMMYFUNCTION("""COMPUTED_VALUE"""),2598345.0)</f>
        <v>2598345</v>
      </c>
      <c r="H64" s="6">
        <f>IFERROR(__xludf.DUMMYFUNCTION("""COMPUTED_VALUE"""),3227445.0)</f>
        <v>3227445</v>
      </c>
    </row>
    <row r="65" ht="15.75" customHeight="1">
      <c r="A65" s="6" t="str">
        <f>IFERROR(__xludf.DUMMYFUNCTION("""COMPUTED_VALUE"""),"February")</f>
        <v>February</v>
      </c>
      <c r="B65" s="6" t="str">
        <f>IFERROR(__xludf.DUMMYFUNCTION("""COMPUTED_VALUE"""),"East")</f>
        <v>East</v>
      </c>
      <c r="C65" s="6" t="str">
        <f>IFERROR(__xludf.DUMMYFUNCTION("""COMPUTED_VALUE"""),"Patna")</f>
        <v>Patna</v>
      </c>
      <c r="D65" s="6" t="str">
        <f>IFERROR(__xludf.DUMMYFUNCTION("""COMPUTED_VALUE"""),"NutriKid")</f>
        <v>NutriKid</v>
      </c>
      <c r="E65" s="6">
        <f>IFERROR(__xludf.DUMMYFUNCTION("""COMPUTED_VALUE"""),26296.0)</f>
        <v>26296</v>
      </c>
      <c r="F65" s="6">
        <f>IFERROR(__xludf.DUMMYFUNCTION("""COMPUTED_VALUE"""),32607.0)</f>
        <v>32607</v>
      </c>
      <c r="G65" s="59">
        <f>IFERROR(__xludf.DUMMYFUNCTION("""COMPUTED_VALUE"""),1498872.0)</f>
        <v>1498872</v>
      </c>
      <c r="H65" s="6">
        <f>IFERROR(__xludf.DUMMYFUNCTION("""COMPUTED_VALUE"""),1956420.0)</f>
        <v>1956420</v>
      </c>
    </row>
    <row r="66" ht="15.75" customHeight="1">
      <c r="A66" s="6" t="str">
        <f>IFERROR(__xludf.DUMMYFUNCTION("""COMPUTED_VALUE"""),"March")</f>
        <v>March</v>
      </c>
      <c r="B66" s="6" t="str">
        <f>IFERROR(__xludf.DUMMYFUNCTION("""COMPUTED_VALUE"""),"North")</f>
        <v>North</v>
      </c>
      <c r="C66" s="6" t="str">
        <f>IFERROR(__xludf.DUMMYFUNCTION("""COMPUTED_VALUE"""),"Delhi")</f>
        <v>Delhi</v>
      </c>
      <c r="D66" s="6" t="str">
        <f>IFERROR(__xludf.DUMMYFUNCTION("""COMPUTED_VALUE"""),"ZestVita")</f>
        <v>ZestVita</v>
      </c>
      <c r="E66" s="6">
        <f>IFERROR(__xludf.DUMMYFUNCTION("""COMPUTED_VALUE"""),28430.0)</f>
        <v>28430</v>
      </c>
      <c r="F66" s="6">
        <f>IFERROR(__xludf.DUMMYFUNCTION("""COMPUTED_VALUE"""),33832.0)</f>
        <v>33832</v>
      </c>
      <c r="G66" s="59">
        <f>IFERROR(__xludf.DUMMYFUNCTION("""COMPUTED_VALUE"""),3838050.0)</f>
        <v>3838050</v>
      </c>
      <c r="H66" s="6">
        <f>IFERROR(__xludf.DUMMYFUNCTION("""COMPUTED_VALUE"""),4567320.0)</f>
        <v>4567320</v>
      </c>
    </row>
    <row r="67" ht="15.75" customHeight="1">
      <c r="A67" s="6" t="str">
        <f>IFERROR(__xludf.DUMMYFUNCTION("""COMPUTED_VALUE"""),"March")</f>
        <v>March</v>
      </c>
      <c r="B67" s="6" t="str">
        <f>IFERROR(__xludf.DUMMYFUNCTION("""COMPUTED_VALUE"""),"North")</f>
        <v>North</v>
      </c>
      <c r="C67" s="6" t="str">
        <f>IFERROR(__xludf.DUMMYFUNCTION("""COMPUTED_VALUE"""),"Delhi")</f>
        <v>Delhi</v>
      </c>
      <c r="D67" s="6" t="str">
        <f>IFERROR(__xludf.DUMMYFUNCTION("""COMPUTED_VALUE"""),"NutriKid")</f>
        <v>NutriKid</v>
      </c>
      <c r="E67" s="6">
        <f>IFERROR(__xludf.DUMMYFUNCTION("""COMPUTED_VALUE"""),22212.0)</f>
        <v>22212</v>
      </c>
      <c r="F67" s="6">
        <f>IFERROR(__xludf.DUMMYFUNCTION("""COMPUTED_VALUE"""),25988.0)</f>
        <v>25988</v>
      </c>
      <c r="G67" s="59">
        <f>IFERROR(__xludf.DUMMYFUNCTION("""COMPUTED_VALUE"""),1332720.0)</f>
        <v>1332720</v>
      </c>
      <c r="H67" s="6">
        <f>IFERROR(__xludf.DUMMYFUNCTION("""COMPUTED_VALUE"""),1559280.0)</f>
        <v>1559280</v>
      </c>
    </row>
    <row r="68" ht="15.75" customHeight="1">
      <c r="A68" s="6" t="str">
        <f>IFERROR(__xludf.DUMMYFUNCTION("""COMPUTED_VALUE"""),"March")</f>
        <v>March</v>
      </c>
      <c r="B68" s="6" t="str">
        <f>IFERROR(__xludf.DUMMYFUNCTION("""COMPUTED_VALUE"""),"East")</f>
        <v>East</v>
      </c>
      <c r="C68" s="6" t="str">
        <f>IFERROR(__xludf.DUMMYFUNCTION("""COMPUTED_VALUE"""),"Kolkata")</f>
        <v>Kolkata</v>
      </c>
      <c r="D68" s="6" t="str">
        <f>IFERROR(__xludf.DUMMYFUNCTION("""COMPUTED_VALUE"""),"ZestVita")</f>
        <v>ZestVita</v>
      </c>
      <c r="E68" s="6">
        <f>IFERROR(__xludf.DUMMYFUNCTION("""COMPUTED_VALUE"""),15565.0)</f>
        <v>15565</v>
      </c>
      <c r="F68" s="6">
        <f>IFERROR(__xludf.DUMMYFUNCTION("""COMPUTED_VALUE"""),17900.0)</f>
        <v>17900</v>
      </c>
      <c r="G68" s="59">
        <f>IFERROR(__xludf.DUMMYFUNCTION("""COMPUTED_VALUE"""),2101275.0)</f>
        <v>2101275</v>
      </c>
      <c r="H68" s="6">
        <f>IFERROR(__xludf.DUMMYFUNCTION("""COMPUTED_VALUE"""),2416500.0)</f>
        <v>2416500</v>
      </c>
    </row>
    <row r="69" ht="15.75" customHeight="1">
      <c r="A69" s="6" t="str">
        <f>IFERROR(__xludf.DUMMYFUNCTION("""COMPUTED_VALUE"""),"March")</f>
        <v>March</v>
      </c>
      <c r="B69" s="6" t="str">
        <f>IFERROR(__xludf.DUMMYFUNCTION("""COMPUTED_VALUE"""),"East")</f>
        <v>East</v>
      </c>
      <c r="C69" s="6" t="str">
        <f>IFERROR(__xludf.DUMMYFUNCTION("""COMPUTED_VALUE"""),"Kolkata")</f>
        <v>Kolkata</v>
      </c>
      <c r="D69" s="6" t="str">
        <f>IFERROR(__xludf.DUMMYFUNCTION("""COMPUTED_VALUE"""),"NutriKid")</f>
        <v>NutriKid</v>
      </c>
      <c r="E69" s="6">
        <f>IFERROR(__xludf.DUMMYFUNCTION("""COMPUTED_VALUE"""),29813.0)</f>
        <v>29813</v>
      </c>
      <c r="F69" s="6">
        <f>IFERROR(__xludf.DUMMYFUNCTION("""COMPUTED_VALUE"""),34285.0)</f>
        <v>34285</v>
      </c>
      <c r="G69" s="59">
        <f>IFERROR(__xludf.DUMMYFUNCTION("""COMPUTED_VALUE"""),1788780.0)</f>
        <v>1788780</v>
      </c>
      <c r="H69" s="6">
        <f>IFERROR(__xludf.DUMMYFUNCTION("""COMPUTED_VALUE"""),2057100.0)</f>
        <v>2057100</v>
      </c>
    </row>
    <row r="70" ht="15.75" customHeight="1">
      <c r="A70" s="6" t="str">
        <f>IFERROR(__xludf.DUMMYFUNCTION("""COMPUTED_VALUE"""),"March")</f>
        <v>March</v>
      </c>
      <c r="B70" s="6" t="str">
        <f>IFERROR(__xludf.DUMMYFUNCTION("""COMPUTED_VALUE"""),"West")</f>
        <v>West</v>
      </c>
      <c r="C70" s="6" t="str">
        <f>IFERROR(__xludf.DUMMYFUNCTION("""COMPUTED_VALUE"""),"Pune")</f>
        <v>Pune</v>
      </c>
      <c r="D70" s="6" t="str">
        <f>IFERROR(__xludf.DUMMYFUNCTION("""COMPUTED_VALUE"""),"ZestVita")</f>
        <v>ZestVita</v>
      </c>
      <c r="E70" s="6">
        <f>IFERROR(__xludf.DUMMYFUNCTION("""COMPUTED_VALUE"""),18789.0)</f>
        <v>18789</v>
      </c>
      <c r="F70" s="6">
        <f>IFERROR(__xludf.DUMMYFUNCTION("""COMPUTED_VALUE"""),23110.0)</f>
        <v>23110</v>
      </c>
      <c r="G70" s="59">
        <f>IFERROR(__xludf.DUMMYFUNCTION("""COMPUTED_VALUE"""),2536515.0)</f>
        <v>2536515</v>
      </c>
      <c r="H70" s="6">
        <f>IFERROR(__xludf.DUMMYFUNCTION("""COMPUTED_VALUE"""),3119850.0)</f>
        <v>3119850</v>
      </c>
    </row>
    <row r="71" ht="15.75" customHeight="1">
      <c r="A71" s="6" t="str">
        <f>IFERROR(__xludf.DUMMYFUNCTION("""COMPUTED_VALUE"""),"March")</f>
        <v>March</v>
      </c>
      <c r="B71" s="6" t="str">
        <f>IFERROR(__xludf.DUMMYFUNCTION("""COMPUTED_VALUE"""),"West")</f>
        <v>West</v>
      </c>
      <c r="C71" s="6" t="str">
        <f>IFERROR(__xludf.DUMMYFUNCTION("""COMPUTED_VALUE"""),"Pune")</f>
        <v>Pune</v>
      </c>
      <c r="D71" s="6" t="str">
        <f>IFERROR(__xludf.DUMMYFUNCTION("""COMPUTED_VALUE"""),"NutriKid")</f>
        <v>NutriKid</v>
      </c>
      <c r="E71" s="6">
        <f>IFERROR(__xludf.DUMMYFUNCTION("""COMPUTED_VALUE"""),21999.0)</f>
        <v>21999</v>
      </c>
      <c r="F71" s="6">
        <f>IFERROR(__xludf.DUMMYFUNCTION("""COMPUTED_VALUE"""),24199.0)</f>
        <v>24199</v>
      </c>
      <c r="G71" s="59">
        <f>IFERROR(__xludf.DUMMYFUNCTION("""COMPUTED_VALUE"""),1319940.0)</f>
        <v>1319940</v>
      </c>
      <c r="H71" s="6">
        <f>IFERROR(__xludf.DUMMYFUNCTION("""COMPUTED_VALUE"""),1451940.0)</f>
        <v>1451940</v>
      </c>
    </row>
    <row r="72" ht="15.75" customHeight="1">
      <c r="A72" s="6" t="str">
        <f>IFERROR(__xludf.DUMMYFUNCTION("""COMPUTED_VALUE"""),"March")</f>
        <v>March</v>
      </c>
      <c r="B72" s="6" t="str">
        <f>IFERROR(__xludf.DUMMYFUNCTION("""COMPUTED_VALUE"""),"South")</f>
        <v>South</v>
      </c>
      <c r="C72" s="6" t="str">
        <f>IFERROR(__xludf.DUMMYFUNCTION("""COMPUTED_VALUE"""),"Bengaluru")</f>
        <v>Bengaluru</v>
      </c>
      <c r="D72" s="6" t="str">
        <f>IFERROR(__xludf.DUMMYFUNCTION("""COMPUTED_VALUE"""),"ZestVita")</f>
        <v>ZestVita</v>
      </c>
      <c r="E72" s="6">
        <f>IFERROR(__xludf.DUMMYFUNCTION("""COMPUTED_VALUE"""),34569.0)</f>
        <v>34569</v>
      </c>
      <c r="F72" s="6">
        <f>IFERROR(__xludf.DUMMYFUNCTION("""COMPUTED_VALUE"""),41483.0)</f>
        <v>41483</v>
      </c>
      <c r="G72" s="59">
        <f>IFERROR(__xludf.DUMMYFUNCTION("""COMPUTED_VALUE"""),4666815.0)</f>
        <v>4666815</v>
      </c>
      <c r="H72" s="6">
        <f>IFERROR(__xludf.DUMMYFUNCTION("""COMPUTED_VALUE"""),5600205.0)</f>
        <v>5600205</v>
      </c>
    </row>
    <row r="73" ht="15.75" customHeight="1">
      <c r="A73" s="6" t="str">
        <f>IFERROR(__xludf.DUMMYFUNCTION("""COMPUTED_VALUE"""),"March")</f>
        <v>March</v>
      </c>
      <c r="B73" s="6" t="str">
        <f>IFERROR(__xludf.DUMMYFUNCTION("""COMPUTED_VALUE"""),"South")</f>
        <v>South</v>
      </c>
      <c r="C73" s="6" t="str">
        <f>IFERROR(__xludf.DUMMYFUNCTION("""COMPUTED_VALUE"""),"Bengaluru")</f>
        <v>Bengaluru</v>
      </c>
      <c r="D73" s="6" t="str">
        <f>IFERROR(__xludf.DUMMYFUNCTION("""COMPUTED_VALUE"""),"NutriKid")</f>
        <v>NutriKid</v>
      </c>
      <c r="E73" s="6">
        <f>IFERROR(__xludf.DUMMYFUNCTION("""COMPUTED_VALUE"""),18435.0)</f>
        <v>18435</v>
      </c>
      <c r="F73" s="6">
        <f>IFERROR(__xludf.DUMMYFUNCTION("""COMPUTED_VALUE"""),22306.0)</f>
        <v>22306</v>
      </c>
      <c r="G73" s="59">
        <f>IFERROR(__xludf.DUMMYFUNCTION("""COMPUTED_VALUE"""),1106100.0)</f>
        <v>1106100</v>
      </c>
      <c r="H73" s="6">
        <f>IFERROR(__xludf.DUMMYFUNCTION("""COMPUTED_VALUE"""),1338360.0)</f>
        <v>1338360</v>
      </c>
    </row>
    <row r="74" ht="15.75" customHeight="1">
      <c r="A74" s="6" t="str">
        <f>IFERROR(__xludf.DUMMYFUNCTION("""COMPUTED_VALUE"""),"March")</f>
        <v>March</v>
      </c>
      <c r="B74" s="6" t="str">
        <f>IFERROR(__xludf.DUMMYFUNCTION("""COMPUTED_VALUE"""),"North")</f>
        <v>North</v>
      </c>
      <c r="C74" s="6" t="str">
        <f>IFERROR(__xludf.DUMMYFUNCTION("""COMPUTED_VALUE"""),"Chandigarh")</f>
        <v>Chandigarh</v>
      </c>
      <c r="D74" s="6" t="str">
        <f>IFERROR(__xludf.DUMMYFUNCTION("""COMPUTED_VALUE"""),"ZestVita")</f>
        <v>ZestVita</v>
      </c>
      <c r="E74" s="6">
        <f>IFERROR(__xludf.DUMMYFUNCTION("""COMPUTED_VALUE"""),29920.0)</f>
        <v>29920</v>
      </c>
      <c r="F74" s="6">
        <f>IFERROR(__xludf.DUMMYFUNCTION("""COMPUTED_VALUE"""),37101.0)</f>
        <v>37101</v>
      </c>
      <c r="G74" s="59">
        <f>IFERROR(__xludf.DUMMYFUNCTION("""COMPUTED_VALUE"""),4039200.0)</f>
        <v>4039200</v>
      </c>
      <c r="H74" s="6">
        <f>IFERROR(__xludf.DUMMYFUNCTION("""COMPUTED_VALUE"""),5008635.0)</f>
        <v>5008635</v>
      </c>
    </row>
    <row r="75" ht="15.75" customHeight="1">
      <c r="A75" s="6" t="str">
        <f>IFERROR(__xludf.DUMMYFUNCTION("""COMPUTED_VALUE"""),"March")</f>
        <v>March</v>
      </c>
      <c r="B75" s="6" t="str">
        <f>IFERROR(__xludf.DUMMYFUNCTION("""COMPUTED_VALUE"""),"North")</f>
        <v>North</v>
      </c>
      <c r="C75" s="6" t="str">
        <f>IFERROR(__xludf.DUMMYFUNCTION("""COMPUTED_VALUE"""),"Chandigarh")</f>
        <v>Chandigarh</v>
      </c>
      <c r="D75" s="6" t="str">
        <f>IFERROR(__xludf.DUMMYFUNCTION("""COMPUTED_VALUE"""),"NutriKid")</f>
        <v>NutriKid</v>
      </c>
      <c r="E75" s="6">
        <f>IFERROR(__xludf.DUMMYFUNCTION("""COMPUTED_VALUE"""),31783.0)</f>
        <v>31783</v>
      </c>
      <c r="F75" s="6">
        <f>IFERROR(__xludf.DUMMYFUNCTION("""COMPUTED_VALUE"""),37504.0)</f>
        <v>37504</v>
      </c>
      <c r="G75" s="59">
        <f>IFERROR(__xludf.DUMMYFUNCTION("""COMPUTED_VALUE"""),1906980.0)</f>
        <v>1906980</v>
      </c>
      <c r="H75" s="6">
        <f>IFERROR(__xludf.DUMMYFUNCTION("""COMPUTED_VALUE"""),2250240.0)</f>
        <v>2250240</v>
      </c>
    </row>
    <row r="76" ht="15.75" customHeight="1">
      <c r="A76" s="6" t="str">
        <f>IFERROR(__xludf.DUMMYFUNCTION("""COMPUTED_VALUE"""),"March")</f>
        <v>March</v>
      </c>
      <c r="B76" s="6" t="str">
        <f>IFERROR(__xludf.DUMMYFUNCTION("""COMPUTED_VALUE"""),"East")</f>
        <v>East</v>
      </c>
      <c r="C76" s="6" t="str">
        <f>IFERROR(__xludf.DUMMYFUNCTION("""COMPUTED_VALUE"""),"Bhubaneswar")</f>
        <v>Bhubaneswar</v>
      </c>
      <c r="D76" s="6" t="str">
        <f>IFERROR(__xludf.DUMMYFUNCTION("""COMPUTED_VALUE"""),"ZestVita")</f>
        <v>ZestVita</v>
      </c>
      <c r="E76" s="6">
        <f>IFERROR(__xludf.DUMMYFUNCTION("""COMPUTED_VALUE"""),14433.0)</f>
        <v>14433</v>
      </c>
      <c r="F76" s="6">
        <f>IFERROR(__xludf.DUMMYFUNCTION("""COMPUTED_VALUE"""),14866.0)</f>
        <v>14866</v>
      </c>
      <c r="G76" s="59">
        <f>IFERROR(__xludf.DUMMYFUNCTION("""COMPUTED_VALUE"""),1704898.125)</f>
        <v>1704898.125</v>
      </c>
      <c r="H76" s="6">
        <f>IFERROR(__xludf.DUMMYFUNCTION("""COMPUTED_VALUE"""),2006910.0)</f>
        <v>2006910</v>
      </c>
    </row>
    <row r="77" ht="15.75" customHeight="1">
      <c r="A77" s="6" t="str">
        <f>IFERROR(__xludf.DUMMYFUNCTION("""COMPUTED_VALUE"""),"March")</f>
        <v>March</v>
      </c>
      <c r="B77" s="6" t="str">
        <f>IFERROR(__xludf.DUMMYFUNCTION("""COMPUTED_VALUE"""),"East")</f>
        <v>East</v>
      </c>
      <c r="C77" s="6" t="str">
        <f>IFERROR(__xludf.DUMMYFUNCTION("""COMPUTED_VALUE"""),"Bhubaneswar")</f>
        <v>Bhubaneswar</v>
      </c>
      <c r="D77" s="6" t="str">
        <f>IFERROR(__xludf.DUMMYFUNCTION("""COMPUTED_VALUE"""),"NutriKid")</f>
        <v>NutriKid</v>
      </c>
      <c r="E77" s="6">
        <f>IFERROR(__xludf.DUMMYFUNCTION("""COMPUTED_VALUE"""),19294.0)</f>
        <v>19294</v>
      </c>
      <c r="F77" s="6">
        <f>IFERROR(__xludf.DUMMYFUNCTION("""COMPUTED_VALUE"""),19680.0)</f>
        <v>19680</v>
      </c>
      <c r="G77" s="59">
        <f>IFERROR(__xludf.DUMMYFUNCTION("""COMPUTED_VALUE"""),1012935.0)</f>
        <v>1012935</v>
      </c>
      <c r="H77" s="6">
        <f>IFERROR(__xludf.DUMMYFUNCTION("""COMPUTED_VALUE"""),1180800.0)</f>
        <v>1180800</v>
      </c>
    </row>
    <row r="78" ht="15.75" customHeight="1">
      <c r="A78" s="6" t="str">
        <f>IFERROR(__xludf.DUMMYFUNCTION("""COMPUTED_VALUE"""),"March")</f>
        <v>March</v>
      </c>
      <c r="B78" s="6" t="str">
        <f>IFERROR(__xludf.DUMMYFUNCTION("""COMPUTED_VALUE"""),"West")</f>
        <v>West</v>
      </c>
      <c r="C78" s="6" t="str">
        <f>IFERROR(__xludf.DUMMYFUNCTION("""COMPUTED_VALUE"""),"Ahmedabad")</f>
        <v>Ahmedabad</v>
      </c>
      <c r="D78" s="6" t="str">
        <f>IFERROR(__xludf.DUMMYFUNCTION("""COMPUTED_VALUE"""),"ZestVita")</f>
        <v>ZestVita</v>
      </c>
      <c r="E78" s="6">
        <f>IFERROR(__xludf.DUMMYFUNCTION("""COMPUTED_VALUE"""),26741.0)</f>
        <v>26741</v>
      </c>
      <c r="F78" s="6">
        <f>IFERROR(__xludf.DUMMYFUNCTION("""COMPUTED_VALUE"""),32624.0)</f>
        <v>32624</v>
      </c>
      <c r="G78" s="59">
        <f>IFERROR(__xludf.DUMMYFUNCTION("""COMPUTED_VALUE"""),3610035.0)</f>
        <v>3610035</v>
      </c>
      <c r="H78" s="6">
        <f>IFERROR(__xludf.DUMMYFUNCTION("""COMPUTED_VALUE"""),4404240.0)</f>
        <v>4404240</v>
      </c>
    </row>
    <row r="79" ht="15.75" customHeight="1">
      <c r="A79" s="6" t="str">
        <f>IFERROR(__xludf.DUMMYFUNCTION("""COMPUTED_VALUE"""),"March")</f>
        <v>March</v>
      </c>
      <c r="B79" s="6" t="str">
        <f>IFERROR(__xludf.DUMMYFUNCTION("""COMPUTED_VALUE"""),"West")</f>
        <v>West</v>
      </c>
      <c r="C79" s="6" t="str">
        <f>IFERROR(__xludf.DUMMYFUNCTION("""COMPUTED_VALUE"""),"Ahmedabad")</f>
        <v>Ahmedabad</v>
      </c>
      <c r="D79" s="6" t="str">
        <f>IFERROR(__xludf.DUMMYFUNCTION("""COMPUTED_VALUE"""),"NutriKid")</f>
        <v>NutriKid</v>
      </c>
      <c r="E79" s="6">
        <f>IFERROR(__xludf.DUMMYFUNCTION("""COMPUTED_VALUE"""),15153.0)</f>
        <v>15153</v>
      </c>
      <c r="F79" s="6">
        <f>IFERROR(__xludf.DUMMYFUNCTION("""COMPUTED_VALUE"""),18941.0)</f>
        <v>18941</v>
      </c>
      <c r="G79" s="59">
        <f>IFERROR(__xludf.DUMMYFUNCTION("""COMPUTED_VALUE"""),909180.0)</f>
        <v>909180</v>
      </c>
      <c r="H79" s="6">
        <f>IFERROR(__xludf.DUMMYFUNCTION("""COMPUTED_VALUE"""),1136460.0)</f>
        <v>1136460</v>
      </c>
    </row>
    <row r="80" ht="15.75" customHeight="1">
      <c r="A80" s="6" t="str">
        <f>IFERROR(__xludf.DUMMYFUNCTION("""COMPUTED_VALUE"""),"March")</f>
        <v>March</v>
      </c>
      <c r="B80" s="6" t="str">
        <f>IFERROR(__xludf.DUMMYFUNCTION("""COMPUTED_VALUE"""),"South")</f>
        <v>South</v>
      </c>
      <c r="C80" s="6" t="str">
        <f>IFERROR(__xludf.DUMMYFUNCTION("""COMPUTED_VALUE"""),"Chennai")</f>
        <v>Chennai</v>
      </c>
      <c r="D80" s="6" t="str">
        <f>IFERROR(__xludf.DUMMYFUNCTION("""COMPUTED_VALUE"""),"ZestVita")</f>
        <v>ZestVita</v>
      </c>
      <c r="E80" s="6">
        <f>IFERROR(__xludf.DUMMYFUNCTION("""COMPUTED_VALUE"""),16653.0)</f>
        <v>16653</v>
      </c>
      <c r="F80" s="6">
        <f>IFERROR(__xludf.DUMMYFUNCTION("""COMPUTED_VALUE"""),19484.0)</f>
        <v>19484</v>
      </c>
      <c r="G80" s="59">
        <f>IFERROR(__xludf.DUMMYFUNCTION("""COMPUTED_VALUE"""),2248155.0)</f>
        <v>2248155</v>
      </c>
      <c r="H80" s="6">
        <f>IFERROR(__xludf.DUMMYFUNCTION("""COMPUTED_VALUE"""),2630340.0)</f>
        <v>2630340</v>
      </c>
    </row>
    <row r="81" ht="15.75" customHeight="1">
      <c r="A81" s="6" t="str">
        <f>IFERROR(__xludf.DUMMYFUNCTION("""COMPUTED_VALUE"""),"March")</f>
        <v>March</v>
      </c>
      <c r="B81" s="6" t="str">
        <f>IFERROR(__xludf.DUMMYFUNCTION("""COMPUTED_VALUE"""),"South")</f>
        <v>South</v>
      </c>
      <c r="C81" s="6" t="str">
        <f>IFERROR(__xludf.DUMMYFUNCTION("""COMPUTED_VALUE"""),"Chennai")</f>
        <v>Chennai</v>
      </c>
      <c r="D81" s="6" t="str">
        <f>IFERROR(__xludf.DUMMYFUNCTION("""COMPUTED_VALUE"""),"NutriKid")</f>
        <v>NutriKid</v>
      </c>
      <c r="E81" s="6">
        <f>IFERROR(__xludf.DUMMYFUNCTION("""COMPUTED_VALUE"""),17958.0)</f>
        <v>17958</v>
      </c>
      <c r="F81" s="6">
        <f>IFERROR(__xludf.DUMMYFUNCTION("""COMPUTED_VALUE"""),20472.0)</f>
        <v>20472</v>
      </c>
      <c r="G81" s="59">
        <f>IFERROR(__xludf.DUMMYFUNCTION("""COMPUTED_VALUE"""),1077480.0)</f>
        <v>1077480</v>
      </c>
      <c r="H81" s="6">
        <f>IFERROR(__xludf.DUMMYFUNCTION("""COMPUTED_VALUE"""),1228320.0)</f>
        <v>1228320</v>
      </c>
    </row>
    <row r="82" ht="15.75" customHeight="1">
      <c r="A82" s="6" t="str">
        <f>IFERROR(__xludf.DUMMYFUNCTION("""COMPUTED_VALUE"""),"March")</f>
        <v>March</v>
      </c>
      <c r="B82" s="6" t="str">
        <f>IFERROR(__xludf.DUMMYFUNCTION("""COMPUTED_VALUE"""),"North")</f>
        <v>North</v>
      </c>
      <c r="C82" s="6" t="str">
        <f>IFERROR(__xludf.DUMMYFUNCTION("""COMPUTED_VALUE"""),"Lucknow")</f>
        <v>Lucknow</v>
      </c>
      <c r="D82" s="6" t="str">
        <f>IFERROR(__xludf.DUMMYFUNCTION("""COMPUTED_VALUE"""),"ZestVita")</f>
        <v>ZestVita</v>
      </c>
      <c r="E82" s="6">
        <f>IFERROR(__xludf.DUMMYFUNCTION("""COMPUTED_VALUE"""),23930.0)</f>
        <v>23930</v>
      </c>
      <c r="F82" s="6">
        <f>IFERROR(__xludf.DUMMYFUNCTION("""COMPUTED_VALUE"""),29673.0)</f>
        <v>29673</v>
      </c>
      <c r="G82" s="59">
        <f>IFERROR(__xludf.DUMMYFUNCTION("""COMPUTED_VALUE"""),2907495.0)</f>
        <v>2907495</v>
      </c>
      <c r="H82" s="6">
        <f>IFERROR(__xludf.DUMMYFUNCTION("""COMPUTED_VALUE"""),4005855.0)</f>
        <v>4005855</v>
      </c>
    </row>
    <row r="83" ht="15.75" customHeight="1">
      <c r="A83" s="6" t="str">
        <f>IFERROR(__xludf.DUMMYFUNCTION("""COMPUTED_VALUE"""),"March")</f>
        <v>March</v>
      </c>
      <c r="B83" s="6" t="str">
        <f>IFERROR(__xludf.DUMMYFUNCTION("""COMPUTED_VALUE"""),"North")</f>
        <v>North</v>
      </c>
      <c r="C83" s="6" t="str">
        <f>IFERROR(__xludf.DUMMYFUNCTION("""COMPUTED_VALUE"""),"Lucknow")</f>
        <v>Lucknow</v>
      </c>
      <c r="D83" s="6" t="str">
        <f>IFERROR(__xludf.DUMMYFUNCTION("""COMPUTED_VALUE"""),"NutriKid")</f>
        <v>NutriKid</v>
      </c>
      <c r="E83" s="6">
        <f>IFERROR(__xludf.DUMMYFUNCTION("""COMPUTED_VALUE"""),21340.0)</f>
        <v>21340</v>
      </c>
      <c r="F83" s="6">
        <f>IFERROR(__xludf.DUMMYFUNCTION("""COMPUTED_VALUE"""),25181.0)</f>
        <v>25181</v>
      </c>
      <c r="G83" s="59">
        <f>IFERROR(__xludf.DUMMYFUNCTION("""COMPUTED_VALUE"""),1152360.0)</f>
        <v>1152360</v>
      </c>
      <c r="H83" s="6">
        <f>IFERROR(__xludf.DUMMYFUNCTION("""COMPUTED_VALUE"""),1510860.0)</f>
        <v>1510860</v>
      </c>
    </row>
    <row r="84" ht="15.75" customHeight="1">
      <c r="A84" s="6" t="str">
        <f>IFERROR(__xludf.DUMMYFUNCTION("""COMPUTED_VALUE"""),"March")</f>
        <v>March</v>
      </c>
      <c r="B84" s="6" t="str">
        <f>IFERROR(__xludf.DUMMYFUNCTION("""COMPUTED_VALUE"""),"East")</f>
        <v>East</v>
      </c>
      <c r="C84" s="6" t="str">
        <f>IFERROR(__xludf.DUMMYFUNCTION("""COMPUTED_VALUE"""),"Ranchi")</f>
        <v>Ranchi</v>
      </c>
      <c r="D84" s="6" t="str">
        <f>IFERROR(__xludf.DUMMYFUNCTION("""COMPUTED_VALUE"""),"ZestVita")</f>
        <v>ZestVita</v>
      </c>
      <c r="E84" s="6">
        <f>IFERROR(__xludf.DUMMYFUNCTION("""COMPUTED_VALUE"""),28364.0)</f>
        <v>28364</v>
      </c>
      <c r="F84" s="6">
        <f>IFERROR(__xludf.DUMMYFUNCTION("""COMPUTED_VALUE"""),30349.0)</f>
        <v>30349</v>
      </c>
      <c r="G84" s="59">
        <f>IFERROR(__xludf.DUMMYFUNCTION("""COMPUTED_VALUE"""),3637683.0)</f>
        <v>3637683</v>
      </c>
      <c r="H84" s="6">
        <f>IFERROR(__xludf.DUMMYFUNCTION("""COMPUTED_VALUE"""),4097115.0)</f>
        <v>4097115</v>
      </c>
    </row>
    <row r="85" ht="15.75" customHeight="1">
      <c r="A85" s="6" t="str">
        <f>IFERROR(__xludf.DUMMYFUNCTION("""COMPUTED_VALUE"""),"March")</f>
        <v>March</v>
      </c>
      <c r="B85" s="6" t="str">
        <f>IFERROR(__xludf.DUMMYFUNCTION("""COMPUTED_VALUE"""),"East")</f>
        <v>East</v>
      </c>
      <c r="C85" s="6" t="str">
        <f>IFERROR(__xludf.DUMMYFUNCTION("""COMPUTED_VALUE"""),"Ranchi")</f>
        <v>Ranchi</v>
      </c>
      <c r="D85" s="6" t="str">
        <f>IFERROR(__xludf.DUMMYFUNCTION("""COMPUTED_VALUE"""),"NutriKid")</f>
        <v>NutriKid</v>
      </c>
      <c r="E85" s="6">
        <f>IFERROR(__xludf.DUMMYFUNCTION("""COMPUTED_VALUE"""),17848.0)</f>
        <v>17848</v>
      </c>
      <c r="F85" s="6">
        <f>IFERROR(__xludf.DUMMYFUNCTION("""COMPUTED_VALUE"""),18919.0)</f>
        <v>18919</v>
      </c>
      <c r="G85" s="59">
        <f>IFERROR(__xludf.DUMMYFUNCTION("""COMPUTED_VALUE"""),1017336.0)</f>
        <v>1017336</v>
      </c>
      <c r="H85" s="6">
        <f>IFERROR(__xludf.DUMMYFUNCTION("""COMPUTED_VALUE"""),1135140.0)</f>
        <v>1135140</v>
      </c>
    </row>
    <row r="86" ht="15.75" customHeight="1">
      <c r="A86" s="6" t="str">
        <f>IFERROR(__xludf.DUMMYFUNCTION("""COMPUTED_VALUE"""),"March")</f>
        <v>March</v>
      </c>
      <c r="B86" s="6" t="str">
        <f>IFERROR(__xludf.DUMMYFUNCTION("""COMPUTED_VALUE"""),"West")</f>
        <v>West</v>
      </c>
      <c r="C86" s="6" t="str">
        <f>IFERROR(__xludf.DUMMYFUNCTION("""COMPUTED_VALUE"""),"Surat")</f>
        <v>Surat</v>
      </c>
      <c r="D86" s="6" t="str">
        <f>IFERROR(__xludf.DUMMYFUNCTION("""COMPUTED_VALUE"""),"ZestVita")</f>
        <v>ZestVita</v>
      </c>
      <c r="E86" s="6">
        <f>IFERROR(__xludf.DUMMYFUNCTION("""COMPUTED_VALUE"""),24205.0)</f>
        <v>24205</v>
      </c>
      <c r="F86" s="6">
        <f>IFERROR(__xludf.DUMMYFUNCTION("""COMPUTED_VALUE"""),25657.0)</f>
        <v>25657</v>
      </c>
      <c r="G86" s="59">
        <f>IFERROR(__xludf.DUMMYFUNCTION("""COMPUTED_VALUE"""),3104291.25)</f>
        <v>3104291.25</v>
      </c>
      <c r="H86" s="6">
        <f>IFERROR(__xludf.DUMMYFUNCTION("""COMPUTED_VALUE"""),3463695.0)</f>
        <v>3463695</v>
      </c>
    </row>
    <row r="87" ht="15.75" customHeight="1">
      <c r="A87" s="6" t="str">
        <f>IFERROR(__xludf.DUMMYFUNCTION("""COMPUTED_VALUE"""),"March")</f>
        <v>March</v>
      </c>
      <c r="B87" s="6" t="str">
        <f>IFERROR(__xludf.DUMMYFUNCTION("""COMPUTED_VALUE"""),"West")</f>
        <v>West</v>
      </c>
      <c r="C87" s="6" t="str">
        <f>IFERROR(__xludf.DUMMYFUNCTION("""COMPUTED_VALUE"""),"Surat")</f>
        <v>Surat</v>
      </c>
      <c r="D87" s="6" t="str">
        <f>IFERROR(__xludf.DUMMYFUNCTION("""COMPUTED_VALUE"""),"NutriKid")</f>
        <v>NutriKid</v>
      </c>
      <c r="E87" s="6">
        <f>IFERROR(__xludf.DUMMYFUNCTION("""COMPUTED_VALUE"""),19132.0)</f>
        <v>19132</v>
      </c>
      <c r="F87" s="6">
        <f>IFERROR(__xludf.DUMMYFUNCTION("""COMPUTED_VALUE"""),20280.0)</f>
        <v>20280</v>
      </c>
      <c r="G87" s="59">
        <f>IFERROR(__xludf.DUMMYFUNCTION("""COMPUTED_VALUE"""),1090524.0)</f>
        <v>1090524</v>
      </c>
      <c r="H87" s="6">
        <f>IFERROR(__xludf.DUMMYFUNCTION("""COMPUTED_VALUE"""),1216800.0)</f>
        <v>1216800</v>
      </c>
    </row>
    <row r="88" ht="15.75" customHeight="1">
      <c r="A88" s="6" t="str">
        <f>IFERROR(__xludf.DUMMYFUNCTION("""COMPUTED_VALUE"""),"March")</f>
        <v>March</v>
      </c>
      <c r="B88" s="6" t="str">
        <f>IFERROR(__xludf.DUMMYFUNCTION("""COMPUTED_VALUE"""),"South")</f>
        <v>South</v>
      </c>
      <c r="C88" s="6" t="str">
        <f>IFERROR(__xludf.DUMMYFUNCTION("""COMPUTED_VALUE"""),"Hyderabad")</f>
        <v>Hyderabad</v>
      </c>
      <c r="D88" s="6" t="str">
        <f>IFERROR(__xludf.DUMMYFUNCTION("""COMPUTED_VALUE"""),"ZestVita")</f>
        <v>ZestVita</v>
      </c>
      <c r="E88" s="6">
        <f>IFERROR(__xludf.DUMMYFUNCTION("""COMPUTED_VALUE"""),34021.0)</f>
        <v>34021</v>
      </c>
      <c r="F88" s="6">
        <f>IFERROR(__xludf.DUMMYFUNCTION("""COMPUTED_VALUE"""),40825.0)</f>
        <v>40825</v>
      </c>
      <c r="G88" s="59">
        <f>IFERROR(__xludf.DUMMYFUNCTION("""COMPUTED_VALUE"""),4592835.0)</f>
        <v>4592835</v>
      </c>
      <c r="H88" s="6">
        <f>IFERROR(__xludf.DUMMYFUNCTION("""COMPUTED_VALUE"""),5511375.0)</f>
        <v>5511375</v>
      </c>
    </row>
    <row r="89" ht="15.75" customHeight="1">
      <c r="A89" s="6" t="str">
        <f>IFERROR(__xludf.DUMMYFUNCTION("""COMPUTED_VALUE"""),"March")</f>
        <v>March</v>
      </c>
      <c r="B89" s="6" t="str">
        <f>IFERROR(__xludf.DUMMYFUNCTION("""COMPUTED_VALUE"""),"South")</f>
        <v>South</v>
      </c>
      <c r="C89" s="6" t="str">
        <f>IFERROR(__xludf.DUMMYFUNCTION("""COMPUTED_VALUE"""),"Hyderabad")</f>
        <v>Hyderabad</v>
      </c>
      <c r="D89" s="6" t="str">
        <f>IFERROR(__xludf.DUMMYFUNCTION("""COMPUTED_VALUE"""),"NutriKid")</f>
        <v>NutriKid</v>
      </c>
      <c r="E89" s="6">
        <f>IFERROR(__xludf.DUMMYFUNCTION("""COMPUTED_VALUE"""),33168.0)</f>
        <v>33168</v>
      </c>
      <c r="F89" s="6">
        <f>IFERROR(__xludf.DUMMYFUNCTION("""COMPUTED_VALUE"""),41460.0)</f>
        <v>41460</v>
      </c>
      <c r="G89" s="59">
        <f>IFERROR(__xludf.DUMMYFUNCTION("""COMPUTED_VALUE"""),1990080.0)</f>
        <v>1990080</v>
      </c>
      <c r="H89" s="6">
        <f>IFERROR(__xludf.DUMMYFUNCTION("""COMPUTED_VALUE"""),2487600.0)</f>
        <v>2487600</v>
      </c>
    </row>
    <row r="90" ht="15.75" customHeight="1">
      <c r="A90" s="6" t="str">
        <f>IFERROR(__xludf.DUMMYFUNCTION("""COMPUTED_VALUE"""),"March")</f>
        <v>March</v>
      </c>
      <c r="B90" s="6" t="str">
        <f>IFERROR(__xludf.DUMMYFUNCTION("""COMPUTED_VALUE"""),"North")</f>
        <v>North</v>
      </c>
      <c r="C90" s="6" t="str">
        <f>IFERROR(__xludf.DUMMYFUNCTION("""COMPUTED_VALUE"""),"Dehradun")</f>
        <v>Dehradun</v>
      </c>
      <c r="D90" s="6" t="str">
        <f>IFERROR(__xludf.DUMMYFUNCTION("""COMPUTED_VALUE"""),"ZestVita")</f>
        <v>ZestVita</v>
      </c>
      <c r="E90" s="6">
        <f>IFERROR(__xludf.DUMMYFUNCTION("""COMPUTED_VALUE"""),22958.0)</f>
        <v>22958</v>
      </c>
      <c r="F90" s="6">
        <f>IFERROR(__xludf.DUMMYFUNCTION("""COMPUTED_VALUE"""),23647.0)</f>
        <v>23647</v>
      </c>
      <c r="G90" s="59">
        <f>IFERROR(__xludf.DUMMYFUNCTION("""COMPUTED_VALUE"""),2711913.75)</f>
        <v>2711913.75</v>
      </c>
      <c r="H90" s="6">
        <f>IFERROR(__xludf.DUMMYFUNCTION("""COMPUTED_VALUE"""),3192345.0)</f>
        <v>3192345</v>
      </c>
    </row>
    <row r="91" ht="15.75" customHeight="1">
      <c r="A91" s="6" t="str">
        <f>IFERROR(__xludf.DUMMYFUNCTION("""COMPUTED_VALUE"""),"March")</f>
        <v>March</v>
      </c>
      <c r="B91" s="6" t="str">
        <f>IFERROR(__xludf.DUMMYFUNCTION("""COMPUTED_VALUE"""),"North")</f>
        <v>North</v>
      </c>
      <c r="C91" s="6" t="str">
        <f>IFERROR(__xludf.DUMMYFUNCTION("""COMPUTED_VALUE"""),"Dehradun")</f>
        <v>Dehradun</v>
      </c>
      <c r="D91" s="6" t="str">
        <f>IFERROR(__xludf.DUMMYFUNCTION("""COMPUTED_VALUE"""),"NutriKid")</f>
        <v>NutriKid</v>
      </c>
      <c r="E91" s="6">
        <f>IFERROR(__xludf.DUMMYFUNCTION("""COMPUTED_VALUE"""),14396.0)</f>
        <v>14396</v>
      </c>
      <c r="F91" s="6">
        <f>IFERROR(__xludf.DUMMYFUNCTION("""COMPUTED_VALUE"""),15548.0)</f>
        <v>15548</v>
      </c>
      <c r="G91" s="59">
        <f>IFERROR(__xludf.DUMMYFUNCTION("""COMPUTED_VALUE"""),755790.0)</f>
        <v>755790</v>
      </c>
      <c r="H91" s="6">
        <f>IFERROR(__xludf.DUMMYFUNCTION("""COMPUTED_VALUE"""),932880.0)</f>
        <v>932880</v>
      </c>
    </row>
    <row r="92" ht="15.75" customHeight="1">
      <c r="A92" s="6" t="str">
        <f>IFERROR(__xludf.DUMMYFUNCTION("""COMPUTED_VALUE"""),"March")</f>
        <v>March</v>
      </c>
      <c r="B92" s="6" t="str">
        <f>IFERROR(__xludf.DUMMYFUNCTION("""COMPUTED_VALUE"""),"South")</f>
        <v>South</v>
      </c>
      <c r="C92" s="6" t="str">
        <f>IFERROR(__xludf.DUMMYFUNCTION("""COMPUTED_VALUE"""),"Kochi")</f>
        <v>Kochi</v>
      </c>
      <c r="D92" s="6" t="str">
        <f>IFERROR(__xludf.DUMMYFUNCTION("""COMPUTED_VALUE"""),"ZestVita")</f>
        <v>ZestVita</v>
      </c>
      <c r="E92" s="6">
        <f>IFERROR(__xludf.DUMMYFUNCTION("""COMPUTED_VALUE"""),24721.0)</f>
        <v>24721</v>
      </c>
      <c r="F92" s="6">
        <f>IFERROR(__xludf.DUMMYFUNCTION("""COMPUTED_VALUE"""),25463.0)</f>
        <v>25463</v>
      </c>
      <c r="G92" s="59">
        <f>IFERROR(__xludf.DUMMYFUNCTION("""COMPUTED_VALUE"""),3003601.5)</f>
        <v>3003601.5</v>
      </c>
      <c r="H92" s="6">
        <f>IFERROR(__xludf.DUMMYFUNCTION("""COMPUTED_VALUE"""),3437505.0)</f>
        <v>3437505</v>
      </c>
    </row>
    <row r="93" ht="15.75" customHeight="1">
      <c r="A93" s="6" t="str">
        <f>IFERROR(__xludf.DUMMYFUNCTION("""COMPUTED_VALUE"""),"March")</f>
        <v>March</v>
      </c>
      <c r="B93" s="6" t="str">
        <f>IFERROR(__xludf.DUMMYFUNCTION("""COMPUTED_VALUE"""),"South")</f>
        <v>South</v>
      </c>
      <c r="C93" s="6" t="str">
        <f>IFERROR(__xludf.DUMMYFUNCTION("""COMPUTED_VALUE"""),"Kochi")</f>
        <v>Kochi</v>
      </c>
      <c r="D93" s="6" t="str">
        <f>IFERROR(__xludf.DUMMYFUNCTION("""COMPUTED_VALUE"""),"NutriKid")</f>
        <v>NutriKid</v>
      </c>
      <c r="E93" s="6">
        <f>IFERROR(__xludf.DUMMYFUNCTION("""COMPUTED_VALUE"""),15270.0)</f>
        <v>15270</v>
      </c>
      <c r="F93" s="6">
        <f>IFERROR(__xludf.DUMMYFUNCTION("""COMPUTED_VALUE"""),16186.0)</f>
        <v>16186</v>
      </c>
      <c r="G93" s="59">
        <f>IFERROR(__xludf.DUMMYFUNCTION("""COMPUTED_VALUE"""),824580.0)</f>
        <v>824580</v>
      </c>
      <c r="H93" s="6">
        <f>IFERROR(__xludf.DUMMYFUNCTION("""COMPUTED_VALUE"""),971160.0)</f>
        <v>971160</v>
      </c>
    </row>
    <row r="94" ht="15.75" customHeight="1">
      <c r="A94" s="6" t="str">
        <f>IFERROR(__xludf.DUMMYFUNCTION("""COMPUTED_VALUE"""),"March")</f>
        <v>March</v>
      </c>
      <c r="B94" s="6" t="str">
        <f>IFERROR(__xludf.DUMMYFUNCTION("""COMPUTED_VALUE"""),"West")</f>
        <v>West</v>
      </c>
      <c r="C94" s="6" t="str">
        <f>IFERROR(__xludf.DUMMYFUNCTION("""COMPUTED_VALUE"""),"Jaipur")</f>
        <v>Jaipur</v>
      </c>
      <c r="D94" s="6" t="str">
        <f>IFERROR(__xludf.DUMMYFUNCTION("""COMPUTED_VALUE"""),"ZestVita")</f>
        <v>ZestVita</v>
      </c>
      <c r="E94" s="6">
        <f>IFERROR(__xludf.DUMMYFUNCTION("""COMPUTED_VALUE"""),27264.0)</f>
        <v>27264</v>
      </c>
      <c r="F94" s="6">
        <f>IFERROR(__xludf.DUMMYFUNCTION("""COMPUTED_VALUE"""),30263.0)</f>
        <v>30263</v>
      </c>
      <c r="G94" s="59">
        <f>IFERROR(__xludf.DUMMYFUNCTION("""COMPUTED_VALUE"""),3680640.0)</f>
        <v>3680640</v>
      </c>
      <c r="H94" s="6">
        <f>IFERROR(__xludf.DUMMYFUNCTION("""COMPUTED_VALUE"""),4085505.0)</f>
        <v>4085505</v>
      </c>
    </row>
    <row r="95" ht="15.75" customHeight="1">
      <c r="A95" s="6" t="str">
        <f>IFERROR(__xludf.DUMMYFUNCTION("""COMPUTED_VALUE"""),"March")</f>
        <v>March</v>
      </c>
      <c r="B95" s="6" t="str">
        <f>IFERROR(__xludf.DUMMYFUNCTION("""COMPUTED_VALUE"""),"West")</f>
        <v>West</v>
      </c>
      <c r="C95" s="6" t="str">
        <f>IFERROR(__xludf.DUMMYFUNCTION("""COMPUTED_VALUE"""),"Jaipur")</f>
        <v>Jaipur</v>
      </c>
      <c r="D95" s="6" t="str">
        <f>IFERROR(__xludf.DUMMYFUNCTION("""COMPUTED_VALUE"""),"NutriKid")</f>
        <v>NutriKid</v>
      </c>
      <c r="E95" s="6">
        <f>IFERROR(__xludf.DUMMYFUNCTION("""COMPUTED_VALUE"""),20689.0)</f>
        <v>20689</v>
      </c>
      <c r="F95" s="6">
        <f>IFERROR(__xludf.DUMMYFUNCTION("""COMPUTED_VALUE"""),23379.0)</f>
        <v>23379</v>
      </c>
      <c r="G95" s="59">
        <f>IFERROR(__xludf.DUMMYFUNCTION("""COMPUTED_VALUE"""),1241340.0)</f>
        <v>1241340</v>
      </c>
      <c r="H95" s="6">
        <f>IFERROR(__xludf.DUMMYFUNCTION("""COMPUTED_VALUE"""),1402740.0)</f>
        <v>1402740</v>
      </c>
    </row>
    <row r="96" ht="15.75" customHeight="1">
      <c r="A96" s="6" t="str">
        <f>IFERROR(__xludf.DUMMYFUNCTION("""COMPUTED_VALUE"""),"March")</f>
        <v>March</v>
      </c>
      <c r="B96" s="6" t="str">
        <f>IFERROR(__xludf.DUMMYFUNCTION("""COMPUTED_VALUE"""),"East")</f>
        <v>East</v>
      </c>
      <c r="C96" s="6" t="str">
        <f>IFERROR(__xludf.DUMMYFUNCTION("""COMPUTED_VALUE"""),"Patna")</f>
        <v>Patna</v>
      </c>
      <c r="D96" s="6" t="str">
        <f>IFERROR(__xludf.DUMMYFUNCTION("""COMPUTED_VALUE"""),"ZestVita")</f>
        <v>ZestVita</v>
      </c>
      <c r="E96" s="6">
        <f>IFERROR(__xludf.DUMMYFUNCTION("""COMPUTED_VALUE"""),23299.0)</f>
        <v>23299</v>
      </c>
      <c r="F96" s="6">
        <f>IFERROR(__xludf.DUMMYFUNCTION("""COMPUTED_VALUE"""),29124.0)</f>
        <v>29124</v>
      </c>
      <c r="G96" s="59">
        <f>IFERROR(__xludf.DUMMYFUNCTION("""COMPUTED_VALUE"""),2988096.75)</f>
        <v>2988096.75</v>
      </c>
      <c r="H96" s="6">
        <f>IFERROR(__xludf.DUMMYFUNCTION("""COMPUTED_VALUE"""),3931740.0)</f>
        <v>3931740</v>
      </c>
    </row>
    <row r="97" ht="15.75" customHeight="1">
      <c r="A97" s="6" t="str">
        <f>IFERROR(__xludf.DUMMYFUNCTION("""COMPUTED_VALUE"""),"March")</f>
        <v>March</v>
      </c>
      <c r="B97" s="6" t="str">
        <f>IFERROR(__xludf.DUMMYFUNCTION("""COMPUTED_VALUE"""),"East")</f>
        <v>East</v>
      </c>
      <c r="C97" s="6" t="str">
        <f>IFERROR(__xludf.DUMMYFUNCTION("""COMPUTED_VALUE"""),"Patna")</f>
        <v>Patna</v>
      </c>
      <c r="D97" s="6" t="str">
        <f>IFERROR(__xludf.DUMMYFUNCTION("""COMPUTED_VALUE"""),"NutriKid")</f>
        <v>NutriKid</v>
      </c>
      <c r="E97" s="6">
        <f>IFERROR(__xludf.DUMMYFUNCTION("""COMPUTED_VALUE"""),30503.0)</f>
        <v>30503</v>
      </c>
      <c r="F97" s="6">
        <f>IFERROR(__xludf.DUMMYFUNCTION("""COMPUTED_VALUE"""),36909.0)</f>
        <v>36909</v>
      </c>
      <c r="G97" s="59">
        <f>IFERROR(__xludf.DUMMYFUNCTION("""COMPUTED_VALUE"""),1738671.0)</f>
        <v>1738671</v>
      </c>
      <c r="H97" s="6">
        <f>IFERROR(__xludf.DUMMYFUNCTION("""COMPUTED_VALUE"""),2214540.0)</f>
        <v>2214540</v>
      </c>
    </row>
    <row r="98" ht="15.75" customHeight="1">
      <c r="A98" s="6" t="str">
        <f>IFERROR(__xludf.DUMMYFUNCTION("""COMPUTED_VALUE"""),"April")</f>
        <v>April</v>
      </c>
      <c r="B98" s="6" t="str">
        <f>IFERROR(__xludf.DUMMYFUNCTION("""COMPUTED_VALUE"""),"North")</f>
        <v>North</v>
      </c>
      <c r="C98" s="6" t="str">
        <f>IFERROR(__xludf.DUMMYFUNCTION("""COMPUTED_VALUE"""),"Delhi")</f>
        <v>Delhi</v>
      </c>
      <c r="D98" s="6" t="str">
        <f>IFERROR(__xludf.DUMMYFUNCTION("""COMPUTED_VALUE"""),"ZestVita")</f>
        <v>ZestVita</v>
      </c>
      <c r="E98" s="6">
        <f>IFERROR(__xludf.DUMMYFUNCTION("""COMPUTED_VALUE"""),32979.0)</f>
        <v>32979</v>
      </c>
      <c r="F98" s="6">
        <f>IFERROR(__xludf.DUMMYFUNCTION("""COMPUTED_VALUE"""),40234.0)</f>
        <v>40234</v>
      </c>
      <c r="G98" s="59">
        <f>IFERROR(__xludf.DUMMYFUNCTION("""COMPUTED_VALUE"""),4452165.0)</f>
        <v>4452165</v>
      </c>
      <c r="H98" s="6">
        <f>IFERROR(__xludf.DUMMYFUNCTION("""COMPUTED_VALUE"""),5431590.0)</f>
        <v>5431590</v>
      </c>
    </row>
    <row r="99" ht="15.75" customHeight="1">
      <c r="A99" s="6" t="str">
        <f>IFERROR(__xludf.DUMMYFUNCTION("""COMPUTED_VALUE"""),"April")</f>
        <v>April</v>
      </c>
      <c r="B99" s="6" t="str">
        <f>IFERROR(__xludf.DUMMYFUNCTION("""COMPUTED_VALUE"""),"North")</f>
        <v>North</v>
      </c>
      <c r="C99" s="6" t="str">
        <f>IFERROR(__xludf.DUMMYFUNCTION("""COMPUTED_VALUE"""),"Delhi")</f>
        <v>Delhi</v>
      </c>
      <c r="D99" s="6" t="str">
        <f>IFERROR(__xludf.DUMMYFUNCTION("""COMPUTED_VALUE"""),"NutriKid")</f>
        <v>NutriKid</v>
      </c>
      <c r="E99" s="6">
        <f>IFERROR(__xludf.DUMMYFUNCTION("""COMPUTED_VALUE"""),25544.0)</f>
        <v>25544</v>
      </c>
      <c r="F99" s="6">
        <f>IFERROR(__xludf.DUMMYFUNCTION("""COMPUTED_VALUE"""),31930.0)</f>
        <v>31930</v>
      </c>
      <c r="G99" s="59">
        <f>IFERROR(__xludf.DUMMYFUNCTION("""COMPUTED_VALUE"""),1532640.0)</f>
        <v>1532640</v>
      </c>
      <c r="H99" s="6">
        <f>IFERROR(__xludf.DUMMYFUNCTION("""COMPUTED_VALUE"""),1915800.0)</f>
        <v>1915800</v>
      </c>
    </row>
    <row r="100" ht="15.75" customHeight="1">
      <c r="A100" s="6" t="str">
        <f>IFERROR(__xludf.DUMMYFUNCTION("""COMPUTED_VALUE"""),"April")</f>
        <v>April</v>
      </c>
      <c r="B100" s="6" t="str">
        <f>IFERROR(__xludf.DUMMYFUNCTION("""COMPUTED_VALUE"""),"East")</f>
        <v>East</v>
      </c>
      <c r="C100" s="6" t="str">
        <f>IFERROR(__xludf.DUMMYFUNCTION("""COMPUTED_VALUE"""),"Kolkata")</f>
        <v>Kolkata</v>
      </c>
      <c r="D100" s="6" t="str">
        <f>IFERROR(__xludf.DUMMYFUNCTION("""COMPUTED_VALUE"""),"ZestVita")</f>
        <v>ZestVita</v>
      </c>
      <c r="E100" s="6">
        <f>IFERROR(__xludf.DUMMYFUNCTION("""COMPUTED_VALUE"""),17900.0)</f>
        <v>17900</v>
      </c>
      <c r="F100" s="6">
        <f>IFERROR(__xludf.DUMMYFUNCTION("""COMPUTED_VALUE"""),20585.0)</f>
        <v>20585</v>
      </c>
      <c r="G100" s="59">
        <f>IFERROR(__xludf.DUMMYFUNCTION("""COMPUTED_VALUE"""),2416500.0)</f>
        <v>2416500</v>
      </c>
      <c r="H100" s="6">
        <f>IFERROR(__xludf.DUMMYFUNCTION("""COMPUTED_VALUE"""),2778975.0)</f>
        <v>2778975</v>
      </c>
    </row>
    <row r="101" ht="15.75" customHeight="1">
      <c r="A101" s="6" t="str">
        <f>IFERROR(__xludf.DUMMYFUNCTION("""COMPUTED_VALUE"""),"April")</f>
        <v>April</v>
      </c>
      <c r="B101" s="6" t="str">
        <f>IFERROR(__xludf.DUMMYFUNCTION("""COMPUTED_VALUE"""),"East")</f>
        <v>East</v>
      </c>
      <c r="C101" s="6" t="str">
        <f>IFERROR(__xludf.DUMMYFUNCTION("""COMPUTED_VALUE"""),"Kolkata")</f>
        <v>Kolkata</v>
      </c>
      <c r="D101" s="6" t="str">
        <f>IFERROR(__xludf.DUMMYFUNCTION("""COMPUTED_VALUE"""),"NutriKid")</f>
        <v>NutriKid</v>
      </c>
      <c r="E101" s="6">
        <f>IFERROR(__xludf.DUMMYFUNCTION("""COMPUTED_VALUE"""),35179.0)</f>
        <v>35179</v>
      </c>
      <c r="F101" s="6">
        <f>IFERROR(__xludf.DUMMYFUNCTION("""COMPUTED_VALUE"""),43622.0)</f>
        <v>43622</v>
      </c>
      <c r="G101" s="59">
        <f>IFERROR(__xludf.DUMMYFUNCTION("""COMPUTED_VALUE"""),2110740.0)</f>
        <v>2110740</v>
      </c>
      <c r="H101" s="6">
        <f>IFERROR(__xludf.DUMMYFUNCTION("""COMPUTED_VALUE"""),2617320.0)</f>
        <v>2617320</v>
      </c>
    </row>
    <row r="102" ht="15.75" customHeight="1">
      <c r="A102" s="6" t="str">
        <f>IFERROR(__xludf.DUMMYFUNCTION("""COMPUTED_VALUE"""),"April")</f>
        <v>April</v>
      </c>
      <c r="B102" s="6" t="str">
        <f>IFERROR(__xludf.DUMMYFUNCTION("""COMPUTED_VALUE"""),"West")</f>
        <v>West</v>
      </c>
      <c r="C102" s="6" t="str">
        <f>IFERROR(__xludf.DUMMYFUNCTION("""COMPUTED_VALUE"""),"Pune")</f>
        <v>Pune</v>
      </c>
      <c r="D102" s="6" t="str">
        <f>IFERROR(__xludf.DUMMYFUNCTION("""COMPUTED_VALUE"""),"ZestVita")</f>
        <v>ZestVita</v>
      </c>
      <c r="E102" s="6">
        <f>IFERROR(__xludf.DUMMYFUNCTION("""COMPUTED_VALUE"""),21795.0)</f>
        <v>21795</v>
      </c>
      <c r="F102" s="6">
        <f>IFERROR(__xludf.DUMMYFUNCTION("""COMPUTED_VALUE"""),26590.0)</f>
        <v>26590</v>
      </c>
      <c r="G102" s="59">
        <f>IFERROR(__xludf.DUMMYFUNCTION("""COMPUTED_VALUE"""),2942325.0)</f>
        <v>2942325</v>
      </c>
      <c r="H102" s="6">
        <f>IFERROR(__xludf.DUMMYFUNCTION("""COMPUTED_VALUE"""),3589650.0)</f>
        <v>3589650</v>
      </c>
    </row>
    <row r="103" ht="15.75" customHeight="1">
      <c r="A103" s="6" t="str">
        <f>IFERROR(__xludf.DUMMYFUNCTION("""COMPUTED_VALUE"""),"April")</f>
        <v>April</v>
      </c>
      <c r="B103" s="6" t="str">
        <f>IFERROR(__xludf.DUMMYFUNCTION("""COMPUTED_VALUE"""),"West")</f>
        <v>West</v>
      </c>
      <c r="C103" s="6" t="str">
        <f>IFERROR(__xludf.DUMMYFUNCTION("""COMPUTED_VALUE"""),"Pune")</f>
        <v>Pune</v>
      </c>
      <c r="D103" s="6" t="str">
        <f>IFERROR(__xludf.DUMMYFUNCTION("""COMPUTED_VALUE"""),"NutriKid")</f>
        <v>NutriKid</v>
      </c>
      <c r="E103" s="6">
        <f>IFERROR(__xludf.DUMMYFUNCTION("""COMPUTED_VALUE"""),25739.0)</f>
        <v>25739</v>
      </c>
      <c r="F103" s="6">
        <f>IFERROR(__xludf.DUMMYFUNCTION("""COMPUTED_VALUE"""),28570.0)</f>
        <v>28570</v>
      </c>
      <c r="G103" s="59">
        <f>IFERROR(__xludf.DUMMYFUNCTION("""COMPUTED_VALUE"""),1544340.0)</f>
        <v>1544340</v>
      </c>
      <c r="H103" s="6">
        <f>IFERROR(__xludf.DUMMYFUNCTION("""COMPUTED_VALUE"""),1714200.0)</f>
        <v>1714200</v>
      </c>
    </row>
    <row r="104" ht="15.75" customHeight="1">
      <c r="A104" s="6" t="str">
        <f>IFERROR(__xludf.DUMMYFUNCTION("""COMPUTED_VALUE"""),"April")</f>
        <v>April</v>
      </c>
      <c r="B104" s="6" t="str">
        <f>IFERROR(__xludf.DUMMYFUNCTION("""COMPUTED_VALUE"""),"South")</f>
        <v>South</v>
      </c>
      <c r="C104" s="6" t="str">
        <f>IFERROR(__xludf.DUMMYFUNCTION("""COMPUTED_VALUE"""),"Bengaluru")</f>
        <v>Bengaluru</v>
      </c>
      <c r="D104" s="6" t="str">
        <f>IFERROR(__xludf.DUMMYFUNCTION("""COMPUTED_VALUE"""),"ZestVita")</f>
        <v>ZestVita</v>
      </c>
      <c r="E104" s="6">
        <f>IFERROR(__xludf.DUMMYFUNCTION("""COMPUTED_VALUE"""),40791.0)</f>
        <v>40791</v>
      </c>
      <c r="F104" s="6">
        <f>IFERROR(__xludf.DUMMYFUNCTION("""COMPUTED_VALUE"""),49765.0)</f>
        <v>49765</v>
      </c>
      <c r="G104" s="59">
        <f>IFERROR(__xludf.DUMMYFUNCTION("""COMPUTED_VALUE"""),5506785.0)</f>
        <v>5506785</v>
      </c>
      <c r="H104" s="6">
        <f>IFERROR(__xludf.DUMMYFUNCTION("""COMPUTED_VALUE"""),6718275.0)</f>
        <v>6718275</v>
      </c>
    </row>
    <row r="105" ht="15.75" customHeight="1">
      <c r="A105" s="6" t="str">
        <f>IFERROR(__xludf.DUMMYFUNCTION("""COMPUTED_VALUE"""),"April")</f>
        <v>April</v>
      </c>
      <c r="B105" s="6" t="str">
        <f>IFERROR(__xludf.DUMMYFUNCTION("""COMPUTED_VALUE"""),"South")</f>
        <v>South</v>
      </c>
      <c r="C105" s="6" t="str">
        <f>IFERROR(__xludf.DUMMYFUNCTION("""COMPUTED_VALUE"""),"Bengaluru")</f>
        <v>Bengaluru</v>
      </c>
      <c r="D105" s="6" t="str">
        <f>IFERROR(__xludf.DUMMYFUNCTION("""COMPUTED_VALUE"""),"NutriKid")</f>
        <v>NutriKid</v>
      </c>
      <c r="E105" s="6">
        <f>IFERROR(__xludf.DUMMYFUNCTION("""COMPUTED_VALUE"""),21753.0)</f>
        <v>21753</v>
      </c>
      <c r="F105" s="6">
        <f>IFERROR(__xludf.DUMMYFUNCTION("""COMPUTED_VALUE"""),26321.0)</f>
        <v>26321</v>
      </c>
      <c r="G105" s="59">
        <f>IFERROR(__xludf.DUMMYFUNCTION("""COMPUTED_VALUE"""),1305180.0)</f>
        <v>1305180</v>
      </c>
      <c r="H105" s="6">
        <f>IFERROR(__xludf.DUMMYFUNCTION("""COMPUTED_VALUE"""),1579260.0)</f>
        <v>1579260</v>
      </c>
    </row>
    <row r="106" ht="15.75" customHeight="1">
      <c r="A106" s="6" t="str">
        <f>IFERROR(__xludf.DUMMYFUNCTION("""COMPUTED_VALUE"""),"April")</f>
        <v>April</v>
      </c>
      <c r="B106" s="6" t="str">
        <f>IFERROR(__xludf.DUMMYFUNCTION("""COMPUTED_VALUE"""),"North")</f>
        <v>North</v>
      </c>
      <c r="C106" s="6" t="str">
        <f>IFERROR(__xludf.DUMMYFUNCTION("""COMPUTED_VALUE"""),"Chandigarh")</f>
        <v>Chandigarh</v>
      </c>
      <c r="D106" s="6" t="str">
        <f>IFERROR(__xludf.DUMMYFUNCTION("""COMPUTED_VALUE"""),"ZestVita")</f>
        <v>ZestVita</v>
      </c>
      <c r="E106" s="6">
        <f>IFERROR(__xludf.DUMMYFUNCTION("""COMPUTED_VALUE"""),35006.0)</f>
        <v>35006</v>
      </c>
      <c r="F106" s="6">
        <f>IFERROR(__xludf.DUMMYFUNCTION("""COMPUTED_VALUE"""),42007.0)</f>
        <v>42007</v>
      </c>
      <c r="G106" s="59">
        <f>IFERROR(__xludf.DUMMYFUNCTION("""COMPUTED_VALUE"""),4725810.0)</f>
        <v>4725810</v>
      </c>
      <c r="H106" s="6">
        <f>IFERROR(__xludf.DUMMYFUNCTION("""COMPUTED_VALUE"""),5670945.0)</f>
        <v>5670945</v>
      </c>
    </row>
    <row r="107" ht="15.75" customHeight="1">
      <c r="A107" s="6" t="str">
        <f>IFERROR(__xludf.DUMMYFUNCTION("""COMPUTED_VALUE"""),"April")</f>
        <v>April</v>
      </c>
      <c r="B107" s="6" t="str">
        <f>IFERROR(__xludf.DUMMYFUNCTION("""COMPUTED_VALUE"""),"North")</f>
        <v>North</v>
      </c>
      <c r="C107" s="6" t="str">
        <f>IFERROR(__xludf.DUMMYFUNCTION("""COMPUTED_VALUE"""),"Chandigarh")</f>
        <v>Chandigarh</v>
      </c>
      <c r="D107" s="6" t="str">
        <f>IFERROR(__xludf.DUMMYFUNCTION("""COMPUTED_VALUE"""),"NutriKid")</f>
        <v>NutriKid</v>
      </c>
      <c r="E107" s="6">
        <f>IFERROR(__xludf.DUMMYFUNCTION("""COMPUTED_VALUE"""),37186.0)</f>
        <v>37186</v>
      </c>
      <c r="F107" s="6">
        <f>IFERROR(__xludf.DUMMYFUNCTION("""COMPUTED_VALUE"""),44995.0)</f>
        <v>44995</v>
      </c>
      <c r="G107" s="59">
        <f>IFERROR(__xludf.DUMMYFUNCTION("""COMPUTED_VALUE"""),2231160.0)</f>
        <v>2231160</v>
      </c>
      <c r="H107" s="6">
        <f>IFERROR(__xludf.DUMMYFUNCTION("""COMPUTED_VALUE"""),2699700.0)</f>
        <v>2699700</v>
      </c>
    </row>
    <row r="108" ht="15.75" customHeight="1">
      <c r="A108" s="6" t="str">
        <f>IFERROR(__xludf.DUMMYFUNCTION("""COMPUTED_VALUE"""),"April")</f>
        <v>April</v>
      </c>
      <c r="B108" s="6" t="str">
        <f>IFERROR(__xludf.DUMMYFUNCTION("""COMPUTED_VALUE"""),"East")</f>
        <v>East</v>
      </c>
      <c r="C108" s="6" t="str">
        <f>IFERROR(__xludf.DUMMYFUNCTION("""COMPUTED_VALUE"""),"Bhubaneswar")</f>
        <v>Bhubaneswar</v>
      </c>
      <c r="D108" s="6" t="str">
        <f>IFERROR(__xludf.DUMMYFUNCTION("""COMPUTED_VALUE"""),"ZestVita")</f>
        <v>ZestVita</v>
      </c>
      <c r="E108" s="6">
        <f>IFERROR(__xludf.DUMMYFUNCTION("""COMPUTED_VALUE"""),14722.0)</f>
        <v>14722</v>
      </c>
      <c r="F108" s="6">
        <f>IFERROR(__xludf.DUMMYFUNCTION("""COMPUTED_VALUE"""),15164.0)</f>
        <v>15164</v>
      </c>
      <c r="G108" s="59">
        <f>IFERROR(__xludf.DUMMYFUNCTION("""COMPUTED_VALUE"""),1739036.25)</f>
        <v>1739036.25</v>
      </c>
      <c r="H108" s="6">
        <f>IFERROR(__xludf.DUMMYFUNCTION("""COMPUTED_VALUE"""),2047140.0)</f>
        <v>2047140</v>
      </c>
    </row>
    <row r="109" ht="15.75" customHeight="1">
      <c r="A109" s="6" t="str">
        <f>IFERROR(__xludf.DUMMYFUNCTION("""COMPUTED_VALUE"""),"April")</f>
        <v>April</v>
      </c>
      <c r="B109" s="6" t="str">
        <f>IFERROR(__xludf.DUMMYFUNCTION("""COMPUTED_VALUE"""),"East")</f>
        <v>East</v>
      </c>
      <c r="C109" s="6" t="str">
        <f>IFERROR(__xludf.DUMMYFUNCTION("""COMPUTED_VALUE"""),"Bhubaneswar")</f>
        <v>Bhubaneswar</v>
      </c>
      <c r="D109" s="6" t="str">
        <f>IFERROR(__xludf.DUMMYFUNCTION("""COMPUTED_VALUE"""),"NutriKid")</f>
        <v>NutriKid</v>
      </c>
      <c r="E109" s="6">
        <f>IFERROR(__xludf.DUMMYFUNCTION("""COMPUTED_VALUE"""),19873.0)</f>
        <v>19873</v>
      </c>
      <c r="F109" s="6">
        <f>IFERROR(__xludf.DUMMYFUNCTION("""COMPUTED_VALUE"""),20469.0)</f>
        <v>20469</v>
      </c>
      <c r="G109" s="59">
        <f>IFERROR(__xludf.DUMMYFUNCTION("""COMPUTED_VALUE"""),1043332.5)</f>
        <v>1043332.5</v>
      </c>
      <c r="H109" s="6">
        <f>IFERROR(__xludf.DUMMYFUNCTION("""COMPUTED_VALUE"""),1228140.0)</f>
        <v>1228140</v>
      </c>
    </row>
    <row r="110" ht="15.75" customHeight="1">
      <c r="A110" s="6" t="str">
        <f>IFERROR(__xludf.DUMMYFUNCTION("""COMPUTED_VALUE"""),"April")</f>
        <v>April</v>
      </c>
      <c r="B110" s="6" t="str">
        <f>IFERROR(__xludf.DUMMYFUNCTION("""COMPUTED_VALUE"""),"West")</f>
        <v>West</v>
      </c>
      <c r="C110" s="6" t="str">
        <f>IFERROR(__xludf.DUMMYFUNCTION("""COMPUTED_VALUE"""),"Ahmedabad")</f>
        <v>Ahmedabad</v>
      </c>
      <c r="D110" s="6" t="str">
        <f>IFERROR(__xludf.DUMMYFUNCTION("""COMPUTED_VALUE"""),"ZestVita")</f>
        <v>ZestVita</v>
      </c>
      <c r="E110" s="6">
        <f>IFERROR(__xludf.DUMMYFUNCTION("""COMPUTED_VALUE"""),30752.0)</f>
        <v>30752</v>
      </c>
      <c r="F110" s="6">
        <f>IFERROR(__xludf.DUMMYFUNCTION("""COMPUTED_VALUE"""),36902.0)</f>
        <v>36902</v>
      </c>
      <c r="G110" s="59">
        <f>IFERROR(__xludf.DUMMYFUNCTION("""COMPUTED_VALUE"""),4151520.0)</f>
        <v>4151520</v>
      </c>
      <c r="H110" s="6">
        <f>IFERROR(__xludf.DUMMYFUNCTION("""COMPUTED_VALUE"""),4981770.0)</f>
        <v>4981770</v>
      </c>
    </row>
    <row r="111" ht="15.75" customHeight="1">
      <c r="A111" s="6" t="str">
        <f>IFERROR(__xludf.DUMMYFUNCTION("""COMPUTED_VALUE"""),"April")</f>
        <v>April</v>
      </c>
      <c r="B111" s="6" t="str">
        <f>IFERROR(__xludf.DUMMYFUNCTION("""COMPUTED_VALUE"""),"West")</f>
        <v>West</v>
      </c>
      <c r="C111" s="6" t="str">
        <f>IFERROR(__xludf.DUMMYFUNCTION("""COMPUTED_VALUE"""),"Ahmedabad")</f>
        <v>Ahmedabad</v>
      </c>
      <c r="D111" s="6" t="str">
        <f>IFERROR(__xludf.DUMMYFUNCTION("""COMPUTED_VALUE"""),"NutriKid")</f>
        <v>NutriKid</v>
      </c>
      <c r="E111" s="6">
        <f>IFERROR(__xludf.DUMMYFUNCTION("""COMPUTED_VALUE"""),17729.0)</f>
        <v>17729</v>
      </c>
      <c r="F111" s="6">
        <f>IFERROR(__xludf.DUMMYFUNCTION("""COMPUTED_VALUE"""),19502.0)</f>
        <v>19502</v>
      </c>
      <c r="G111" s="59">
        <f>IFERROR(__xludf.DUMMYFUNCTION("""COMPUTED_VALUE"""),1063740.0)</f>
        <v>1063740</v>
      </c>
      <c r="H111" s="6">
        <f>IFERROR(__xludf.DUMMYFUNCTION("""COMPUTED_VALUE"""),1170120.0)</f>
        <v>1170120</v>
      </c>
    </row>
    <row r="112" ht="15.75" customHeight="1">
      <c r="A112" s="6" t="str">
        <f>IFERROR(__xludf.DUMMYFUNCTION("""COMPUTED_VALUE"""),"April")</f>
        <v>April</v>
      </c>
      <c r="B112" s="6" t="str">
        <f>IFERROR(__xludf.DUMMYFUNCTION("""COMPUTED_VALUE"""),"South")</f>
        <v>South</v>
      </c>
      <c r="C112" s="6" t="str">
        <f>IFERROR(__xludf.DUMMYFUNCTION("""COMPUTED_VALUE"""),"Chennai")</f>
        <v>Chennai</v>
      </c>
      <c r="D112" s="6" t="str">
        <f>IFERROR(__xludf.DUMMYFUNCTION("""COMPUTED_VALUE"""),"ZestVita")</f>
        <v>ZestVita</v>
      </c>
      <c r="E112" s="6">
        <f>IFERROR(__xludf.DUMMYFUNCTION("""COMPUTED_VALUE"""),19317.0)</f>
        <v>19317</v>
      </c>
      <c r="F112" s="6">
        <f>IFERROR(__xludf.DUMMYFUNCTION("""COMPUTED_VALUE"""),22021.0)</f>
        <v>22021</v>
      </c>
      <c r="G112" s="59">
        <f>IFERROR(__xludf.DUMMYFUNCTION("""COMPUTED_VALUE"""),2607795.0)</f>
        <v>2607795</v>
      </c>
      <c r="H112" s="6">
        <f>IFERROR(__xludf.DUMMYFUNCTION("""COMPUTED_VALUE"""),2972835.0)</f>
        <v>2972835</v>
      </c>
    </row>
    <row r="113" ht="15.75" customHeight="1">
      <c r="A113" s="6" t="str">
        <f>IFERROR(__xludf.DUMMYFUNCTION("""COMPUTED_VALUE"""),"April")</f>
        <v>April</v>
      </c>
      <c r="B113" s="6" t="str">
        <f>IFERROR(__xludf.DUMMYFUNCTION("""COMPUTED_VALUE"""),"South")</f>
        <v>South</v>
      </c>
      <c r="C113" s="6" t="str">
        <f>IFERROR(__xludf.DUMMYFUNCTION("""COMPUTED_VALUE"""),"Chennai")</f>
        <v>Chennai</v>
      </c>
      <c r="D113" s="6" t="str">
        <f>IFERROR(__xludf.DUMMYFUNCTION("""COMPUTED_VALUE"""),"NutriKid")</f>
        <v>NutriKid</v>
      </c>
      <c r="E113" s="6">
        <f>IFERROR(__xludf.DUMMYFUNCTION("""COMPUTED_VALUE"""),21190.0)</f>
        <v>21190</v>
      </c>
      <c r="F113" s="6">
        <f>IFERROR(__xludf.DUMMYFUNCTION("""COMPUTED_VALUE"""),26276.0)</f>
        <v>26276</v>
      </c>
      <c r="G113" s="59">
        <f>IFERROR(__xludf.DUMMYFUNCTION("""COMPUTED_VALUE"""),1271400.0)</f>
        <v>1271400</v>
      </c>
      <c r="H113" s="6">
        <f>IFERROR(__xludf.DUMMYFUNCTION("""COMPUTED_VALUE"""),1576560.0)</f>
        <v>1576560</v>
      </c>
    </row>
    <row r="114" ht="15.75" customHeight="1">
      <c r="A114" s="6" t="str">
        <f>IFERROR(__xludf.DUMMYFUNCTION("""COMPUTED_VALUE"""),"April")</f>
        <v>April</v>
      </c>
      <c r="B114" s="6" t="str">
        <f>IFERROR(__xludf.DUMMYFUNCTION("""COMPUTED_VALUE"""),"North")</f>
        <v>North</v>
      </c>
      <c r="C114" s="6" t="str">
        <f>IFERROR(__xludf.DUMMYFUNCTION("""COMPUTED_VALUE"""),"Lucknow")</f>
        <v>Lucknow</v>
      </c>
      <c r="D114" s="6" t="str">
        <f>IFERROR(__xludf.DUMMYFUNCTION("""COMPUTED_VALUE"""),"ZestVita")</f>
        <v>ZestVita</v>
      </c>
      <c r="E114" s="6">
        <f>IFERROR(__xludf.DUMMYFUNCTION("""COMPUTED_VALUE"""),24409.0)</f>
        <v>24409</v>
      </c>
      <c r="F114" s="6">
        <f>IFERROR(__xludf.DUMMYFUNCTION("""COMPUTED_VALUE"""),27826.0)</f>
        <v>27826</v>
      </c>
      <c r="G114" s="59">
        <f>IFERROR(__xludf.DUMMYFUNCTION("""COMPUTED_VALUE"""),2965693.5)</f>
        <v>2965693.5</v>
      </c>
      <c r="H114" s="6">
        <f>IFERROR(__xludf.DUMMYFUNCTION("""COMPUTED_VALUE"""),3756510.0)</f>
        <v>3756510</v>
      </c>
    </row>
    <row r="115" ht="15.75" customHeight="1">
      <c r="A115" s="6" t="str">
        <f>IFERROR(__xludf.DUMMYFUNCTION("""COMPUTED_VALUE"""),"April")</f>
        <v>April</v>
      </c>
      <c r="B115" s="6" t="str">
        <f>IFERROR(__xludf.DUMMYFUNCTION("""COMPUTED_VALUE"""),"North")</f>
        <v>North</v>
      </c>
      <c r="C115" s="6" t="str">
        <f>IFERROR(__xludf.DUMMYFUNCTION("""COMPUTED_VALUE"""),"Lucknow")</f>
        <v>Lucknow</v>
      </c>
      <c r="D115" s="6" t="str">
        <f>IFERROR(__xludf.DUMMYFUNCTION("""COMPUTED_VALUE"""),"NutriKid")</f>
        <v>NutriKid</v>
      </c>
      <c r="E115" s="6">
        <f>IFERROR(__xludf.DUMMYFUNCTION("""COMPUTED_VALUE"""),22620.0)</f>
        <v>22620</v>
      </c>
      <c r="F115" s="6">
        <f>IFERROR(__xludf.DUMMYFUNCTION("""COMPUTED_VALUE"""),25108.0)</f>
        <v>25108</v>
      </c>
      <c r="G115" s="59">
        <f>IFERROR(__xludf.DUMMYFUNCTION("""COMPUTED_VALUE"""),1221480.0)</f>
        <v>1221480</v>
      </c>
      <c r="H115" s="6">
        <f>IFERROR(__xludf.DUMMYFUNCTION("""COMPUTED_VALUE"""),1506480.0)</f>
        <v>1506480</v>
      </c>
    </row>
    <row r="116" ht="15.75" customHeight="1">
      <c r="A116" s="6" t="str">
        <f>IFERROR(__xludf.DUMMYFUNCTION("""COMPUTED_VALUE"""),"April")</f>
        <v>April</v>
      </c>
      <c r="B116" s="6" t="str">
        <f>IFERROR(__xludf.DUMMYFUNCTION("""COMPUTED_VALUE"""),"East")</f>
        <v>East</v>
      </c>
      <c r="C116" s="6" t="str">
        <f>IFERROR(__xludf.DUMMYFUNCTION("""COMPUTED_VALUE"""),"Ranchi")</f>
        <v>Ranchi</v>
      </c>
      <c r="D116" s="6" t="str">
        <f>IFERROR(__xludf.DUMMYFUNCTION("""COMPUTED_VALUE"""),"ZestVita")</f>
        <v>ZestVita</v>
      </c>
      <c r="E116" s="6">
        <f>IFERROR(__xludf.DUMMYFUNCTION("""COMPUTED_VALUE"""),29782.0)</f>
        <v>29782</v>
      </c>
      <c r="F116" s="6">
        <f>IFERROR(__xludf.DUMMYFUNCTION("""COMPUTED_VALUE"""),30378.0)</f>
        <v>30378</v>
      </c>
      <c r="G116" s="59">
        <f>IFERROR(__xludf.DUMMYFUNCTION("""COMPUTED_VALUE"""),3819541.5)</f>
        <v>3819541.5</v>
      </c>
      <c r="H116" s="6">
        <f>IFERROR(__xludf.DUMMYFUNCTION("""COMPUTED_VALUE"""),4101030.0)</f>
        <v>4101030</v>
      </c>
    </row>
    <row r="117" ht="15.75" customHeight="1">
      <c r="A117" s="6" t="str">
        <f>IFERROR(__xludf.DUMMYFUNCTION("""COMPUTED_VALUE"""),"April")</f>
        <v>April</v>
      </c>
      <c r="B117" s="6" t="str">
        <f>IFERROR(__xludf.DUMMYFUNCTION("""COMPUTED_VALUE"""),"East")</f>
        <v>East</v>
      </c>
      <c r="C117" s="6" t="str">
        <f>IFERROR(__xludf.DUMMYFUNCTION("""COMPUTED_VALUE"""),"Ranchi")</f>
        <v>Ranchi</v>
      </c>
      <c r="D117" s="6" t="str">
        <f>IFERROR(__xludf.DUMMYFUNCTION("""COMPUTED_VALUE"""),"NutriKid")</f>
        <v>NutriKid</v>
      </c>
      <c r="E117" s="6">
        <f>IFERROR(__xludf.DUMMYFUNCTION("""COMPUTED_VALUE"""),19097.0)</f>
        <v>19097</v>
      </c>
      <c r="F117" s="6">
        <f>IFERROR(__xludf.DUMMYFUNCTION("""COMPUTED_VALUE"""),20052.0)</f>
        <v>20052</v>
      </c>
      <c r="G117" s="59">
        <f>IFERROR(__xludf.DUMMYFUNCTION("""COMPUTED_VALUE"""),1088529.0)</f>
        <v>1088529</v>
      </c>
      <c r="H117" s="6">
        <f>IFERROR(__xludf.DUMMYFUNCTION("""COMPUTED_VALUE"""),1203120.0)</f>
        <v>1203120</v>
      </c>
    </row>
    <row r="118" ht="15.75" customHeight="1">
      <c r="A118" s="6" t="str">
        <f>IFERROR(__xludf.DUMMYFUNCTION("""COMPUTED_VALUE"""),"April")</f>
        <v>April</v>
      </c>
      <c r="B118" s="6" t="str">
        <f>IFERROR(__xludf.DUMMYFUNCTION("""COMPUTED_VALUE"""),"West")</f>
        <v>West</v>
      </c>
      <c r="C118" s="6" t="str">
        <f>IFERROR(__xludf.DUMMYFUNCTION("""COMPUTED_VALUE"""),"Surat")</f>
        <v>Surat</v>
      </c>
      <c r="D118" s="6" t="str">
        <f>IFERROR(__xludf.DUMMYFUNCTION("""COMPUTED_VALUE"""),"ZestVita")</f>
        <v>ZestVita</v>
      </c>
      <c r="E118" s="6">
        <f>IFERROR(__xludf.DUMMYFUNCTION("""COMPUTED_VALUE"""),28078.0)</f>
        <v>28078</v>
      </c>
      <c r="F118" s="6">
        <f>IFERROR(__xludf.DUMMYFUNCTION("""COMPUTED_VALUE"""),30043.0)</f>
        <v>30043</v>
      </c>
      <c r="G118" s="59">
        <f>IFERROR(__xludf.DUMMYFUNCTION("""COMPUTED_VALUE"""),3601003.5)</f>
        <v>3601003.5</v>
      </c>
      <c r="H118" s="6">
        <f>IFERROR(__xludf.DUMMYFUNCTION("""COMPUTED_VALUE"""),4055805.0)</f>
        <v>4055805</v>
      </c>
    </row>
    <row r="119" ht="15.75" customHeight="1">
      <c r="A119" s="6" t="str">
        <f>IFERROR(__xludf.DUMMYFUNCTION("""COMPUTED_VALUE"""),"April")</f>
        <v>April</v>
      </c>
      <c r="B119" s="6" t="str">
        <f>IFERROR(__xludf.DUMMYFUNCTION("""COMPUTED_VALUE"""),"West")</f>
        <v>West</v>
      </c>
      <c r="C119" s="6" t="str">
        <f>IFERROR(__xludf.DUMMYFUNCTION("""COMPUTED_VALUE"""),"Surat")</f>
        <v>Surat</v>
      </c>
      <c r="D119" s="6" t="str">
        <f>IFERROR(__xludf.DUMMYFUNCTION("""COMPUTED_VALUE"""),"NutriKid")</f>
        <v>NutriKid</v>
      </c>
      <c r="E119" s="6">
        <f>IFERROR(__xludf.DUMMYFUNCTION("""COMPUTED_VALUE"""),22384.0)</f>
        <v>22384</v>
      </c>
      <c r="F119" s="6">
        <f>IFERROR(__xludf.DUMMYFUNCTION("""COMPUTED_VALUE"""),22832.0)</f>
        <v>22832</v>
      </c>
      <c r="G119" s="59">
        <f>IFERROR(__xludf.DUMMYFUNCTION("""COMPUTED_VALUE"""),1275888.0)</f>
        <v>1275888</v>
      </c>
      <c r="H119" s="6">
        <f>IFERROR(__xludf.DUMMYFUNCTION("""COMPUTED_VALUE"""),1369920.0)</f>
        <v>1369920</v>
      </c>
    </row>
    <row r="120" ht="15.75" customHeight="1">
      <c r="A120" s="6" t="str">
        <f>IFERROR(__xludf.DUMMYFUNCTION("""COMPUTED_VALUE"""),"April")</f>
        <v>April</v>
      </c>
      <c r="B120" s="6" t="str">
        <f>IFERROR(__xludf.DUMMYFUNCTION("""COMPUTED_VALUE"""),"South")</f>
        <v>South</v>
      </c>
      <c r="C120" s="6" t="str">
        <f>IFERROR(__xludf.DUMMYFUNCTION("""COMPUTED_VALUE"""),"Hyderabad")</f>
        <v>Hyderabad</v>
      </c>
      <c r="D120" s="6" t="str">
        <f>IFERROR(__xludf.DUMMYFUNCTION("""COMPUTED_VALUE"""),"ZestVita")</f>
        <v>ZestVita</v>
      </c>
      <c r="E120" s="6">
        <f>IFERROR(__xludf.DUMMYFUNCTION("""COMPUTED_VALUE"""),39124.0)</f>
        <v>39124</v>
      </c>
      <c r="F120" s="6">
        <f>IFERROR(__xludf.DUMMYFUNCTION("""COMPUTED_VALUE"""),48123.0)</f>
        <v>48123</v>
      </c>
      <c r="G120" s="59">
        <f>IFERROR(__xludf.DUMMYFUNCTION("""COMPUTED_VALUE"""),5281740.0)</f>
        <v>5281740</v>
      </c>
      <c r="H120" s="6">
        <f>IFERROR(__xludf.DUMMYFUNCTION("""COMPUTED_VALUE"""),6496605.0)</f>
        <v>6496605</v>
      </c>
    </row>
    <row r="121" ht="15.75" customHeight="1">
      <c r="A121" s="6" t="str">
        <f>IFERROR(__xludf.DUMMYFUNCTION("""COMPUTED_VALUE"""),"April")</f>
        <v>April</v>
      </c>
      <c r="B121" s="6" t="str">
        <f>IFERROR(__xludf.DUMMYFUNCTION("""COMPUTED_VALUE"""),"South")</f>
        <v>South</v>
      </c>
      <c r="C121" s="6" t="str">
        <f>IFERROR(__xludf.DUMMYFUNCTION("""COMPUTED_VALUE"""),"Hyderabad")</f>
        <v>Hyderabad</v>
      </c>
      <c r="D121" s="6" t="str">
        <f>IFERROR(__xludf.DUMMYFUNCTION("""COMPUTED_VALUE"""),"NutriKid")</f>
        <v>NutriKid</v>
      </c>
      <c r="E121" s="6">
        <f>IFERROR(__xludf.DUMMYFUNCTION("""COMPUTED_VALUE"""),38143.0)</f>
        <v>38143</v>
      </c>
      <c r="F121" s="6">
        <f>IFERROR(__xludf.DUMMYFUNCTION("""COMPUTED_VALUE"""),45772.0)</f>
        <v>45772</v>
      </c>
      <c r="G121" s="59">
        <f>IFERROR(__xludf.DUMMYFUNCTION("""COMPUTED_VALUE"""),2288580.0)</f>
        <v>2288580</v>
      </c>
      <c r="H121" s="6">
        <f>IFERROR(__xludf.DUMMYFUNCTION("""COMPUTED_VALUE"""),2746320.0)</f>
        <v>2746320</v>
      </c>
    </row>
    <row r="122" ht="15.75" customHeight="1">
      <c r="A122" s="6" t="str">
        <f>IFERROR(__xludf.DUMMYFUNCTION("""COMPUTED_VALUE"""),"April")</f>
        <v>April</v>
      </c>
      <c r="B122" s="6" t="str">
        <f>IFERROR(__xludf.DUMMYFUNCTION("""COMPUTED_VALUE"""),"North")</f>
        <v>North</v>
      </c>
      <c r="C122" s="6" t="str">
        <f>IFERROR(__xludf.DUMMYFUNCTION("""COMPUTED_VALUE"""),"Dehradun")</f>
        <v>Dehradun</v>
      </c>
      <c r="D122" s="6" t="str">
        <f>IFERROR(__xludf.DUMMYFUNCTION("""COMPUTED_VALUE"""),"ZestVita")</f>
        <v>ZestVita</v>
      </c>
      <c r="E122" s="6">
        <f>IFERROR(__xludf.DUMMYFUNCTION("""COMPUTED_VALUE"""),23876.0)</f>
        <v>23876</v>
      </c>
      <c r="F122" s="6">
        <f>IFERROR(__xludf.DUMMYFUNCTION("""COMPUTED_VALUE"""),24592.0)</f>
        <v>24592</v>
      </c>
      <c r="G122" s="59">
        <f>IFERROR(__xludf.DUMMYFUNCTION("""COMPUTED_VALUE"""),2820352.5)</f>
        <v>2820352.5</v>
      </c>
      <c r="H122" s="6">
        <f>IFERROR(__xludf.DUMMYFUNCTION("""COMPUTED_VALUE"""),3319920.0)</f>
        <v>3319920</v>
      </c>
    </row>
    <row r="123" ht="15.75" customHeight="1">
      <c r="A123" s="6" t="str">
        <f>IFERROR(__xludf.DUMMYFUNCTION("""COMPUTED_VALUE"""),"April")</f>
        <v>April</v>
      </c>
      <c r="B123" s="6" t="str">
        <f>IFERROR(__xludf.DUMMYFUNCTION("""COMPUTED_VALUE"""),"North")</f>
        <v>North</v>
      </c>
      <c r="C123" s="6" t="str">
        <f>IFERROR(__xludf.DUMMYFUNCTION("""COMPUTED_VALUE"""),"Dehradun")</f>
        <v>Dehradun</v>
      </c>
      <c r="D123" s="6" t="str">
        <f>IFERROR(__xludf.DUMMYFUNCTION("""COMPUTED_VALUE"""),"NutriKid")</f>
        <v>NutriKid</v>
      </c>
      <c r="E123" s="6">
        <f>IFERROR(__xludf.DUMMYFUNCTION("""COMPUTED_VALUE"""),14828.0)</f>
        <v>14828</v>
      </c>
      <c r="F123" s="6">
        <f>IFERROR(__xludf.DUMMYFUNCTION("""COMPUTED_VALUE"""),16014.0)</f>
        <v>16014</v>
      </c>
      <c r="G123" s="59">
        <f>IFERROR(__xludf.DUMMYFUNCTION("""COMPUTED_VALUE"""),778470.0)</f>
        <v>778470</v>
      </c>
      <c r="H123" s="6">
        <f>IFERROR(__xludf.DUMMYFUNCTION("""COMPUTED_VALUE"""),960840.0)</f>
        <v>960840</v>
      </c>
    </row>
    <row r="124" ht="15.75" customHeight="1">
      <c r="A124" s="6" t="str">
        <f>IFERROR(__xludf.DUMMYFUNCTION("""COMPUTED_VALUE"""),"April")</f>
        <v>April</v>
      </c>
      <c r="B124" s="6" t="str">
        <f>IFERROR(__xludf.DUMMYFUNCTION("""COMPUTED_VALUE"""),"South")</f>
        <v>South</v>
      </c>
      <c r="C124" s="6" t="str">
        <f>IFERROR(__xludf.DUMMYFUNCTION("""COMPUTED_VALUE"""),"Kochi")</f>
        <v>Kochi</v>
      </c>
      <c r="D124" s="6" t="str">
        <f>IFERROR(__xludf.DUMMYFUNCTION("""COMPUTED_VALUE"""),"ZestVita")</f>
        <v>ZestVita</v>
      </c>
      <c r="E124" s="6">
        <f>IFERROR(__xludf.DUMMYFUNCTION("""COMPUTED_VALUE"""),25957.0)</f>
        <v>25957</v>
      </c>
      <c r="F124" s="6">
        <f>IFERROR(__xludf.DUMMYFUNCTION("""COMPUTED_VALUE"""),26995.0)</f>
        <v>26995</v>
      </c>
      <c r="G124" s="59">
        <f>IFERROR(__xludf.DUMMYFUNCTION("""COMPUTED_VALUE"""),3153775.5)</f>
        <v>3153775.5</v>
      </c>
      <c r="H124" s="6">
        <f>IFERROR(__xludf.DUMMYFUNCTION("""COMPUTED_VALUE"""),3644325.0)</f>
        <v>3644325</v>
      </c>
    </row>
    <row r="125" ht="15.75" customHeight="1">
      <c r="A125" s="6" t="str">
        <f>IFERROR(__xludf.DUMMYFUNCTION("""COMPUTED_VALUE"""),"April")</f>
        <v>April</v>
      </c>
      <c r="B125" s="6" t="str">
        <f>IFERROR(__xludf.DUMMYFUNCTION("""COMPUTED_VALUE"""),"South")</f>
        <v>South</v>
      </c>
      <c r="C125" s="6" t="str">
        <f>IFERROR(__xludf.DUMMYFUNCTION("""COMPUTED_VALUE"""),"Kochi")</f>
        <v>Kochi</v>
      </c>
      <c r="D125" s="6" t="str">
        <f>IFERROR(__xludf.DUMMYFUNCTION("""COMPUTED_VALUE"""),"NutriKid")</f>
        <v>NutriKid</v>
      </c>
      <c r="E125" s="6">
        <f>IFERROR(__xludf.DUMMYFUNCTION("""COMPUTED_VALUE"""),16492.0)</f>
        <v>16492</v>
      </c>
      <c r="F125" s="6">
        <f>IFERROR(__xludf.DUMMYFUNCTION("""COMPUTED_VALUE"""),17646.0)</f>
        <v>17646</v>
      </c>
      <c r="G125" s="59">
        <f>IFERROR(__xludf.DUMMYFUNCTION("""COMPUTED_VALUE"""),890568.0)</f>
        <v>890568</v>
      </c>
      <c r="H125" s="6">
        <f>IFERROR(__xludf.DUMMYFUNCTION("""COMPUTED_VALUE"""),1058760.0)</f>
        <v>1058760</v>
      </c>
    </row>
    <row r="126" ht="15.75" customHeight="1">
      <c r="A126" s="6" t="str">
        <f>IFERROR(__xludf.DUMMYFUNCTION("""COMPUTED_VALUE"""),"April")</f>
        <v>April</v>
      </c>
      <c r="B126" s="6" t="str">
        <f>IFERROR(__xludf.DUMMYFUNCTION("""COMPUTED_VALUE"""),"West")</f>
        <v>West</v>
      </c>
      <c r="C126" s="6" t="str">
        <f>IFERROR(__xludf.DUMMYFUNCTION("""COMPUTED_VALUE"""),"Jaipur")</f>
        <v>Jaipur</v>
      </c>
      <c r="D126" s="6" t="str">
        <f>IFERROR(__xludf.DUMMYFUNCTION("""COMPUTED_VALUE"""),"ZestVita")</f>
        <v>ZestVita</v>
      </c>
      <c r="E126" s="6">
        <f>IFERROR(__xludf.DUMMYFUNCTION("""COMPUTED_VALUE"""),31626.0)</f>
        <v>31626</v>
      </c>
      <c r="F126" s="6">
        <f>IFERROR(__xludf.DUMMYFUNCTION("""COMPUTED_VALUE"""),38267.0)</f>
        <v>38267</v>
      </c>
      <c r="G126" s="59">
        <f>IFERROR(__xludf.DUMMYFUNCTION("""COMPUTED_VALUE"""),4269510.0)</f>
        <v>4269510</v>
      </c>
      <c r="H126" s="6">
        <f>IFERROR(__xludf.DUMMYFUNCTION("""COMPUTED_VALUE"""),5166045.0)</f>
        <v>5166045</v>
      </c>
    </row>
    <row r="127" ht="15.75" customHeight="1">
      <c r="A127" s="6" t="str">
        <f>IFERROR(__xludf.DUMMYFUNCTION("""COMPUTED_VALUE"""),"April")</f>
        <v>April</v>
      </c>
      <c r="B127" s="6" t="str">
        <f>IFERROR(__xludf.DUMMYFUNCTION("""COMPUTED_VALUE"""),"West")</f>
        <v>West</v>
      </c>
      <c r="C127" s="6" t="str">
        <f>IFERROR(__xludf.DUMMYFUNCTION("""COMPUTED_VALUE"""),"Jaipur")</f>
        <v>Jaipur</v>
      </c>
      <c r="D127" s="6" t="str">
        <f>IFERROR(__xludf.DUMMYFUNCTION("""COMPUTED_VALUE"""),"NutriKid")</f>
        <v>NutriKid</v>
      </c>
      <c r="E127" s="6">
        <f>IFERROR(__xludf.DUMMYFUNCTION("""COMPUTED_VALUE"""),24413.0)</f>
        <v>24413</v>
      </c>
      <c r="F127" s="6">
        <f>IFERROR(__xludf.DUMMYFUNCTION("""COMPUTED_VALUE"""),30516.0)</f>
        <v>30516</v>
      </c>
      <c r="G127" s="59">
        <f>IFERROR(__xludf.DUMMYFUNCTION("""COMPUTED_VALUE"""),1464780.0)</f>
        <v>1464780</v>
      </c>
      <c r="H127" s="6">
        <f>IFERROR(__xludf.DUMMYFUNCTION("""COMPUTED_VALUE"""),1830960.0)</f>
        <v>1830960</v>
      </c>
    </row>
    <row r="128" ht="15.75" customHeight="1">
      <c r="A128" s="6" t="str">
        <f>IFERROR(__xludf.DUMMYFUNCTION("""COMPUTED_VALUE"""),"April")</f>
        <v>April</v>
      </c>
      <c r="B128" s="6" t="str">
        <f>IFERROR(__xludf.DUMMYFUNCTION("""COMPUTED_VALUE"""),"East")</f>
        <v>East</v>
      </c>
      <c r="C128" s="6" t="str">
        <f>IFERROR(__xludf.DUMMYFUNCTION("""COMPUTED_VALUE"""),"Patna")</f>
        <v>Patna</v>
      </c>
      <c r="D128" s="6" t="str">
        <f>IFERROR(__xludf.DUMMYFUNCTION("""COMPUTED_VALUE"""),"ZestVita")</f>
        <v>ZestVita</v>
      </c>
      <c r="E128" s="6">
        <f>IFERROR(__xludf.DUMMYFUNCTION("""COMPUTED_VALUE"""),26794.0)</f>
        <v>26794</v>
      </c>
      <c r="F128" s="6">
        <f>IFERROR(__xludf.DUMMYFUNCTION("""COMPUTED_VALUE"""),30545.0)</f>
        <v>30545</v>
      </c>
      <c r="G128" s="59">
        <f>IFERROR(__xludf.DUMMYFUNCTION("""COMPUTED_VALUE"""),3436330.5)</f>
        <v>3436330.5</v>
      </c>
      <c r="H128" s="6">
        <f>IFERROR(__xludf.DUMMYFUNCTION("""COMPUTED_VALUE"""),4123575.0)</f>
        <v>4123575</v>
      </c>
    </row>
    <row r="129" ht="15.75" customHeight="1">
      <c r="A129" s="6" t="str">
        <f>IFERROR(__xludf.DUMMYFUNCTION("""COMPUTED_VALUE"""),"April")</f>
        <v>April</v>
      </c>
      <c r="B129" s="6" t="str">
        <f>IFERROR(__xludf.DUMMYFUNCTION("""COMPUTED_VALUE"""),"East")</f>
        <v>East</v>
      </c>
      <c r="C129" s="6" t="str">
        <f>IFERROR(__xludf.DUMMYFUNCTION("""COMPUTED_VALUE"""),"Patna")</f>
        <v>Patna</v>
      </c>
      <c r="D129" s="6" t="str">
        <f>IFERROR(__xludf.DUMMYFUNCTION("""COMPUTED_VALUE"""),"NutriKid")</f>
        <v>NutriKid</v>
      </c>
      <c r="E129" s="6">
        <f>IFERROR(__xludf.DUMMYFUNCTION("""COMPUTED_VALUE"""),35383.0)</f>
        <v>35383</v>
      </c>
      <c r="F129" s="6">
        <f>IFERROR(__xludf.DUMMYFUNCTION("""COMPUTED_VALUE"""),42460.0)</f>
        <v>42460</v>
      </c>
      <c r="G129" s="59">
        <f>IFERROR(__xludf.DUMMYFUNCTION("""COMPUTED_VALUE"""),2016831.0)</f>
        <v>2016831</v>
      </c>
      <c r="H129" s="6">
        <f>IFERROR(__xludf.DUMMYFUNCTION("""COMPUTED_VALUE"""),2547600.0)</f>
        <v>2547600</v>
      </c>
    </row>
    <row r="130" ht="15.75" customHeight="1">
      <c r="A130" s="6" t="str">
        <f>IFERROR(__xludf.DUMMYFUNCTION("""COMPUTED_VALUE"""),"May")</f>
        <v>May</v>
      </c>
      <c r="B130" s="6" t="str">
        <f>IFERROR(__xludf.DUMMYFUNCTION("""COMPUTED_VALUE"""),"#ERROR!")</f>
        <v>#ERROR!</v>
      </c>
      <c r="C130" s="6" t="str">
        <f>IFERROR(__xludf.DUMMYFUNCTION("""COMPUTED_VALUE"""),"Delhi")</f>
        <v>Delhi</v>
      </c>
      <c r="D130" s="6" t="str">
        <f>IFERROR(__xludf.DUMMYFUNCTION("""COMPUTED_VALUE"""),"ZestVita")</f>
        <v>ZestVita</v>
      </c>
      <c r="E130" s="6">
        <f>IFERROR(__xludf.DUMMYFUNCTION("""COMPUTED_VALUE"""),38585.0)</f>
        <v>38585</v>
      </c>
      <c r="F130" s="6">
        <f>IFERROR(__xludf.DUMMYFUNCTION("""COMPUTED_VALUE"""),45916.0)</f>
        <v>45916</v>
      </c>
      <c r="G130" s="59">
        <f>IFERROR(__xludf.DUMMYFUNCTION("""COMPUTED_VALUE"""),5208975.0)</f>
        <v>5208975</v>
      </c>
      <c r="H130" s="6">
        <f>IFERROR(__xludf.DUMMYFUNCTION("""COMPUTED_VALUE"""),6198660.0)</f>
        <v>6198660</v>
      </c>
    </row>
    <row r="131" ht="15.75" customHeight="1">
      <c r="A131" s="6" t="str">
        <f>IFERROR(__xludf.DUMMYFUNCTION("""COMPUTED_VALUE"""),"May")</f>
        <v>May</v>
      </c>
      <c r="B131" s="6" t="str">
        <f>IFERROR(__xludf.DUMMYFUNCTION("""COMPUTED_VALUE"""),"North")</f>
        <v>North</v>
      </c>
      <c r="C131" s="6" t="str">
        <f>IFERROR(__xludf.DUMMYFUNCTION("""COMPUTED_VALUE"""),"Delhi")</f>
        <v>Delhi</v>
      </c>
      <c r="D131" s="6" t="str">
        <f>IFERROR(__xludf.DUMMYFUNCTION("""COMPUTED_VALUE"""),"NutriKid")</f>
        <v>NutriKid</v>
      </c>
      <c r="E131" s="6">
        <f>IFERROR(__xludf.DUMMYFUNCTION("""COMPUTED_VALUE"""),29886.0)</f>
        <v>29886</v>
      </c>
      <c r="F131" s="6">
        <f>IFERROR(__xludf.DUMMYFUNCTION("""COMPUTED_VALUE"""),34668.0)</f>
        <v>34668</v>
      </c>
      <c r="G131" s="59">
        <f>IFERROR(__xludf.DUMMYFUNCTION("""COMPUTED_VALUE"""),1793160.0)</f>
        <v>1793160</v>
      </c>
      <c r="H131" s="6">
        <f>IFERROR(__xludf.DUMMYFUNCTION("""COMPUTED_VALUE"""),2080080.0)</f>
        <v>2080080</v>
      </c>
    </row>
    <row r="132" ht="15.75" customHeight="1">
      <c r="A132" s="6" t="str">
        <f>IFERROR(__xludf.DUMMYFUNCTION("""COMPUTED_VALUE"""),"May")</f>
        <v>May</v>
      </c>
      <c r="B132" s="6" t="str">
        <f>IFERROR(__xludf.DUMMYFUNCTION("""COMPUTED_VALUE"""),"East")</f>
        <v>East</v>
      </c>
      <c r="C132" s="6" t="str">
        <f>IFERROR(__xludf.DUMMYFUNCTION("""COMPUTED_VALUE"""),"Kolkata")</f>
        <v>Kolkata</v>
      </c>
      <c r="D132" s="6" t="str">
        <f>IFERROR(__xludf.DUMMYFUNCTION("""COMPUTED_VALUE"""),"ZestVita")</f>
        <v>ZestVita</v>
      </c>
      <c r="E132" s="6">
        <f>IFERROR(__xludf.DUMMYFUNCTION("""COMPUTED_VALUE"""),20585.0)</f>
        <v>20585</v>
      </c>
      <c r="F132" s="6">
        <f>IFERROR(__xludf.DUMMYFUNCTION("""COMPUTED_VALUE"""),23879.0)</f>
        <v>23879</v>
      </c>
      <c r="G132" s="59">
        <f>IFERROR(__xludf.DUMMYFUNCTION("""COMPUTED_VALUE"""),2778975.0)</f>
        <v>2778975</v>
      </c>
      <c r="H132" s="6">
        <f>IFERROR(__xludf.DUMMYFUNCTION("""COMPUTED_VALUE"""),3223665.0)</f>
        <v>3223665</v>
      </c>
    </row>
    <row r="133" ht="15.75" customHeight="1">
      <c r="A133" s="6" t="str">
        <f>IFERROR(__xludf.DUMMYFUNCTION("""COMPUTED_VALUE"""),"May")</f>
        <v>May</v>
      </c>
      <c r="B133" s="6" t="str">
        <f>IFERROR(__xludf.DUMMYFUNCTION("""COMPUTED_VALUE"""),"East")</f>
        <v>East</v>
      </c>
      <c r="C133" s="6" t="str">
        <f>IFERROR(__xludf.DUMMYFUNCTION("""COMPUTED_VALUE"""),"Kolkata")</f>
        <v>Kolkata</v>
      </c>
      <c r="D133" s="6" t="str">
        <f>IFERROR(__xludf.DUMMYFUNCTION("""COMPUTED_VALUE"""),"NutriKid")</f>
        <v>NutriKid</v>
      </c>
      <c r="E133" s="6">
        <f>IFERROR(__xludf.DUMMYFUNCTION("""COMPUTED_VALUE"""),41511.0)</f>
        <v>41511</v>
      </c>
      <c r="F133" s="6">
        <f>IFERROR(__xludf.DUMMYFUNCTION("""COMPUTED_VALUE"""),48983.0)</f>
        <v>48983</v>
      </c>
      <c r="G133" s="59">
        <f>IFERROR(__xludf.DUMMYFUNCTION("""COMPUTED_VALUE"""),2490660.0)</f>
        <v>2490660</v>
      </c>
      <c r="H133" s="6">
        <f>IFERROR(__xludf.DUMMYFUNCTION("""COMPUTED_VALUE"""),2938980.0)</f>
        <v>2938980</v>
      </c>
    </row>
    <row r="134" ht="15.75" customHeight="1">
      <c r="A134" s="6" t="str">
        <f>IFERROR(__xludf.DUMMYFUNCTION("""COMPUTED_VALUE"""),"May")</f>
        <v>May</v>
      </c>
      <c r="B134" s="6" t="str">
        <f>IFERROR(__xludf.DUMMYFUNCTION("""COMPUTED_VALUE"""),"West")</f>
        <v>West</v>
      </c>
      <c r="C134" s="6" t="str">
        <f>IFERROR(__xludf.DUMMYFUNCTION("""COMPUTED_VALUE"""),"Pune")</f>
        <v>Pune</v>
      </c>
      <c r="D134" s="6" t="str">
        <f>IFERROR(__xludf.DUMMYFUNCTION("""COMPUTED_VALUE"""),"ZestVita")</f>
        <v>ZestVita</v>
      </c>
      <c r="E134" s="6">
        <f>IFERROR(__xludf.DUMMYFUNCTION("""COMPUTED_VALUE"""),25282.0)</f>
        <v>25282</v>
      </c>
      <c r="F134" s="6">
        <f>IFERROR(__xludf.DUMMYFUNCTION("""COMPUTED_VALUE"""),31097.0)</f>
        <v>31097</v>
      </c>
      <c r="G134" s="59">
        <f>IFERROR(__xludf.DUMMYFUNCTION("""COMPUTED_VALUE"""),3413070.0)</f>
        <v>3413070</v>
      </c>
      <c r="H134" s="6">
        <f>IFERROR(__xludf.DUMMYFUNCTION("""COMPUTED_VALUE"""),4198095.0)</f>
        <v>4198095</v>
      </c>
    </row>
    <row r="135" ht="15.75" customHeight="1">
      <c r="A135" s="6" t="str">
        <f>IFERROR(__xludf.DUMMYFUNCTION("""COMPUTED_VALUE"""),"May")</f>
        <v>May</v>
      </c>
      <c r="B135" s="6" t="str">
        <f>IFERROR(__xludf.DUMMYFUNCTION("""COMPUTED_VALUE"""),"West")</f>
        <v>West</v>
      </c>
      <c r="C135" s="6" t="str">
        <f>IFERROR(__xludf.DUMMYFUNCTION("""COMPUTED_VALUE"""),"Pune")</f>
        <v>Pune</v>
      </c>
      <c r="D135" s="6" t="str">
        <f>IFERROR(__xludf.DUMMYFUNCTION("""COMPUTED_VALUE"""),"NutriKid")</f>
        <v>NutriKid</v>
      </c>
      <c r="E135" s="6">
        <f>IFERROR(__xludf.DUMMYFUNCTION("""COMPUTED_VALUE"""),29857.0)</f>
        <v>29857</v>
      </c>
      <c r="F135" s="6">
        <f>IFERROR(__xludf.DUMMYFUNCTION("""COMPUTED_VALUE"""),34933.0)</f>
        <v>34933</v>
      </c>
      <c r="G135" s="59">
        <f>IFERROR(__xludf.DUMMYFUNCTION("""COMPUTED_VALUE"""),1791420.0)</f>
        <v>1791420</v>
      </c>
      <c r="H135" s="6">
        <f>IFERROR(__xludf.DUMMYFUNCTION("""COMPUTED_VALUE"""),2095980.0)</f>
        <v>2095980</v>
      </c>
    </row>
    <row r="136" ht="15.75" customHeight="1">
      <c r="A136" s="6" t="str">
        <f>IFERROR(__xludf.DUMMYFUNCTION("""COMPUTED_VALUE"""),"May")</f>
        <v>May</v>
      </c>
      <c r="B136" s="6" t="str">
        <f>IFERROR(__xludf.DUMMYFUNCTION("""COMPUTED_VALUE"""),"South")</f>
        <v>South</v>
      </c>
      <c r="C136" s="6" t="str">
        <f>IFERROR(__xludf.DUMMYFUNCTION("""COMPUTED_VALUE"""),"Bengaluru")</f>
        <v>Bengaluru</v>
      </c>
      <c r="D136" s="6" t="str">
        <f>IFERROR(__xludf.DUMMYFUNCTION("""COMPUTED_VALUE"""),"ZestVita")</f>
        <v>ZestVita</v>
      </c>
      <c r="E136" s="6">
        <f>IFERROR(__xludf.DUMMYFUNCTION("""COMPUTED_VALUE"""),47725.0)</f>
        <v>47725</v>
      </c>
      <c r="F136" s="6">
        <f>IFERROR(__xludf.DUMMYFUNCTION("""COMPUTED_VALUE"""),52975.0)</f>
        <v>52975</v>
      </c>
      <c r="G136" s="59">
        <f>IFERROR(__xludf.DUMMYFUNCTION("""COMPUTED_VALUE"""),6442875.0)</f>
        <v>6442875</v>
      </c>
      <c r="H136" s="6">
        <f>IFERROR(__xludf.DUMMYFUNCTION("""COMPUTED_VALUE"""),7151625.0)</f>
        <v>7151625</v>
      </c>
    </row>
    <row r="137" ht="15.75" customHeight="1">
      <c r="A137" s="6" t="str">
        <f>IFERROR(__xludf.DUMMYFUNCTION("""COMPUTED_VALUE"""),"May")</f>
        <v>May</v>
      </c>
      <c r="B137" s="6" t="str">
        <f>IFERROR(__xludf.DUMMYFUNCTION("""COMPUTED_VALUE"""),"South")</f>
        <v>South</v>
      </c>
      <c r="C137" s="6" t="str">
        <f>IFERROR(__xludf.DUMMYFUNCTION("""COMPUTED_VALUE"""),"Bengaluru")</f>
        <v>Bengaluru</v>
      </c>
      <c r="D137" s="6" t="str">
        <f>IFERROR(__xludf.DUMMYFUNCTION("""COMPUTED_VALUE"""),"NutriKid")</f>
        <v>NutriKid</v>
      </c>
      <c r="E137" s="6">
        <f>IFERROR(__xludf.DUMMYFUNCTION("""COMPUTED_VALUE"""),25451.0)</f>
        <v>25451</v>
      </c>
      <c r="F137" s="6">
        <f>IFERROR(__xludf.DUMMYFUNCTION("""COMPUTED_VALUE"""),28505.0)</f>
        <v>28505</v>
      </c>
      <c r="G137" s="59">
        <f>IFERROR(__xludf.DUMMYFUNCTION("""COMPUTED_VALUE"""),1527060.0)</f>
        <v>1527060</v>
      </c>
      <c r="H137" s="6">
        <f>IFERROR(__xludf.DUMMYFUNCTION("""COMPUTED_VALUE"""),1710300.0)</f>
        <v>1710300</v>
      </c>
    </row>
    <row r="138" ht="15.75" customHeight="1">
      <c r="A138" s="6" t="str">
        <f>IFERROR(__xludf.DUMMYFUNCTION("""COMPUTED_VALUE"""),"May")</f>
        <v>May</v>
      </c>
      <c r="B138" s="6" t="str">
        <f>IFERROR(__xludf.DUMMYFUNCTION("""COMPUTED_VALUE"""),"North")</f>
        <v>North</v>
      </c>
      <c r="C138" s="6" t="str">
        <f>IFERROR(__xludf.DUMMYFUNCTION("""COMPUTED_VALUE"""),"Chandigarh")</f>
        <v>Chandigarh</v>
      </c>
      <c r="D138" s="6" t="str">
        <f>IFERROR(__xludf.DUMMYFUNCTION("""COMPUTED_VALUE"""),"ZestVita")</f>
        <v>ZestVita</v>
      </c>
      <c r="E138" s="6">
        <f>IFERROR(__xludf.DUMMYFUNCTION("""COMPUTED_VALUE"""),41307.0)</f>
        <v>41307</v>
      </c>
      <c r="F138" s="6">
        <f>IFERROR(__xludf.DUMMYFUNCTION("""COMPUTED_VALUE"""),46677.0)</f>
        <v>46677</v>
      </c>
      <c r="G138" s="59">
        <f>IFERROR(__xludf.DUMMYFUNCTION("""COMPUTED_VALUE"""),5576445.0)</f>
        <v>5576445</v>
      </c>
      <c r="H138" s="6">
        <f>IFERROR(__xludf.DUMMYFUNCTION("""COMPUTED_VALUE"""),6301395.0)</f>
        <v>6301395</v>
      </c>
    </row>
    <row r="139" ht="15.75" customHeight="1">
      <c r="A139" s="6" t="str">
        <f>IFERROR(__xludf.DUMMYFUNCTION("""COMPUTED_VALUE"""),"May")</f>
        <v>May</v>
      </c>
      <c r="B139" s="6" t="str">
        <f>IFERROR(__xludf.DUMMYFUNCTION("""COMPUTED_VALUE"""),"North")</f>
        <v>North</v>
      </c>
      <c r="C139" s="6" t="str">
        <f>IFERROR(__xludf.DUMMYFUNCTION("""COMPUTED_VALUE"""),"Chandigarh")</f>
        <v>Chandigarh</v>
      </c>
      <c r="D139" s="6" t="str">
        <f>IFERROR(__xludf.DUMMYFUNCTION("""COMPUTED_VALUE"""),"NutriKid")</f>
        <v>NutriKid</v>
      </c>
      <c r="E139" s="6">
        <f>IFERROR(__xludf.DUMMYFUNCTION("""COMPUTED_VALUE"""),42764.0)</f>
        <v>42764</v>
      </c>
      <c r="F139" s="6">
        <f>IFERROR(__xludf.DUMMYFUNCTION("""COMPUTED_VALUE"""),50889.0)</f>
        <v>50889</v>
      </c>
      <c r="G139" s="59">
        <f>IFERROR(__xludf.DUMMYFUNCTION("""COMPUTED_VALUE"""),2565840.0)</f>
        <v>2565840</v>
      </c>
      <c r="H139" s="6">
        <f>IFERROR(__xludf.DUMMYFUNCTION("""COMPUTED_VALUE"""),3053340.0)</f>
        <v>3053340</v>
      </c>
    </row>
    <row r="140" ht="15.75" customHeight="1">
      <c r="A140" s="6" t="str">
        <f>IFERROR(__xludf.DUMMYFUNCTION("""COMPUTED_VALUE"""),"May")</f>
        <v>May</v>
      </c>
      <c r="B140" s="6" t="str">
        <f>IFERROR(__xludf.DUMMYFUNCTION("""COMPUTED_VALUE"""),"East")</f>
        <v>East</v>
      </c>
      <c r="C140" s="6" t="str">
        <f>IFERROR(__xludf.DUMMYFUNCTION("""COMPUTED_VALUE"""),"Bhubaneswar")</f>
        <v>Bhubaneswar</v>
      </c>
      <c r="D140" s="6" t="str">
        <f>IFERROR(__xludf.DUMMYFUNCTION("""COMPUTED_VALUE"""),"ZestVita")</f>
        <v>ZestVita</v>
      </c>
      <c r="E140" s="6">
        <f>IFERROR(__xludf.DUMMYFUNCTION("""COMPUTED_VALUE"""),15016.0)</f>
        <v>15016</v>
      </c>
      <c r="F140" s="6">
        <f>IFERROR(__xludf.DUMMYFUNCTION("""COMPUTED_VALUE"""),15917.0)</f>
        <v>15917</v>
      </c>
      <c r="G140" s="59">
        <f>IFERROR(__xludf.DUMMYFUNCTION("""COMPUTED_VALUE"""),1773765.0)</f>
        <v>1773765</v>
      </c>
      <c r="H140" s="6">
        <f>IFERROR(__xludf.DUMMYFUNCTION("""COMPUTED_VALUE"""),2148795.0)</f>
        <v>2148795</v>
      </c>
    </row>
    <row r="141" ht="15.75" customHeight="1">
      <c r="A141" s="6" t="str">
        <f>IFERROR(__xludf.DUMMYFUNCTION("""COMPUTED_VALUE"""),"May")</f>
        <v>May</v>
      </c>
      <c r="B141" s="6" t="str">
        <f>IFERROR(__xludf.DUMMYFUNCTION("""COMPUTED_VALUE"""),"East")</f>
        <v>East</v>
      </c>
      <c r="C141" s="6" t="str">
        <f>IFERROR(__xludf.DUMMYFUNCTION("""COMPUTED_VALUE"""),"Bhubaneswar")</f>
        <v>Bhubaneswar</v>
      </c>
      <c r="D141" s="6" t="str">
        <f>IFERROR(__xludf.DUMMYFUNCTION("""COMPUTED_VALUE"""),"NutriKid")</f>
        <v>NutriKid</v>
      </c>
      <c r="E141" s="6">
        <f>IFERROR(__xludf.DUMMYFUNCTION("""COMPUTED_VALUE"""),21463.0)</f>
        <v>21463</v>
      </c>
      <c r="F141" s="6">
        <f>IFERROR(__xludf.DUMMYFUNCTION("""COMPUTED_VALUE"""),22107.0)</f>
        <v>22107</v>
      </c>
      <c r="G141" s="59">
        <f>IFERROR(__xludf.DUMMYFUNCTION("""COMPUTED_VALUE"""),1126807.5)</f>
        <v>1126807.5</v>
      </c>
      <c r="H141" s="6">
        <f>IFERROR(__xludf.DUMMYFUNCTION("""COMPUTED_VALUE"""),1326420.0)</f>
        <v>1326420</v>
      </c>
    </row>
    <row r="142" ht="15.75" customHeight="1">
      <c r="A142" s="6" t="str">
        <f>IFERROR(__xludf.DUMMYFUNCTION("""COMPUTED_VALUE"""),"May")</f>
        <v>May</v>
      </c>
      <c r="B142" s="6" t="str">
        <f>IFERROR(__xludf.DUMMYFUNCTION("""COMPUTED_VALUE"""),"West")</f>
        <v>West</v>
      </c>
      <c r="C142" s="6" t="str">
        <f>IFERROR(__xludf.DUMMYFUNCTION("""COMPUTED_VALUE"""),"Ahmedabad")</f>
        <v>Ahmedabad</v>
      </c>
      <c r="D142" s="6" t="str">
        <f>IFERROR(__xludf.DUMMYFUNCTION("""COMPUTED_VALUE"""),"ZestVita")</f>
        <v>ZestVita</v>
      </c>
      <c r="E142" s="6">
        <f>IFERROR(__xludf.DUMMYFUNCTION("""COMPUTED_VALUE"""),35672.0)</f>
        <v>35672</v>
      </c>
      <c r="F142" s="6">
        <f>IFERROR(__xludf.DUMMYFUNCTION("""COMPUTED_VALUE"""),44233.0)</f>
        <v>44233</v>
      </c>
      <c r="G142" s="59">
        <f>IFERROR(__xludf.DUMMYFUNCTION("""COMPUTED_VALUE"""),4815720.0)</f>
        <v>4815720</v>
      </c>
      <c r="H142" s="6">
        <f>IFERROR(__xludf.DUMMYFUNCTION("""COMPUTED_VALUE"""),5971455.0)</f>
        <v>5971455</v>
      </c>
    </row>
    <row r="143" ht="15.75" customHeight="1">
      <c r="A143" s="6" t="str">
        <f>IFERROR(__xludf.DUMMYFUNCTION("""COMPUTED_VALUE"""),"May")</f>
        <v>May</v>
      </c>
      <c r="B143" s="6" t="str">
        <f>IFERROR(__xludf.DUMMYFUNCTION("""COMPUTED_VALUE"""),"West")</f>
        <v>West</v>
      </c>
      <c r="C143" s="6" t="str">
        <f>IFERROR(__xludf.DUMMYFUNCTION("""COMPUTED_VALUE"""),"Ahmedabad")</f>
        <v>Ahmedabad</v>
      </c>
      <c r="D143" s="6" t="str">
        <f>IFERROR(__xludf.DUMMYFUNCTION("""COMPUTED_VALUE"""),"NutriKid")</f>
        <v>NutriKid</v>
      </c>
      <c r="E143" s="6">
        <f>IFERROR(__xludf.DUMMYFUNCTION("""COMPUTED_VALUE"""),20920.0)</f>
        <v>20920</v>
      </c>
      <c r="F143" s="6">
        <f>IFERROR(__xludf.DUMMYFUNCTION("""COMPUTED_VALUE"""),23849.0)</f>
        <v>23849</v>
      </c>
      <c r="G143" s="59">
        <f>IFERROR(__xludf.DUMMYFUNCTION("""COMPUTED_VALUE"""),1255200.0)</f>
        <v>1255200</v>
      </c>
      <c r="H143" s="6">
        <f>IFERROR(__xludf.DUMMYFUNCTION("""COMPUTED_VALUE"""),1430940.0)</f>
        <v>1430940</v>
      </c>
    </row>
    <row r="144" ht="15.75" customHeight="1">
      <c r="A144" s="6" t="str">
        <f>IFERROR(__xludf.DUMMYFUNCTION("""COMPUTED_VALUE"""),"May")</f>
        <v>May</v>
      </c>
      <c r="B144" s="6" t="str">
        <f>IFERROR(__xludf.DUMMYFUNCTION("""COMPUTED_VALUE"""),"South")</f>
        <v>South</v>
      </c>
      <c r="C144" s="6" t="str">
        <f>IFERROR(__xludf.DUMMYFUNCTION("""COMPUTED_VALUE"""),"Chennai")</f>
        <v>Chennai</v>
      </c>
      <c r="D144" s="6" t="str">
        <f>IFERROR(__xludf.DUMMYFUNCTION("""COMPUTED_VALUE"""),"ZestVita")</f>
        <v>ZestVita</v>
      </c>
      <c r="E144" s="6">
        <f>IFERROR(__xludf.DUMMYFUNCTION("""COMPUTED_VALUE"""),22601.0)</f>
        <v>22601</v>
      </c>
      <c r="F144" s="6">
        <f>IFERROR(__xludf.DUMMYFUNCTION("""COMPUTED_VALUE"""),25313.0)</f>
        <v>25313</v>
      </c>
      <c r="G144" s="59">
        <f>IFERROR(__xludf.DUMMYFUNCTION("""COMPUTED_VALUE"""),3051135.0)</f>
        <v>3051135</v>
      </c>
      <c r="H144" s="6">
        <f>IFERROR(__xludf.DUMMYFUNCTION("""COMPUTED_VALUE"""),3417255.0)</f>
        <v>3417255</v>
      </c>
    </row>
    <row r="145" ht="15.75" customHeight="1">
      <c r="A145" s="6" t="str">
        <f>IFERROR(__xludf.DUMMYFUNCTION("""COMPUTED_VALUE"""),"May")</f>
        <v>May</v>
      </c>
      <c r="B145" s="6" t="str">
        <f>IFERROR(__xludf.DUMMYFUNCTION("""COMPUTED_VALUE"""),"South")</f>
        <v>South</v>
      </c>
      <c r="C145" s="6" t="str">
        <f>IFERROR(__xludf.DUMMYFUNCTION("""COMPUTED_VALUE"""),"Chennai")</f>
        <v>Chennai</v>
      </c>
      <c r="D145" s="6" t="str">
        <f>IFERROR(__xludf.DUMMYFUNCTION("""COMPUTED_VALUE"""),"NutriKid")</f>
        <v>NutriKid</v>
      </c>
      <c r="E145" s="6">
        <f>IFERROR(__xludf.DUMMYFUNCTION("""COMPUTED_VALUE"""),24580.0)</f>
        <v>24580</v>
      </c>
      <c r="F145" s="6">
        <f>IFERROR(__xludf.DUMMYFUNCTION("""COMPUTED_VALUE"""),30233.0)</f>
        <v>30233</v>
      </c>
      <c r="G145" s="59">
        <f>IFERROR(__xludf.DUMMYFUNCTION("""COMPUTED_VALUE"""),1474800.0)</f>
        <v>1474800</v>
      </c>
      <c r="H145" s="6">
        <f>IFERROR(__xludf.DUMMYFUNCTION("""COMPUTED_VALUE"""),1813980.0)</f>
        <v>1813980</v>
      </c>
    </row>
    <row r="146" ht="15.75" customHeight="1">
      <c r="A146" s="6" t="str">
        <f>IFERROR(__xludf.DUMMYFUNCTION("""COMPUTED_VALUE"""),"May")</f>
        <v>May</v>
      </c>
      <c r="B146" s="6" t="str">
        <f>IFERROR(__xludf.DUMMYFUNCTION("""COMPUTED_VALUE"""),"North")</f>
        <v>North</v>
      </c>
      <c r="C146" s="6" t="str">
        <f>IFERROR(__xludf.DUMMYFUNCTION("""COMPUTED_VALUE"""),"Lucknow")</f>
        <v>Lucknow</v>
      </c>
      <c r="D146" s="6" t="str">
        <f>IFERROR(__xludf.DUMMYFUNCTION("""COMPUTED_VALUE"""),"ZestVita")</f>
        <v>ZestVita</v>
      </c>
      <c r="E146" s="6">
        <f>IFERROR(__xludf.DUMMYFUNCTION("""COMPUTED_VALUE"""),26118.0)</f>
        <v>26118</v>
      </c>
      <c r="F146" s="6">
        <f>IFERROR(__xludf.DUMMYFUNCTION("""COMPUTED_VALUE"""),32125.0)</f>
        <v>32125</v>
      </c>
      <c r="G146" s="59">
        <f>IFERROR(__xludf.DUMMYFUNCTION("""COMPUTED_VALUE"""),3173337.0)</f>
        <v>3173337</v>
      </c>
      <c r="H146" s="6">
        <f>IFERROR(__xludf.DUMMYFUNCTION("""COMPUTED_VALUE"""),4336875.0)</f>
        <v>4336875</v>
      </c>
    </row>
    <row r="147" ht="15.75" customHeight="1">
      <c r="A147" s="6" t="str">
        <f>IFERROR(__xludf.DUMMYFUNCTION("""COMPUTED_VALUE"""),"May")</f>
        <v>May</v>
      </c>
      <c r="B147" s="6" t="str">
        <f>IFERROR(__xludf.DUMMYFUNCTION("""COMPUTED_VALUE"""),"North")</f>
        <v>North</v>
      </c>
      <c r="C147" s="6" t="str">
        <f>IFERROR(__xludf.DUMMYFUNCTION("""COMPUTED_VALUE"""),"Lucknow")</f>
        <v>Lucknow</v>
      </c>
      <c r="D147" s="6" t="str">
        <f>IFERROR(__xludf.DUMMYFUNCTION("""COMPUTED_VALUE"""),"NutriKid")</f>
        <v>NutriKid</v>
      </c>
      <c r="E147" s="6">
        <f>IFERROR(__xludf.DUMMYFUNCTION("""COMPUTED_VALUE"""),23751.0)</f>
        <v>23751</v>
      </c>
      <c r="F147" s="6">
        <f>IFERROR(__xludf.DUMMYFUNCTION("""COMPUTED_VALUE"""),27551.0)</f>
        <v>27551</v>
      </c>
      <c r="G147" s="59">
        <f>IFERROR(__xludf.DUMMYFUNCTION("""COMPUTED_VALUE"""),1282554.0)</f>
        <v>1282554</v>
      </c>
      <c r="H147" s="6">
        <f>IFERROR(__xludf.DUMMYFUNCTION("""COMPUTED_VALUE"""),1653060.0)</f>
        <v>1653060</v>
      </c>
    </row>
    <row r="148" ht="15.75" customHeight="1">
      <c r="A148" s="6" t="str">
        <f>IFERROR(__xludf.DUMMYFUNCTION("""COMPUTED_VALUE"""),"May")</f>
        <v>May</v>
      </c>
      <c r="B148" s="6" t="str">
        <f>IFERROR(__xludf.DUMMYFUNCTION("""COMPUTED_VALUE"""),"East")</f>
        <v>East</v>
      </c>
      <c r="C148" s="6" t="str">
        <f>IFERROR(__xludf.DUMMYFUNCTION("""COMPUTED_VALUE"""),"Ranchi")</f>
        <v>Ranchi</v>
      </c>
      <c r="D148" s="6" t="str">
        <f>IFERROR(__xludf.DUMMYFUNCTION("""COMPUTED_VALUE"""),"ZestVita")</f>
        <v>ZestVita</v>
      </c>
      <c r="E148" s="6">
        <f>IFERROR(__xludf.DUMMYFUNCTION("""COMPUTED_VALUE"""),30378.0)</f>
        <v>30378</v>
      </c>
      <c r="F148" s="6">
        <f>IFERROR(__xludf.DUMMYFUNCTION("""COMPUTED_VALUE"""),32808.0)</f>
        <v>32808</v>
      </c>
      <c r="G148" s="59">
        <f>IFERROR(__xludf.DUMMYFUNCTION("""COMPUTED_VALUE"""),3895978.5)</f>
        <v>3895978.5</v>
      </c>
      <c r="H148" s="6">
        <f>IFERROR(__xludf.DUMMYFUNCTION("""COMPUTED_VALUE"""),4429080.0)</f>
        <v>4429080</v>
      </c>
    </row>
    <row r="149" ht="15.75" customHeight="1">
      <c r="A149" s="6" t="str">
        <f>IFERROR(__xludf.DUMMYFUNCTION("""COMPUTED_VALUE"""),"May")</f>
        <v>May</v>
      </c>
      <c r="B149" s="6" t="str">
        <f>IFERROR(__xludf.DUMMYFUNCTION("""COMPUTED_VALUE"""),"East")</f>
        <v>East</v>
      </c>
      <c r="C149" s="6" t="str">
        <f>IFERROR(__xludf.DUMMYFUNCTION("""COMPUTED_VALUE"""),"Ranchi")</f>
        <v>Ranchi</v>
      </c>
      <c r="D149" s="6" t="str">
        <f>IFERROR(__xludf.DUMMYFUNCTION("""COMPUTED_VALUE"""),"NutriKid")</f>
        <v>NutriKid</v>
      </c>
      <c r="E149" s="6">
        <f>IFERROR(__xludf.DUMMYFUNCTION("""COMPUTED_VALUE"""),20625.0)</f>
        <v>20625</v>
      </c>
      <c r="F149" s="6">
        <f>IFERROR(__xludf.DUMMYFUNCTION("""COMPUTED_VALUE"""),21450.0)</f>
        <v>21450</v>
      </c>
      <c r="G149" s="59">
        <f>IFERROR(__xludf.DUMMYFUNCTION("""COMPUTED_VALUE"""),1175625.0)</f>
        <v>1175625</v>
      </c>
      <c r="H149" s="6">
        <f>IFERROR(__xludf.DUMMYFUNCTION("""COMPUTED_VALUE"""),1287000.0)</f>
        <v>1287000</v>
      </c>
    </row>
    <row r="150" ht="15.75" customHeight="1">
      <c r="A150" s="6" t="str">
        <f>IFERROR(__xludf.DUMMYFUNCTION("""COMPUTED_VALUE"""),"May")</f>
        <v>May</v>
      </c>
      <c r="B150" s="6" t="str">
        <f>IFERROR(__xludf.DUMMYFUNCTION("""COMPUTED_VALUE"""),"West")</f>
        <v>West</v>
      </c>
      <c r="C150" s="6" t="str">
        <f>IFERROR(__xludf.DUMMYFUNCTION("""COMPUTED_VALUE"""),"Surat")</f>
        <v>Surat</v>
      </c>
      <c r="D150" s="6" t="str">
        <f>IFERROR(__xludf.DUMMYFUNCTION("""COMPUTED_VALUE"""),"ZestVita")</f>
        <v>ZestVita</v>
      </c>
      <c r="E150" s="6">
        <f>IFERROR(__xludf.DUMMYFUNCTION("""COMPUTED_VALUE"""),32290.0)</f>
        <v>32290</v>
      </c>
      <c r="F150" s="6">
        <f>IFERROR(__xludf.DUMMYFUNCTION("""COMPUTED_VALUE"""),33582.0)</f>
        <v>33582</v>
      </c>
      <c r="G150" s="59">
        <f>IFERROR(__xludf.DUMMYFUNCTION("""COMPUTED_VALUE"""),4141192.5)</f>
        <v>4141192.5</v>
      </c>
      <c r="H150" s="6">
        <f>IFERROR(__xludf.DUMMYFUNCTION("""COMPUTED_VALUE"""),4533570.0)</f>
        <v>4533570</v>
      </c>
    </row>
    <row r="151" ht="15.75" customHeight="1">
      <c r="A151" s="6" t="str">
        <f>IFERROR(__xludf.DUMMYFUNCTION("""COMPUTED_VALUE"""),"May")</f>
        <v>May</v>
      </c>
      <c r="B151" s="6" t="str">
        <f>IFERROR(__xludf.DUMMYFUNCTION("""COMPUTED_VALUE"""),"West")</f>
        <v>West</v>
      </c>
      <c r="C151" s="6" t="str">
        <f>IFERROR(__xludf.DUMMYFUNCTION("""COMPUTED_VALUE"""),"Surat")</f>
        <v>Surat</v>
      </c>
      <c r="D151" s="6" t="str">
        <f>IFERROR(__xludf.DUMMYFUNCTION("""COMPUTED_VALUE"""),"NutriKid")</f>
        <v>NutriKid</v>
      </c>
      <c r="E151" s="6">
        <f>IFERROR(__xludf.DUMMYFUNCTION("""COMPUTED_VALUE"""),26189.0)</f>
        <v>26189</v>
      </c>
      <c r="F151" s="6">
        <f>IFERROR(__xludf.DUMMYFUNCTION("""COMPUTED_VALUE"""),27498.0)</f>
        <v>27498</v>
      </c>
      <c r="G151" s="59">
        <f>IFERROR(__xludf.DUMMYFUNCTION("""COMPUTED_VALUE"""),1492773.0)</f>
        <v>1492773</v>
      </c>
      <c r="H151" s="6">
        <f>IFERROR(__xludf.DUMMYFUNCTION("""COMPUTED_VALUE"""),1649880.0)</f>
        <v>1649880</v>
      </c>
    </row>
    <row r="152" ht="15.75" customHeight="1">
      <c r="A152" s="6" t="str">
        <f>IFERROR(__xludf.DUMMYFUNCTION("""COMPUTED_VALUE"""),"May")</f>
        <v>May</v>
      </c>
      <c r="B152" s="6" t="str">
        <f>IFERROR(__xludf.DUMMYFUNCTION("""COMPUTED_VALUE"""),"South")</f>
        <v>South</v>
      </c>
      <c r="C152" s="6" t="str">
        <f>IFERROR(__xludf.DUMMYFUNCTION("""COMPUTED_VALUE"""),"Hyderabad")</f>
        <v>Hyderabad</v>
      </c>
      <c r="D152" s="6" t="str">
        <f>IFERROR(__xludf.DUMMYFUNCTION("""COMPUTED_VALUE"""),"ZestVita")</f>
        <v>ZestVita</v>
      </c>
      <c r="E152" s="6">
        <f>IFERROR(__xludf.DUMMYFUNCTION("""COMPUTED_VALUE"""),44993.0)</f>
        <v>44993</v>
      </c>
      <c r="F152" s="6">
        <f>IFERROR(__xludf.DUMMYFUNCTION("""COMPUTED_VALUE"""),53542.0)</f>
        <v>53542</v>
      </c>
      <c r="G152" s="59">
        <f>IFERROR(__xludf.DUMMYFUNCTION("""COMPUTED_VALUE"""),6074055.0)</f>
        <v>6074055</v>
      </c>
      <c r="H152" s="6">
        <f>IFERROR(__xludf.DUMMYFUNCTION("""COMPUTED_VALUE"""),7228170.0)</f>
        <v>7228170</v>
      </c>
    </row>
    <row r="153" ht="15.75" customHeight="1">
      <c r="A153" s="6" t="str">
        <f>IFERROR(__xludf.DUMMYFUNCTION("""COMPUTED_VALUE"""),"May")</f>
        <v>May</v>
      </c>
      <c r="B153" s="6" t="str">
        <f>IFERROR(__xludf.DUMMYFUNCTION("""COMPUTED_VALUE"""),"South")</f>
        <v>South</v>
      </c>
      <c r="C153" s="6" t="str">
        <f>IFERROR(__xludf.DUMMYFUNCTION("""COMPUTED_VALUE"""),"Hyderabad")</f>
        <v>Hyderabad</v>
      </c>
      <c r="D153" s="6" t="str">
        <f>IFERROR(__xludf.DUMMYFUNCTION("""COMPUTED_VALUE"""),"NutriKid")</f>
        <v>NutriKid</v>
      </c>
      <c r="E153" s="6">
        <f>IFERROR(__xludf.DUMMYFUNCTION("""COMPUTED_VALUE"""),44627.0)</f>
        <v>44627</v>
      </c>
      <c r="F153" s="6">
        <f>IFERROR(__xludf.DUMMYFUNCTION("""COMPUTED_VALUE"""),52214.0)</f>
        <v>52214</v>
      </c>
      <c r="G153" s="59">
        <f>IFERROR(__xludf.DUMMYFUNCTION("""COMPUTED_VALUE"""),2677620.0)</f>
        <v>2677620</v>
      </c>
      <c r="H153" s="6">
        <f>IFERROR(__xludf.DUMMYFUNCTION("""COMPUTED_VALUE"""),3132840.0)</f>
        <v>3132840</v>
      </c>
    </row>
    <row r="154" ht="15.75" customHeight="1">
      <c r="A154" s="6" t="str">
        <f>IFERROR(__xludf.DUMMYFUNCTION("""COMPUTED_VALUE"""),"May")</f>
        <v>May</v>
      </c>
      <c r="B154" s="6" t="str">
        <f>IFERROR(__xludf.DUMMYFUNCTION("""COMPUTED_VALUE"""),"North")</f>
        <v>North</v>
      </c>
      <c r="C154" s="6" t="str">
        <f>IFERROR(__xludf.DUMMYFUNCTION("""COMPUTED_VALUE"""),"Dehradun")</f>
        <v>Dehradun</v>
      </c>
      <c r="D154" s="6" t="str">
        <f>IFERROR(__xludf.DUMMYFUNCTION("""COMPUTED_VALUE"""),"ZestVita")</f>
        <v>ZestVita</v>
      </c>
      <c r="E154" s="6">
        <f>IFERROR(__xludf.DUMMYFUNCTION("""COMPUTED_VALUE"""),24831.0)</f>
        <v>24831</v>
      </c>
      <c r="F154" s="6">
        <f>IFERROR(__xludf.DUMMYFUNCTION("""COMPUTED_VALUE"""),25328.0)</f>
        <v>25328</v>
      </c>
      <c r="G154" s="59">
        <f>IFERROR(__xludf.DUMMYFUNCTION("""COMPUTED_VALUE"""),2933161.875)</f>
        <v>2933161.875</v>
      </c>
      <c r="H154" s="6">
        <f>IFERROR(__xludf.DUMMYFUNCTION("""COMPUTED_VALUE"""),3419280.0)</f>
        <v>3419280</v>
      </c>
    </row>
    <row r="155" ht="15.75" customHeight="1">
      <c r="A155" s="6" t="str">
        <f>IFERROR(__xludf.DUMMYFUNCTION("""COMPUTED_VALUE"""),"May")</f>
        <v>May</v>
      </c>
      <c r="B155" s="6" t="str">
        <f>IFERROR(__xludf.DUMMYFUNCTION("""COMPUTED_VALUE"""),"North")</f>
        <v>North</v>
      </c>
      <c r="C155" s="6" t="str">
        <f>IFERROR(__xludf.DUMMYFUNCTION("""COMPUTED_VALUE"""),"Dehradun")</f>
        <v>Dehradun</v>
      </c>
      <c r="D155" s="6" t="str">
        <f>IFERROR(__xludf.DUMMYFUNCTION("""COMPUTED_VALUE"""),"NutriKid")</f>
        <v>NutriKid</v>
      </c>
      <c r="E155" s="6">
        <f>IFERROR(__xludf.DUMMYFUNCTION("""COMPUTED_VALUE"""),15421.0)</f>
        <v>15421</v>
      </c>
      <c r="F155" s="6">
        <f>IFERROR(__xludf.DUMMYFUNCTION("""COMPUTED_VALUE"""),16346.0)</f>
        <v>16346</v>
      </c>
      <c r="G155" s="59">
        <f>IFERROR(__xludf.DUMMYFUNCTION("""COMPUTED_VALUE"""),809602.5)</f>
        <v>809602.5</v>
      </c>
      <c r="H155" s="6">
        <f>IFERROR(__xludf.DUMMYFUNCTION("""COMPUTED_VALUE"""),980760.0)</f>
        <v>980760</v>
      </c>
    </row>
    <row r="156" ht="15.75" customHeight="1">
      <c r="A156" s="6" t="str">
        <f>IFERROR(__xludf.DUMMYFUNCTION("""COMPUTED_VALUE"""),"May")</f>
        <v>May</v>
      </c>
      <c r="B156" s="6" t="str">
        <f>IFERROR(__xludf.DUMMYFUNCTION("""COMPUTED_VALUE"""),"South")</f>
        <v>South</v>
      </c>
      <c r="C156" s="6" t="str">
        <f>IFERROR(__xludf.DUMMYFUNCTION("""COMPUTED_VALUE"""),"Kochi")</f>
        <v>Kochi</v>
      </c>
      <c r="D156" s="6" t="str">
        <f>IFERROR(__xludf.DUMMYFUNCTION("""COMPUTED_VALUE"""),"ZestVita")</f>
        <v>ZestVita</v>
      </c>
      <c r="E156" s="6">
        <f>IFERROR(__xludf.DUMMYFUNCTION("""COMPUTED_VALUE"""),26736.0)</f>
        <v>26736</v>
      </c>
      <c r="F156" s="6">
        <f>IFERROR(__xludf.DUMMYFUNCTION("""COMPUTED_VALUE"""),28340.0)</f>
        <v>28340</v>
      </c>
      <c r="G156" s="59">
        <f>IFERROR(__xludf.DUMMYFUNCTION("""COMPUTED_VALUE"""),3248424.0)</f>
        <v>3248424</v>
      </c>
      <c r="H156" s="6">
        <f>IFERROR(__xludf.DUMMYFUNCTION("""COMPUTED_VALUE"""),3825900.0)</f>
        <v>3825900</v>
      </c>
    </row>
    <row r="157" ht="15.75" customHeight="1">
      <c r="A157" s="6" t="str">
        <f>IFERROR(__xludf.DUMMYFUNCTION("""COMPUTED_VALUE"""),"May")</f>
        <v>May</v>
      </c>
      <c r="B157" s="6" t="str">
        <f>IFERROR(__xludf.DUMMYFUNCTION("""COMPUTED_VALUE"""),"South")</f>
        <v>South</v>
      </c>
      <c r="C157" s="6" t="str">
        <f>IFERROR(__xludf.DUMMYFUNCTION("""COMPUTED_VALUE"""),"Kochi")</f>
        <v>Kochi</v>
      </c>
      <c r="D157" s="6" t="str">
        <f>IFERROR(__xludf.DUMMYFUNCTION("""COMPUTED_VALUE"""),"NutriKid")</f>
        <v>NutriKid</v>
      </c>
      <c r="E157" s="6">
        <f>IFERROR(__xludf.DUMMYFUNCTION("""COMPUTED_VALUE"""),17646.0)</f>
        <v>17646</v>
      </c>
      <c r="F157" s="6">
        <f>IFERROR(__xludf.DUMMYFUNCTION("""COMPUTED_VALUE"""),18528.0)</f>
        <v>18528</v>
      </c>
      <c r="G157" s="59">
        <f>IFERROR(__xludf.DUMMYFUNCTION("""COMPUTED_VALUE"""),952884.0)</f>
        <v>952884</v>
      </c>
      <c r="H157" s="6">
        <f>IFERROR(__xludf.DUMMYFUNCTION("""COMPUTED_VALUE"""),1111680.0)</f>
        <v>1111680</v>
      </c>
    </row>
    <row r="158" ht="15.75" customHeight="1">
      <c r="A158" s="6" t="str">
        <f>IFERROR(__xludf.DUMMYFUNCTION("""COMPUTED_VALUE"""),"May")</f>
        <v>May</v>
      </c>
      <c r="B158" s="6" t="str">
        <f>IFERROR(__xludf.DUMMYFUNCTION("""COMPUTED_VALUE"""),"West")</f>
        <v>West</v>
      </c>
      <c r="C158" s="6" t="str">
        <f>IFERROR(__xludf.DUMMYFUNCTION("""COMPUTED_VALUE"""),"Jaipur")</f>
        <v>Jaipur</v>
      </c>
      <c r="D158" s="6" t="str">
        <f>IFERROR(__xludf.DUMMYFUNCTION("""COMPUTED_VALUE"""),"ZestVita")</f>
        <v>ZestVita</v>
      </c>
      <c r="E158" s="6">
        <f>IFERROR(__xludf.DUMMYFUNCTION("""COMPUTED_VALUE"""),36686.0)</f>
        <v>36686</v>
      </c>
      <c r="F158" s="6">
        <f>IFERROR(__xludf.DUMMYFUNCTION("""COMPUTED_VALUE"""),45858.0)</f>
        <v>45858</v>
      </c>
      <c r="G158" s="59">
        <f>IFERROR(__xludf.DUMMYFUNCTION("""COMPUTED_VALUE"""),4952610.0)</f>
        <v>4952610</v>
      </c>
      <c r="H158" s="6">
        <f>IFERROR(__xludf.DUMMYFUNCTION("""COMPUTED_VALUE"""),6190830.0)</f>
        <v>6190830</v>
      </c>
    </row>
    <row r="159" ht="15.75" customHeight="1">
      <c r="A159" s="6" t="str">
        <f>IFERROR(__xludf.DUMMYFUNCTION("""COMPUTED_VALUE"""),"May")</f>
        <v>May</v>
      </c>
      <c r="B159" s="6" t="str">
        <f>IFERROR(__xludf.DUMMYFUNCTION("""COMPUTED_VALUE"""),"West")</f>
        <v>West</v>
      </c>
      <c r="C159" s="6" t="str">
        <f>IFERROR(__xludf.DUMMYFUNCTION("""COMPUTED_VALUE"""),"Jaipur")</f>
        <v>Jaipur</v>
      </c>
      <c r="D159" s="6" t="str">
        <f>IFERROR(__xludf.DUMMYFUNCTION("""COMPUTED_VALUE"""),"NutriKid")</f>
        <v>NutriKid</v>
      </c>
      <c r="E159" s="6">
        <f>IFERROR(__xludf.DUMMYFUNCTION("""COMPUTED_VALUE"""),28563.0)</f>
        <v>28563</v>
      </c>
      <c r="F159" s="6">
        <f>IFERROR(__xludf.DUMMYFUNCTION("""COMPUTED_VALUE"""),35132.0)</f>
        <v>35132</v>
      </c>
      <c r="G159" s="59">
        <f>IFERROR(__xludf.DUMMYFUNCTION("""COMPUTED_VALUE"""),1713780.0)</f>
        <v>1713780</v>
      </c>
      <c r="H159" s="6">
        <f>IFERROR(__xludf.DUMMYFUNCTION("""COMPUTED_VALUE"""),2107920.0)</f>
        <v>2107920</v>
      </c>
    </row>
    <row r="160" ht="15.75" customHeight="1">
      <c r="A160" s="6" t="str">
        <f>IFERROR(__xludf.DUMMYFUNCTION("""COMPUTED_VALUE"""),"May")</f>
        <v>May</v>
      </c>
      <c r="B160" s="6" t="str">
        <f>IFERROR(__xludf.DUMMYFUNCTION("""COMPUTED_VALUE"""),"East")</f>
        <v>East</v>
      </c>
      <c r="C160" s="6" t="str">
        <f>IFERROR(__xludf.DUMMYFUNCTION("""COMPUTED_VALUE"""),"Patna")</f>
        <v>Patna</v>
      </c>
      <c r="D160" s="6" t="str">
        <f>IFERROR(__xludf.DUMMYFUNCTION("""COMPUTED_VALUE"""),"ZestVita")</f>
        <v>ZestVita</v>
      </c>
      <c r="E160" s="6">
        <f>IFERROR(__xludf.DUMMYFUNCTION("""COMPUTED_VALUE"""),31617.0)</f>
        <v>31617</v>
      </c>
      <c r="F160" s="6">
        <f>IFERROR(__xludf.DUMMYFUNCTION("""COMPUTED_VALUE"""),38257.0)</f>
        <v>38257</v>
      </c>
      <c r="G160" s="59">
        <f>IFERROR(__xludf.DUMMYFUNCTION("""COMPUTED_VALUE"""),4054880.25)</f>
        <v>4054880.25</v>
      </c>
      <c r="H160" s="6">
        <f>IFERROR(__xludf.DUMMYFUNCTION("""COMPUTED_VALUE"""),5164695.0)</f>
        <v>5164695</v>
      </c>
    </row>
    <row r="161" ht="15.75" customHeight="1">
      <c r="A161" s="6" t="str">
        <f>IFERROR(__xludf.DUMMYFUNCTION("""COMPUTED_VALUE"""),"May")</f>
        <v>May</v>
      </c>
      <c r="B161" s="6" t="str">
        <f>IFERROR(__xludf.DUMMYFUNCTION("""COMPUTED_VALUE"""),"East")</f>
        <v>East</v>
      </c>
      <c r="C161" s="6" t="str">
        <f>IFERROR(__xludf.DUMMYFUNCTION("""COMPUTED_VALUE"""),"Patna")</f>
        <v>Patna</v>
      </c>
      <c r="D161" s="6" t="str">
        <f>IFERROR(__xludf.DUMMYFUNCTION("""COMPUTED_VALUE"""),"NutriKid")</f>
        <v>NutriKid</v>
      </c>
      <c r="E161" s="6">
        <f>IFERROR(__xludf.DUMMYFUNCTION("""COMPUTED_VALUE"""),40690.0)</f>
        <v>40690</v>
      </c>
      <c r="F161" s="6">
        <f>IFERROR(__xludf.DUMMYFUNCTION("""COMPUTED_VALUE"""),46387.0)</f>
        <v>46387</v>
      </c>
      <c r="G161" s="59">
        <f>IFERROR(__xludf.DUMMYFUNCTION("""COMPUTED_VALUE"""),2319330.0)</f>
        <v>2319330</v>
      </c>
      <c r="H161" s="6">
        <f>IFERROR(__xludf.DUMMYFUNCTION("""COMPUTED_VALUE"""),2783220.0)</f>
        <v>2783220</v>
      </c>
    </row>
    <row r="162" ht="15.75" customHeight="1">
      <c r="A162" s="6" t="str">
        <f>IFERROR(__xludf.DUMMYFUNCTION("""COMPUTED_VALUE"""),"June")</f>
        <v>June</v>
      </c>
      <c r="B162" s="6" t="str">
        <f>IFERROR(__xludf.DUMMYFUNCTION("""COMPUTED_VALUE"""),"North")</f>
        <v>North</v>
      </c>
      <c r="C162" s="6" t="str">
        <f>IFERROR(__xludf.DUMMYFUNCTION("""COMPUTED_VALUE"""),"Delhi")</f>
        <v>Delhi</v>
      </c>
      <c r="D162" s="6" t="str">
        <f>IFERROR(__xludf.DUMMYFUNCTION("""COMPUTED_VALUE"""),"ZestVita")</f>
        <v>ZestVita</v>
      </c>
      <c r="E162" s="6">
        <f>IFERROR(__xludf.DUMMYFUNCTION("""COMPUTED_VALUE"""),45144.0)</f>
        <v>45144</v>
      </c>
      <c r="F162" s="6">
        <f>IFERROR(__xludf.DUMMYFUNCTION("""COMPUTED_VALUE"""),54173.0)</f>
        <v>54173</v>
      </c>
      <c r="G162" s="59">
        <f>IFERROR(__xludf.DUMMYFUNCTION("""COMPUTED_VALUE"""),6094440.0)</f>
        <v>6094440</v>
      </c>
      <c r="H162" s="6">
        <f>IFERROR(__xludf.DUMMYFUNCTION("""COMPUTED_VALUE"""),7313355.0)</f>
        <v>7313355</v>
      </c>
    </row>
    <row r="163" ht="15.75" customHeight="1">
      <c r="A163" s="6" t="str">
        <f>IFERROR(__xludf.DUMMYFUNCTION("""COMPUTED_VALUE"""),"June")</f>
        <v>June</v>
      </c>
      <c r="B163" s="6" t="str">
        <f>IFERROR(__xludf.DUMMYFUNCTION("""COMPUTED_VALUE"""),"North")</f>
        <v>North</v>
      </c>
      <c r="C163" s="6" t="str">
        <f>IFERROR(__xludf.DUMMYFUNCTION("""COMPUTED_VALUE"""),"Delhi")</f>
        <v>Delhi</v>
      </c>
      <c r="D163" s="6" t="str">
        <f>IFERROR(__xludf.DUMMYFUNCTION("""COMPUTED_VALUE"""),"NutriKid")</f>
        <v>NutriKid</v>
      </c>
      <c r="E163" s="6">
        <f>IFERROR(__xludf.DUMMYFUNCTION("""COMPUTED_VALUE"""),34369.0)</f>
        <v>34369</v>
      </c>
      <c r="F163" s="6">
        <f>IFERROR(__xludf.DUMMYFUNCTION("""COMPUTED_VALUE"""),38493.0)</f>
        <v>38493</v>
      </c>
      <c r="G163" s="59">
        <f>IFERROR(__xludf.DUMMYFUNCTION("""COMPUTED_VALUE"""),2062140.0)</f>
        <v>2062140</v>
      </c>
      <c r="H163" s="6">
        <f>IFERROR(__xludf.DUMMYFUNCTION("""COMPUTED_VALUE"""),2309580.0)</f>
        <v>2309580</v>
      </c>
    </row>
    <row r="164" ht="15.75" customHeight="1">
      <c r="A164" s="6" t="str">
        <f>IFERROR(__xludf.DUMMYFUNCTION("""COMPUTED_VALUE"""),"June")</f>
        <v>June</v>
      </c>
      <c r="B164" s="6" t="str">
        <f>IFERROR(__xludf.DUMMYFUNCTION("""COMPUTED_VALUE"""),"East")</f>
        <v>East</v>
      </c>
      <c r="C164" s="6" t="str">
        <f>IFERROR(__xludf.DUMMYFUNCTION("""COMPUTED_VALUE"""),"Kolkata")</f>
        <v>Kolkata</v>
      </c>
      <c r="D164" s="6" t="str">
        <f>IFERROR(__xludf.DUMMYFUNCTION("""COMPUTED_VALUE"""),"ZestVita")</f>
        <v>ZestVita</v>
      </c>
      <c r="E164" s="6">
        <f>IFERROR(__xludf.DUMMYFUNCTION("""COMPUTED_VALUE"""),23879.0)</f>
        <v>23879</v>
      </c>
      <c r="F164" s="6">
        <f>IFERROR(__xludf.DUMMYFUNCTION("""COMPUTED_VALUE"""),29610.0)</f>
        <v>29610</v>
      </c>
      <c r="G164" s="59">
        <f>IFERROR(__xludf.DUMMYFUNCTION("""COMPUTED_VALUE"""),3223665.0)</f>
        <v>3223665</v>
      </c>
      <c r="H164" s="6">
        <f>IFERROR(__xludf.DUMMYFUNCTION("""COMPUTED_VALUE"""),3997350.0)</f>
        <v>3997350</v>
      </c>
    </row>
    <row r="165" ht="15.75" customHeight="1">
      <c r="A165" s="6" t="str">
        <f>IFERROR(__xludf.DUMMYFUNCTION("""COMPUTED_VALUE"""),"June")</f>
        <v>June</v>
      </c>
      <c r="B165" s="6" t="str">
        <f>IFERROR(__xludf.DUMMYFUNCTION("""COMPUTED_VALUE"""),"East")</f>
        <v>East</v>
      </c>
      <c r="C165" s="6" t="str">
        <f>IFERROR(__xludf.DUMMYFUNCTION("""COMPUTED_VALUE"""),"Kolkata")</f>
        <v>Kolkata</v>
      </c>
      <c r="D165" s="6" t="str">
        <f>IFERROR(__xludf.DUMMYFUNCTION("""COMPUTED_VALUE"""),"NutriKid")</f>
        <v>NutriKid</v>
      </c>
      <c r="E165" s="6">
        <f>IFERROR(__xludf.DUMMYFUNCTION("""COMPUTED_VALUE"""),48568.0)</f>
        <v>48568</v>
      </c>
      <c r="F165" s="6">
        <f>IFERROR(__xludf.DUMMYFUNCTION("""COMPUTED_VALUE"""),58767.0)</f>
        <v>58767</v>
      </c>
      <c r="G165" s="59">
        <f>IFERROR(__xludf.DUMMYFUNCTION("""COMPUTED_VALUE"""),2914080.0)</f>
        <v>2914080</v>
      </c>
      <c r="H165" s="6">
        <f>IFERROR(__xludf.DUMMYFUNCTION("""COMPUTED_VALUE"""),3526020.0)</f>
        <v>3526020</v>
      </c>
    </row>
    <row r="166" ht="15.75" customHeight="1">
      <c r="A166" s="6" t="str">
        <f>IFERROR(__xludf.DUMMYFUNCTION("""COMPUTED_VALUE"""),"June")</f>
        <v>June</v>
      </c>
      <c r="B166" s="6" t="str">
        <f>IFERROR(__xludf.DUMMYFUNCTION("""COMPUTED_VALUE"""),"West")</f>
        <v>West</v>
      </c>
      <c r="C166" s="6" t="str">
        <f>IFERROR(__xludf.DUMMYFUNCTION("""COMPUTED_VALUE"""),"Pune")</f>
        <v>Pune</v>
      </c>
      <c r="D166" s="6" t="str">
        <f>IFERROR(__xludf.DUMMYFUNCTION("""COMPUTED_VALUE"""),"ZestVita")</f>
        <v>ZestVita</v>
      </c>
      <c r="E166" s="6">
        <f>IFERROR(__xludf.DUMMYFUNCTION("""COMPUTED_VALUE"""),29074.0)</f>
        <v>29074</v>
      </c>
      <c r="F166" s="6">
        <f>IFERROR(__xludf.DUMMYFUNCTION("""COMPUTED_VALUE"""),36052.0)</f>
        <v>36052</v>
      </c>
      <c r="G166" s="59">
        <f>IFERROR(__xludf.DUMMYFUNCTION("""COMPUTED_VALUE"""),3924990.0)</f>
        <v>3924990</v>
      </c>
      <c r="H166" s="6">
        <f>IFERROR(__xludf.DUMMYFUNCTION("""COMPUTED_VALUE"""),4867020.0)</f>
        <v>4867020</v>
      </c>
    </row>
    <row r="167" ht="15.75" customHeight="1">
      <c r="A167" s="6" t="str">
        <f>IFERROR(__xludf.DUMMYFUNCTION("""COMPUTED_VALUE"""),"June")</f>
        <v>June</v>
      </c>
      <c r="B167" s="6" t="str">
        <f>IFERROR(__xludf.DUMMYFUNCTION("""COMPUTED_VALUE"""),"West")</f>
        <v>West</v>
      </c>
      <c r="C167" s="6" t="str">
        <f>IFERROR(__xludf.DUMMYFUNCTION("""COMPUTED_VALUE"""),"Pune")</f>
        <v>Pune</v>
      </c>
      <c r="D167" s="6" t="str">
        <f>IFERROR(__xludf.DUMMYFUNCTION("""COMPUTED_VALUE"""),"NutriKid")</f>
        <v>NutriKid</v>
      </c>
      <c r="E167" s="6">
        <f>IFERROR(__xludf.DUMMYFUNCTION("""COMPUTED_VALUE"""),34634.0)</f>
        <v>34634</v>
      </c>
      <c r="F167" s="6">
        <f>IFERROR(__xludf.DUMMYFUNCTION("""COMPUTED_VALUE"""),41907.0)</f>
        <v>41907</v>
      </c>
      <c r="G167" s="59">
        <f>IFERROR(__xludf.DUMMYFUNCTION("""COMPUTED_VALUE"""),2078040.0)</f>
        <v>2078040</v>
      </c>
      <c r="H167" s="6">
        <f>IFERROR(__xludf.DUMMYFUNCTION("""COMPUTED_VALUE"""),2514420.0)</f>
        <v>2514420</v>
      </c>
    </row>
    <row r="168" ht="15.75" customHeight="1">
      <c r="A168" s="6" t="str">
        <f>IFERROR(__xludf.DUMMYFUNCTION("""COMPUTED_VALUE"""),"June")</f>
        <v>June</v>
      </c>
      <c r="B168" s="6" t="str">
        <f>IFERROR(__xludf.DUMMYFUNCTION("""COMPUTED_VALUE"""),"South")</f>
        <v>South</v>
      </c>
      <c r="C168" s="6" t="str">
        <f>IFERROR(__xludf.DUMMYFUNCTION("""COMPUTED_VALUE"""),"Bengaluru")</f>
        <v>Bengaluru</v>
      </c>
      <c r="D168" s="6" t="str">
        <f>IFERROR(__xludf.DUMMYFUNCTION("""COMPUTED_VALUE"""),"ZestVita")</f>
        <v>ZestVita</v>
      </c>
      <c r="E168" s="6">
        <f>IFERROR(__xludf.DUMMYFUNCTION("""COMPUTED_VALUE"""),54884.0)</f>
        <v>54884</v>
      </c>
      <c r="F168" s="6">
        <f>IFERROR(__xludf.DUMMYFUNCTION("""COMPUTED_VALUE"""),60921.0)</f>
        <v>60921</v>
      </c>
      <c r="G168" s="59">
        <f>IFERROR(__xludf.DUMMYFUNCTION("""COMPUTED_VALUE"""),7409340.0)</f>
        <v>7409340</v>
      </c>
      <c r="H168" s="6">
        <f>IFERROR(__xludf.DUMMYFUNCTION("""COMPUTED_VALUE"""),8224335.0)</f>
        <v>8224335</v>
      </c>
    </row>
    <row r="169" ht="15.75" customHeight="1">
      <c r="A169" s="6" t="str">
        <f>IFERROR(__xludf.DUMMYFUNCTION("""COMPUTED_VALUE"""),"June")</f>
        <v>June</v>
      </c>
      <c r="B169" s="6" t="str">
        <f>IFERROR(__xludf.DUMMYFUNCTION("""COMPUTED_VALUE"""),"South")</f>
        <v>South</v>
      </c>
      <c r="C169" s="6" t="str">
        <f>IFERROR(__xludf.DUMMYFUNCTION("""COMPUTED_VALUE"""),"Bengaluru")</f>
        <v>Bengaluru</v>
      </c>
      <c r="D169" s="6" t="str">
        <f>IFERROR(__xludf.DUMMYFUNCTION("""COMPUTED_VALUE"""),"NutriKid")</f>
        <v>NutriKid</v>
      </c>
      <c r="E169" s="6">
        <f>IFERROR(__xludf.DUMMYFUNCTION("""COMPUTED_VALUE"""),29269.0)</f>
        <v>29269</v>
      </c>
      <c r="F169" s="6">
        <f>IFERROR(__xludf.DUMMYFUNCTION("""COMPUTED_VALUE"""),35708.0)</f>
        <v>35708</v>
      </c>
      <c r="G169" s="59">
        <f>IFERROR(__xludf.DUMMYFUNCTION("""COMPUTED_VALUE"""),1756140.0)</f>
        <v>1756140</v>
      </c>
      <c r="H169" s="6">
        <f>IFERROR(__xludf.DUMMYFUNCTION("""COMPUTED_VALUE"""),2142480.0)</f>
        <v>2142480</v>
      </c>
    </row>
    <row r="170" ht="15.75" customHeight="1">
      <c r="A170" s="6" t="str">
        <f>IFERROR(__xludf.DUMMYFUNCTION("""COMPUTED_VALUE"""),"June")</f>
        <v>June</v>
      </c>
      <c r="B170" s="6" t="str">
        <f>IFERROR(__xludf.DUMMYFUNCTION("""COMPUTED_VALUE"""),"North")</f>
        <v>North</v>
      </c>
      <c r="C170" s="6" t="str">
        <f>IFERROR(__xludf.DUMMYFUNCTION("""COMPUTED_VALUE"""),"Chandigarh")</f>
        <v>Chandigarh</v>
      </c>
      <c r="D170" s="6" t="str">
        <f>IFERROR(__xludf.DUMMYFUNCTION("""COMPUTED_VALUE"""),"ZestVita")</f>
        <v>ZestVita</v>
      </c>
      <c r="E170" s="6">
        <f>IFERROR(__xludf.DUMMYFUNCTION("""COMPUTED_VALUE"""),48329.0)</f>
        <v>48329</v>
      </c>
      <c r="F170" s="6">
        <f>IFERROR(__xludf.DUMMYFUNCTION("""COMPUTED_VALUE"""),59928.0)</f>
        <v>59928</v>
      </c>
      <c r="G170" s="59">
        <f>IFERROR(__xludf.DUMMYFUNCTION("""COMPUTED_VALUE"""),6524415.0)</f>
        <v>6524415</v>
      </c>
      <c r="H170" s="6">
        <f>IFERROR(__xludf.DUMMYFUNCTION("""COMPUTED_VALUE"""),8090280.0)</f>
        <v>8090280</v>
      </c>
    </row>
    <row r="171" ht="15.75" customHeight="1">
      <c r="A171" s="6" t="str">
        <f>IFERROR(__xludf.DUMMYFUNCTION("""COMPUTED_VALUE"""),"June")</f>
        <v>June</v>
      </c>
      <c r="B171" s="6" t="str">
        <f>IFERROR(__xludf.DUMMYFUNCTION("""COMPUTED_VALUE"""),"North")</f>
        <v>North</v>
      </c>
      <c r="C171" s="6" t="str">
        <f>IFERROR(__xludf.DUMMYFUNCTION("""COMPUTED_VALUE"""),"Chandigarh")</f>
        <v>Chandigarh</v>
      </c>
      <c r="D171" s="6" t="str">
        <f>IFERROR(__xludf.DUMMYFUNCTION("""COMPUTED_VALUE"""),"NutriKid")</f>
        <v>NutriKid</v>
      </c>
      <c r="E171" s="6">
        <f>IFERROR(__xludf.DUMMYFUNCTION("""COMPUTED_VALUE"""),49606.0)</f>
        <v>49606</v>
      </c>
      <c r="F171" s="6">
        <f>IFERROR(__xludf.DUMMYFUNCTION("""COMPUTED_VALUE"""),62008.0)</f>
        <v>62008</v>
      </c>
      <c r="G171" s="59">
        <f>IFERROR(__xludf.DUMMYFUNCTION("""COMPUTED_VALUE"""),2976360.0)</f>
        <v>2976360</v>
      </c>
      <c r="H171" s="6">
        <f>IFERROR(__xludf.DUMMYFUNCTION("""COMPUTED_VALUE"""),3720480.0)</f>
        <v>3720480</v>
      </c>
    </row>
    <row r="172" ht="15.75" customHeight="1">
      <c r="A172" s="6" t="str">
        <f>IFERROR(__xludf.DUMMYFUNCTION("""COMPUTED_VALUE"""),"June")</f>
        <v>June</v>
      </c>
      <c r="B172" s="6" t="str">
        <f>IFERROR(__xludf.DUMMYFUNCTION("""COMPUTED_VALUE"""),"East")</f>
        <v>East</v>
      </c>
      <c r="C172" s="6" t="str">
        <f>IFERROR(__xludf.DUMMYFUNCTION("""COMPUTED_VALUE"""),"Bhubaneswar")</f>
        <v>Bhubaneswar</v>
      </c>
      <c r="D172" s="6" t="str">
        <f>IFERROR(__xludf.DUMMYFUNCTION("""COMPUTED_VALUE"""),"ZestVita")</f>
        <v>ZestVita</v>
      </c>
      <c r="E172" s="6">
        <f>IFERROR(__xludf.DUMMYFUNCTION("""COMPUTED_VALUE"""),15617.0)</f>
        <v>15617</v>
      </c>
      <c r="F172" s="6">
        <f>IFERROR(__xludf.DUMMYFUNCTION("""COMPUTED_VALUE"""),16242.0)</f>
        <v>16242</v>
      </c>
      <c r="G172" s="59">
        <f>IFERROR(__xludf.DUMMYFUNCTION("""COMPUTED_VALUE"""),1844758.125)</f>
        <v>1844758.125</v>
      </c>
      <c r="H172" s="6">
        <f>IFERROR(__xludf.DUMMYFUNCTION("""COMPUTED_VALUE"""),2192670.0)</f>
        <v>2192670</v>
      </c>
    </row>
    <row r="173" ht="15.75" customHeight="1">
      <c r="A173" s="6" t="str">
        <f>IFERROR(__xludf.DUMMYFUNCTION("""COMPUTED_VALUE"""),"June")</f>
        <v>June</v>
      </c>
      <c r="B173" s="6" t="str">
        <f>IFERROR(__xludf.DUMMYFUNCTION("""COMPUTED_VALUE"""),"East")</f>
        <v>East</v>
      </c>
      <c r="C173" s="6" t="str">
        <f>IFERROR(__xludf.DUMMYFUNCTION("""COMPUTED_VALUE"""),"Bhubaneswar")</f>
        <v>Bhubaneswar</v>
      </c>
      <c r="D173" s="6" t="str">
        <f>IFERROR(__xludf.DUMMYFUNCTION("""COMPUTED_VALUE"""),"NutriKid")</f>
        <v>NutriKid</v>
      </c>
      <c r="E173" s="6">
        <f>IFERROR(__xludf.DUMMYFUNCTION("""COMPUTED_VALUE"""),22965.0)</f>
        <v>22965</v>
      </c>
      <c r="F173" s="6">
        <f>IFERROR(__xludf.DUMMYFUNCTION("""COMPUTED_VALUE"""),23884.0)</f>
        <v>23884</v>
      </c>
      <c r="G173" s="59">
        <f>IFERROR(__xludf.DUMMYFUNCTION("""COMPUTED_VALUE"""),1205662.5)</f>
        <v>1205662.5</v>
      </c>
      <c r="H173" s="6">
        <f>IFERROR(__xludf.DUMMYFUNCTION("""COMPUTED_VALUE"""),1433040.0)</f>
        <v>1433040</v>
      </c>
    </row>
    <row r="174" ht="15.75" customHeight="1">
      <c r="A174" s="6" t="str">
        <f>IFERROR(__xludf.DUMMYFUNCTION("""COMPUTED_VALUE"""),"June")</f>
        <v>June</v>
      </c>
      <c r="B174" s="6" t="str">
        <f>IFERROR(__xludf.DUMMYFUNCTION("""COMPUTED_VALUE"""),"West")</f>
        <v>West</v>
      </c>
      <c r="C174" s="6" t="str">
        <f>IFERROR(__xludf.DUMMYFUNCTION("""COMPUTED_VALUE"""),"Ahmedabad")</f>
        <v>Ahmedabad</v>
      </c>
      <c r="D174" s="6" t="str">
        <f>IFERROR(__xludf.DUMMYFUNCTION("""COMPUTED_VALUE"""),"ZestVita")</f>
        <v>ZestVita</v>
      </c>
      <c r="E174" s="6">
        <f>IFERROR(__xludf.DUMMYFUNCTION("""COMPUTED_VALUE"""),41023.0)</f>
        <v>41023</v>
      </c>
      <c r="F174" s="6">
        <f>IFERROR(__xludf.DUMMYFUNCTION("""COMPUTED_VALUE"""),46766.0)</f>
        <v>46766</v>
      </c>
      <c r="G174" s="59">
        <f>IFERROR(__xludf.DUMMYFUNCTION("""COMPUTED_VALUE"""),5538105.0)</f>
        <v>5538105</v>
      </c>
      <c r="H174" s="6">
        <f>IFERROR(__xludf.DUMMYFUNCTION("""COMPUTED_VALUE"""),6313410.0)</f>
        <v>6313410</v>
      </c>
    </row>
    <row r="175" ht="15.75" customHeight="1">
      <c r="A175" s="6" t="str">
        <f>IFERROR(__xludf.DUMMYFUNCTION("""COMPUTED_VALUE"""),"June")</f>
        <v>June</v>
      </c>
      <c r="B175" s="6" t="str">
        <f>IFERROR(__xludf.DUMMYFUNCTION("""COMPUTED_VALUE"""),"West")</f>
        <v>West</v>
      </c>
      <c r="C175" s="6" t="str">
        <f>IFERROR(__xludf.DUMMYFUNCTION("""COMPUTED_VALUE"""),"Ahmedabad")</f>
        <v>Ahmedabad</v>
      </c>
      <c r="D175" s="6" t="str">
        <f>IFERROR(__xludf.DUMMYFUNCTION("""COMPUTED_VALUE"""),"NutriKid")</f>
        <v>NutriKid</v>
      </c>
      <c r="E175" s="6">
        <f>IFERROR(__xludf.DUMMYFUNCTION("""COMPUTED_VALUE"""),24476.0)</f>
        <v>24476</v>
      </c>
      <c r="F175" s="6">
        <f>IFERROR(__xludf.DUMMYFUNCTION("""COMPUTED_VALUE"""),29126.0)</f>
        <v>29126</v>
      </c>
      <c r="G175" s="59">
        <f>IFERROR(__xludf.DUMMYFUNCTION("""COMPUTED_VALUE"""),1468560.0)</f>
        <v>1468560</v>
      </c>
      <c r="H175" s="6">
        <f>IFERROR(__xludf.DUMMYFUNCTION("""COMPUTED_VALUE"""),1747560.0)</f>
        <v>1747560</v>
      </c>
    </row>
    <row r="176" ht="15.75" customHeight="1">
      <c r="A176" s="6" t="str">
        <f>IFERROR(__xludf.DUMMYFUNCTION("""COMPUTED_VALUE"""),"June")</f>
        <v>June</v>
      </c>
      <c r="B176" s="6" t="str">
        <f>IFERROR(__xludf.DUMMYFUNCTION("""COMPUTED_VALUE"""),"South")</f>
        <v>South</v>
      </c>
      <c r="C176" s="6" t="str">
        <f>IFERROR(__xludf.DUMMYFUNCTION("""COMPUTED_VALUE"""),"Chennai")</f>
        <v>Chennai</v>
      </c>
      <c r="D176" s="6" t="str">
        <f>IFERROR(__xludf.DUMMYFUNCTION("""COMPUTED_VALUE"""),"ZestVita")</f>
        <v>ZestVita</v>
      </c>
      <c r="E176" s="6">
        <f>IFERROR(__xludf.DUMMYFUNCTION("""COMPUTED_VALUE"""),26217.0)</f>
        <v>26217</v>
      </c>
      <c r="F176" s="6">
        <f>IFERROR(__xludf.DUMMYFUNCTION("""COMPUTED_VALUE"""),32509.0)</f>
        <v>32509</v>
      </c>
      <c r="G176" s="59">
        <f>IFERROR(__xludf.DUMMYFUNCTION("""COMPUTED_VALUE"""),3539295.0)</f>
        <v>3539295</v>
      </c>
      <c r="H176" s="6">
        <f>IFERROR(__xludf.DUMMYFUNCTION("""COMPUTED_VALUE"""),4388715.0)</f>
        <v>4388715</v>
      </c>
    </row>
    <row r="177" ht="15.75" customHeight="1">
      <c r="A177" s="6" t="str">
        <f>IFERROR(__xludf.DUMMYFUNCTION("""COMPUTED_VALUE"""),"June")</f>
        <v>June</v>
      </c>
      <c r="B177" s="6" t="str">
        <f>IFERROR(__xludf.DUMMYFUNCTION("""COMPUTED_VALUE"""),"South")</f>
        <v>South</v>
      </c>
      <c r="C177" s="6" t="str">
        <f>IFERROR(__xludf.DUMMYFUNCTION("""COMPUTED_VALUE"""),"Chennai")</f>
        <v>Chennai</v>
      </c>
      <c r="D177" s="6" t="str">
        <f>IFERROR(__xludf.DUMMYFUNCTION("""COMPUTED_VALUE"""),"NutriKid")</f>
        <v>NutriKid</v>
      </c>
      <c r="E177" s="6">
        <f>IFERROR(__xludf.DUMMYFUNCTION("""COMPUTED_VALUE"""),28267.0)</f>
        <v>28267</v>
      </c>
      <c r="F177" s="6">
        <f>IFERROR(__xludf.DUMMYFUNCTION("""COMPUTED_VALUE"""),33638.0)</f>
        <v>33638</v>
      </c>
      <c r="G177" s="59">
        <f>IFERROR(__xludf.DUMMYFUNCTION("""COMPUTED_VALUE"""),1696020.0)</f>
        <v>1696020</v>
      </c>
      <c r="H177" s="6">
        <f>IFERROR(__xludf.DUMMYFUNCTION("""COMPUTED_VALUE"""),2018280.0)</f>
        <v>2018280</v>
      </c>
    </row>
    <row r="178" ht="15.75" customHeight="1">
      <c r="A178" s="6" t="str">
        <f>IFERROR(__xludf.DUMMYFUNCTION("""COMPUTED_VALUE"""),"June")</f>
        <v>June</v>
      </c>
      <c r="B178" s="6" t="str">
        <f>IFERROR(__xludf.DUMMYFUNCTION("""COMPUTED_VALUE"""),"North")</f>
        <v>North</v>
      </c>
      <c r="C178" s="6" t="str">
        <f>IFERROR(__xludf.DUMMYFUNCTION("""COMPUTED_VALUE"""),"Lucknow")</f>
        <v>Lucknow</v>
      </c>
      <c r="D178" s="6" t="str">
        <f>IFERROR(__xludf.DUMMYFUNCTION("""COMPUTED_VALUE"""),"ZestVita")</f>
        <v>ZestVita</v>
      </c>
      <c r="E178" s="6">
        <f>IFERROR(__xludf.DUMMYFUNCTION("""COMPUTED_VALUE"""),26640.0)</f>
        <v>26640</v>
      </c>
      <c r="F178" s="6">
        <f>IFERROR(__xludf.DUMMYFUNCTION("""COMPUTED_VALUE"""),31702.0)</f>
        <v>31702</v>
      </c>
      <c r="G178" s="59">
        <f>IFERROR(__xludf.DUMMYFUNCTION("""COMPUTED_VALUE"""),3236760.0)</f>
        <v>3236760</v>
      </c>
      <c r="H178" s="6">
        <f>IFERROR(__xludf.DUMMYFUNCTION("""COMPUTED_VALUE"""),4279770.0)</f>
        <v>4279770</v>
      </c>
    </row>
    <row r="179" ht="15.75" customHeight="1">
      <c r="A179" s="6" t="str">
        <f>IFERROR(__xludf.DUMMYFUNCTION("""COMPUTED_VALUE"""),"June")</f>
        <v>June</v>
      </c>
      <c r="B179" s="6" t="str">
        <f>IFERROR(__xludf.DUMMYFUNCTION("""COMPUTED_VALUE"""),"North")</f>
        <v>North</v>
      </c>
      <c r="C179" s="6" t="str">
        <f>IFERROR(__xludf.DUMMYFUNCTION("""COMPUTED_VALUE"""),"Lucknow")</f>
        <v>Lucknow</v>
      </c>
      <c r="D179" s="6" t="str">
        <f>IFERROR(__xludf.DUMMYFUNCTION("""COMPUTED_VALUE"""),"NutriKid")</f>
        <v>NutriKid</v>
      </c>
      <c r="E179" s="6">
        <f>IFERROR(__xludf.DUMMYFUNCTION("""COMPUTED_VALUE"""),25414.0)</f>
        <v>25414</v>
      </c>
      <c r="F179" s="6">
        <f>IFERROR(__xludf.DUMMYFUNCTION("""COMPUTED_VALUE"""),28210.0)</f>
        <v>28210</v>
      </c>
      <c r="G179" s="59">
        <f>IFERROR(__xludf.DUMMYFUNCTION("""COMPUTED_VALUE"""),1372356.0)</f>
        <v>1372356</v>
      </c>
      <c r="H179" s="6">
        <f>IFERROR(__xludf.DUMMYFUNCTION("""COMPUTED_VALUE"""),1692600.0)</f>
        <v>1692600</v>
      </c>
    </row>
    <row r="180" ht="15.75" customHeight="1">
      <c r="A180" s="6" t="str">
        <f>IFERROR(__xludf.DUMMYFUNCTION("""COMPUTED_VALUE"""),"June")</f>
        <v>June</v>
      </c>
      <c r="B180" s="6" t="str">
        <f>IFERROR(__xludf.DUMMYFUNCTION("""COMPUTED_VALUE"""),"East")</f>
        <v>East</v>
      </c>
      <c r="C180" s="6" t="str">
        <f>IFERROR(__xludf.DUMMYFUNCTION("""COMPUTED_VALUE"""),"Ranchi")</f>
        <v>Ranchi</v>
      </c>
      <c r="D180" s="6" t="str">
        <f>IFERROR(__xludf.DUMMYFUNCTION("""COMPUTED_VALUE"""),"ZestVita")</f>
        <v>ZestVita</v>
      </c>
      <c r="E180" s="6">
        <f>IFERROR(__xludf.DUMMYFUNCTION("""COMPUTED_VALUE"""),30986.0)</f>
        <v>30986</v>
      </c>
      <c r="F180" s="6">
        <f>IFERROR(__xludf.DUMMYFUNCTION("""COMPUTED_VALUE"""),32535.0)</f>
        <v>32535</v>
      </c>
      <c r="G180" s="59">
        <f>IFERROR(__xludf.DUMMYFUNCTION("""COMPUTED_VALUE"""),3973954.5)</f>
        <v>3973954.5</v>
      </c>
      <c r="H180" s="6">
        <f>IFERROR(__xludf.DUMMYFUNCTION("""COMPUTED_VALUE"""),4392225.0)</f>
        <v>4392225</v>
      </c>
    </row>
    <row r="181" ht="15.75" customHeight="1">
      <c r="A181" s="6" t="str">
        <f>IFERROR(__xludf.DUMMYFUNCTION("""COMPUTED_VALUE"""),"June")</f>
        <v>June</v>
      </c>
      <c r="B181" s="6" t="str">
        <f>IFERROR(__xludf.DUMMYFUNCTION("""COMPUTED_VALUE"""),"East")</f>
        <v>East</v>
      </c>
      <c r="C181" s="6" t="str">
        <f>IFERROR(__xludf.DUMMYFUNCTION("""COMPUTED_VALUE"""),"Ranchi")</f>
        <v>Ranchi</v>
      </c>
      <c r="D181" s="6" t="str">
        <f>IFERROR(__xludf.DUMMYFUNCTION("""COMPUTED_VALUE"""),"NutriKid")</f>
        <v>NutriKid</v>
      </c>
      <c r="E181" s="6">
        <f>IFERROR(__xludf.DUMMYFUNCTION("""COMPUTED_VALUE"""),22275.0)</f>
        <v>22275</v>
      </c>
      <c r="F181" s="6">
        <f>IFERROR(__xludf.DUMMYFUNCTION("""COMPUTED_VALUE"""),23389.0)</f>
        <v>23389</v>
      </c>
      <c r="G181" s="59">
        <f>IFERROR(__xludf.DUMMYFUNCTION("""COMPUTED_VALUE"""),1269675.0)</f>
        <v>1269675</v>
      </c>
      <c r="H181" s="6">
        <f>IFERROR(__xludf.DUMMYFUNCTION("""COMPUTED_VALUE"""),1403340.0)</f>
        <v>1403340</v>
      </c>
    </row>
    <row r="182" ht="15.75" customHeight="1">
      <c r="A182" s="6" t="str">
        <f>IFERROR(__xludf.DUMMYFUNCTION("""COMPUTED_VALUE"""),"June")</f>
        <v>June</v>
      </c>
      <c r="B182" s="6" t="str">
        <f>IFERROR(__xludf.DUMMYFUNCTION("""COMPUTED_VALUE"""),"West")</f>
        <v>West</v>
      </c>
      <c r="C182" s="6" t="str">
        <f>IFERROR(__xludf.DUMMYFUNCTION("""COMPUTED_VALUE"""),"Surat")</f>
        <v>Surat</v>
      </c>
      <c r="D182" s="6" t="str">
        <f>IFERROR(__xludf.DUMMYFUNCTION("""COMPUTED_VALUE"""),"ZestVita")</f>
        <v>ZestVita</v>
      </c>
      <c r="E182" s="6">
        <f>IFERROR(__xludf.DUMMYFUNCTION("""COMPUTED_VALUE"""),37779.0)</f>
        <v>37779</v>
      </c>
      <c r="F182" s="6">
        <f>IFERROR(__xludf.DUMMYFUNCTION("""COMPUTED_VALUE"""),40801.0)</f>
        <v>40801</v>
      </c>
      <c r="G182" s="59">
        <f>IFERROR(__xludf.DUMMYFUNCTION("""COMPUTED_VALUE"""),4845156.75)</f>
        <v>4845156.75</v>
      </c>
      <c r="H182" s="6">
        <f>IFERROR(__xludf.DUMMYFUNCTION("""COMPUTED_VALUE"""),5508135.0)</f>
        <v>5508135</v>
      </c>
    </row>
    <row r="183" ht="15.75" customHeight="1">
      <c r="A183" s="6" t="str">
        <f>IFERROR(__xludf.DUMMYFUNCTION("""COMPUTED_VALUE"""),"June")</f>
        <v>June</v>
      </c>
      <c r="B183" s="6" t="str">
        <f>IFERROR(__xludf.DUMMYFUNCTION("""COMPUTED_VALUE"""),"West")</f>
        <v>West</v>
      </c>
      <c r="C183" s="6" t="str">
        <f>IFERROR(__xludf.DUMMYFUNCTION("""COMPUTED_VALUE"""),"Surat")</f>
        <v>Surat</v>
      </c>
      <c r="D183" s="6" t="str">
        <f>IFERROR(__xludf.DUMMYFUNCTION("""COMPUTED_VALUE"""),"NutriKid")</f>
        <v>NutriKid</v>
      </c>
      <c r="E183" s="6">
        <f>IFERROR(__xludf.DUMMYFUNCTION("""COMPUTED_VALUE"""),30903.0)</f>
        <v>30903</v>
      </c>
      <c r="F183" s="6">
        <f>IFERROR(__xludf.DUMMYFUNCTION("""COMPUTED_VALUE"""),32757.0)</f>
        <v>32757</v>
      </c>
      <c r="G183" s="59">
        <f>IFERROR(__xludf.DUMMYFUNCTION("""COMPUTED_VALUE"""),1761471.0)</f>
        <v>1761471</v>
      </c>
      <c r="H183" s="6">
        <f>IFERROR(__xludf.DUMMYFUNCTION("""COMPUTED_VALUE"""),1965420.0)</f>
        <v>1965420</v>
      </c>
    </row>
    <row r="184" ht="15.75" customHeight="1">
      <c r="A184" s="6" t="str">
        <f>IFERROR(__xludf.DUMMYFUNCTION("""COMPUTED_VALUE"""),"June")</f>
        <v>June</v>
      </c>
      <c r="B184" s="6" t="str">
        <f>IFERROR(__xludf.DUMMYFUNCTION("""COMPUTED_VALUE"""),"South")</f>
        <v>South</v>
      </c>
      <c r="C184" s="6" t="str">
        <f>IFERROR(__xludf.DUMMYFUNCTION("""COMPUTED_VALUE"""),"Hyderabad")</f>
        <v>Hyderabad</v>
      </c>
      <c r="D184" s="6" t="str">
        <f>IFERROR(__xludf.DUMMYFUNCTION("""COMPUTED_VALUE"""),"ZestVita")</f>
        <v>ZestVita</v>
      </c>
      <c r="E184" s="6">
        <f>IFERROR(__xludf.DUMMYFUNCTION("""COMPUTED_VALUE"""),52642.0)</f>
        <v>52642</v>
      </c>
      <c r="F184" s="6">
        <f>IFERROR(__xludf.DUMMYFUNCTION("""COMPUTED_VALUE"""),62644.0)</f>
        <v>62644</v>
      </c>
      <c r="G184" s="59">
        <f>IFERROR(__xludf.DUMMYFUNCTION("""COMPUTED_VALUE"""),7106670.0)</f>
        <v>7106670</v>
      </c>
      <c r="H184" s="6">
        <f>IFERROR(__xludf.DUMMYFUNCTION("""COMPUTED_VALUE"""),8456940.0)</f>
        <v>8456940</v>
      </c>
    </row>
    <row r="185" ht="15.75" customHeight="1">
      <c r="A185" s="6" t="str">
        <f>IFERROR(__xludf.DUMMYFUNCTION("""COMPUTED_VALUE"""),"June")</f>
        <v>June</v>
      </c>
      <c r="B185" s="6" t="str">
        <f>IFERROR(__xludf.DUMMYFUNCTION("""COMPUTED_VALUE"""),"South")</f>
        <v>South</v>
      </c>
      <c r="C185" s="6" t="str">
        <f>IFERROR(__xludf.DUMMYFUNCTION("""COMPUTED_VALUE"""),"Hyderabad")</f>
        <v>Hyderabad</v>
      </c>
      <c r="D185" s="6" t="str">
        <f>IFERROR(__xludf.DUMMYFUNCTION("""COMPUTED_VALUE"""),"NutriKid")</f>
        <v>NutriKid</v>
      </c>
      <c r="E185" s="6">
        <f>IFERROR(__xludf.DUMMYFUNCTION("""COMPUTED_VALUE"""),52660.0)</f>
        <v>52660</v>
      </c>
      <c r="F185" s="6">
        <f>IFERROR(__xludf.DUMMYFUNCTION("""COMPUTED_VALUE"""),60032.0)</f>
        <v>60032</v>
      </c>
      <c r="G185" s="59">
        <f>IFERROR(__xludf.DUMMYFUNCTION("""COMPUTED_VALUE"""),3159600.0)</f>
        <v>3159600</v>
      </c>
      <c r="H185" s="6">
        <f>IFERROR(__xludf.DUMMYFUNCTION("""COMPUTED_VALUE"""),3601920.0)</f>
        <v>3601920</v>
      </c>
    </row>
    <row r="186" ht="15.75" customHeight="1">
      <c r="A186" s="6" t="str">
        <f>IFERROR(__xludf.DUMMYFUNCTION("""COMPUTED_VALUE"""),"June")</f>
        <v>June</v>
      </c>
      <c r="B186" s="6" t="str">
        <f>IFERROR(__xludf.DUMMYFUNCTION("""COMPUTED_VALUE"""),"North")</f>
        <v>North</v>
      </c>
      <c r="C186" s="6" t="str">
        <f>IFERROR(__xludf.DUMMYFUNCTION("""COMPUTED_VALUE"""),"Dehradun")</f>
        <v>Dehradun</v>
      </c>
      <c r="D186" s="6" t="str">
        <f>IFERROR(__xludf.DUMMYFUNCTION("""COMPUTED_VALUE"""),"ZestVita")</f>
        <v>ZestVita</v>
      </c>
      <c r="E186" s="6">
        <f>IFERROR(__xludf.DUMMYFUNCTION("""COMPUTED_VALUE"""),25328.0)</f>
        <v>25328</v>
      </c>
      <c r="F186" s="6">
        <f>IFERROR(__xludf.DUMMYFUNCTION("""COMPUTED_VALUE"""),25835.0)</f>
        <v>25835</v>
      </c>
      <c r="G186" s="59">
        <f>IFERROR(__xludf.DUMMYFUNCTION("""COMPUTED_VALUE"""),2991870.0)</f>
        <v>2991870</v>
      </c>
      <c r="H186" s="6">
        <f>IFERROR(__xludf.DUMMYFUNCTION("""COMPUTED_VALUE"""),3487725.0)</f>
        <v>3487725</v>
      </c>
    </row>
    <row r="187" ht="15.75" customHeight="1">
      <c r="A187" s="6" t="str">
        <f>IFERROR(__xludf.DUMMYFUNCTION("""COMPUTED_VALUE"""),"June")</f>
        <v>June</v>
      </c>
      <c r="B187" s="6" t="str">
        <f>IFERROR(__xludf.DUMMYFUNCTION("""COMPUTED_VALUE"""),"North")</f>
        <v>North</v>
      </c>
      <c r="C187" s="6" t="str">
        <f>IFERROR(__xludf.DUMMYFUNCTION("""COMPUTED_VALUE"""),"Dehradun")</f>
        <v>Dehradun</v>
      </c>
      <c r="D187" s="6" t="str">
        <f>IFERROR(__xludf.DUMMYFUNCTION("""COMPUTED_VALUE"""),"NutriKid")</f>
        <v>NutriKid</v>
      </c>
      <c r="E187" s="6">
        <f>IFERROR(__xludf.DUMMYFUNCTION("""COMPUTED_VALUE"""),15729.0)</f>
        <v>15729</v>
      </c>
      <c r="F187" s="6">
        <f>IFERROR(__xludf.DUMMYFUNCTION("""COMPUTED_VALUE"""),16044.0)</f>
        <v>16044</v>
      </c>
      <c r="G187" s="59">
        <f>IFERROR(__xludf.DUMMYFUNCTION("""COMPUTED_VALUE"""),825772.5)</f>
        <v>825772.5</v>
      </c>
      <c r="H187" s="6">
        <f>IFERROR(__xludf.DUMMYFUNCTION("""COMPUTED_VALUE"""),962640.0)</f>
        <v>962640</v>
      </c>
    </row>
    <row r="188" ht="15.75" customHeight="1">
      <c r="A188" s="6" t="str">
        <f>IFERROR(__xludf.DUMMYFUNCTION("""COMPUTED_VALUE"""),"June")</f>
        <v>June</v>
      </c>
      <c r="B188" s="6" t="str">
        <f>IFERROR(__xludf.DUMMYFUNCTION("""COMPUTED_VALUE"""),"South")</f>
        <v>South</v>
      </c>
      <c r="C188" s="6" t="str">
        <f>IFERROR(__xludf.DUMMYFUNCTION("""COMPUTED_VALUE"""),"Kochi")</f>
        <v>Kochi</v>
      </c>
      <c r="D188" s="6" t="str">
        <f>IFERROR(__xludf.DUMMYFUNCTION("""COMPUTED_VALUE"""),"ZestVita")</f>
        <v>ZestVita</v>
      </c>
      <c r="E188" s="6">
        <f>IFERROR(__xludf.DUMMYFUNCTION("""COMPUTED_VALUE"""),27805.0)</f>
        <v>27805</v>
      </c>
      <c r="F188" s="6">
        <f>IFERROR(__xludf.DUMMYFUNCTION("""COMPUTED_VALUE"""),28917.0)</f>
        <v>28917</v>
      </c>
      <c r="G188" s="59">
        <f>IFERROR(__xludf.DUMMYFUNCTION("""COMPUTED_VALUE"""),3378307.5)</f>
        <v>3378307.5</v>
      </c>
      <c r="H188" s="6">
        <f>IFERROR(__xludf.DUMMYFUNCTION("""COMPUTED_VALUE"""),3903795.0)</f>
        <v>3903795</v>
      </c>
    </row>
    <row r="189" ht="15.75" customHeight="1">
      <c r="A189" s="6" t="str">
        <f>IFERROR(__xludf.DUMMYFUNCTION("""COMPUTED_VALUE"""),"June")</f>
        <v>June</v>
      </c>
      <c r="B189" s="6" t="str">
        <f>IFERROR(__xludf.DUMMYFUNCTION("""COMPUTED_VALUE"""),"South")</f>
        <v>South</v>
      </c>
      <c r="C189" s="6" t="str">
        <f>IFERROR(__xludf.DUMMYFUNCTION("""COMPUTED_VALUE"""),"Kochi")</f>
        <v>Kochi</v>
      </c>
      <c r="D189" s="6" t="str">
        <f>IFERROR(__xludf.DUMMYFUNCTION("""COMPUTED_VALUE"""),"NutriKid")</f>
        <v>NutriKid</v>
      </c>
      <c r="E189" s="6">
        <f>IFERROR(__xludf.DUMMYFUNCTION("""COMPUTED_VALUE"""),18175.0)</f>
        <v>18175</v>
      </c>
      <c r="F189" s="6">
        <f>IFERROR(__xludf.DUMMYFUNCTION("""COMPUTED_VALUE"""),19266.0)</f>
        <v>19266</v>
      </c>
      <c r="G189" s="59">
        <f>IFERROR(__xludf.DUMMYFUNCTION("""COMPUTED_VALUE"""),981450.0)</f>
        <v>981450</v>
      </c>
      <c r="H189" s="6">
        <f>IFERROR(__xludf.DUMMYFUNCTION("""COMPUTED_VALUE"""),1155960.0)</f>
        <v>1155960</v>
      </c>
    </row>
    <row r="190" ht="15.75" customHeight="1">
      <c r="A190" s="6" t="str">
        <f>IFERROR(__xludf.DUMMYFUNCTION("""COMPUTED_VALUE"""),"June")</f>
        <v>June</v>
      </c>
      <c r="B190" s="6" t="str">
        <f>IFERROR(__xludf.DUMMYFUNCTION("""COMPUTED_VALUE"""),"West")</f>
        <v>West</v>
      </c>
      <c r="C190" s="6" t="str">
        <f>IFERROR(__xludf.DUMMYFUNCTION("""COMPUTED_VALUE"""),"Jaipur")</f>
        <v>Jaipur</v>
      </c>
      <c r="D190" s="6" t="str">
        <f>IFERROR(__xludf.DUMMYFUNCTION("""COMPUTED_VALUE"""),"ZestVita")</f>
        <v>ZestVita</v>
      </c>
      <c r="E190" s="6">
        <f>IFERROR(__xludf.DUMMYFUNCTION("""COMPUTED_VALUE"""),43289.0)</f>
        <v>43289</v>
      </c>
      <c r="F190" s="6">
        <f>IFERROR(__xludf.DUMMYFUNCTION("""COMPUTED_VALUE"""),51514.0)</f>
        <v>51514</v>
      </c>
      <c r="G190" s="59">
        <f>IFERROR(__xludf.DUMMYFUNCTION("""COMPUTED_VALUE"""),5844015.0)</f>
        <v>5844015</v>
      </c>
      <c r="H190" s="6">
        <f>IFERROR(__xludf.DUMMYFUNCTION("""COMPUTED_VALUE"""),6954390.0)</f>
        <v>6954390</v>
      </c>
    </row>
    <row r="191" ht="15.75" customHeight="1">
      <c r="A191" s="6" t="str">
        <f>IFERROR(__xludf.DUMMYFUNCTION("""COMPUTED_VALUE"""),"June")</f>
        <v>June</v>
      </c>
      <c r="B191" s="6" t="str">
        <f>IFERROR(__xludf.DUMMYFUNCTION("""COMPUTED_VALUE"""),"West")</f>
        <v>West</v>
      </c>
      <c r="C191" s="6" t="str">
        <f>IFERROR(__xludf.DUMMYFUNCTION("""COMPUTED_VALUE"""),"Jaipur")</f>
        <v>Jaipur</v>
      </c>
      <c r="D191" s="6" t="str">
        <f>IFERROR(__xludf.DUMMYFUNCTION("""COMPUTED_VALUE"""),"NutriKid")</f>
        <v>NutriKid</v>
      </c>
      <c r="E191" s="6">
        <f>IFERROR(__xludf.DUMMYFUNCTION("""COMPUTED_VALUE"""),33419.0)</f>
        <v>33419</v>
      </c>
      <c r="F191" s="6">
        <f>IFERROR(__xludf.DUMMYFUNCTION("""COMPUTED_VALUE"""),41105.0)</f>
        <v>41105</v>
      </c>
      <c r="G191" s="59">
        <f>IFERROR(__xludf.DUMMYFUNCTION("""COMPUTED_VALUE"""),2005140.0)</f>
        <v>2005140</v>
      </c>
      <c r="H191" s="6">
        <f>IFERROR(__xludf.DUMMYFUNCTION("""COMPUTED_VALUE"""),2466300.0)</f>
        <v>2466300</v>
      </c>
    </row>
    <row r="192" ht="15.75" customHeight="1">
      <c r="A192" s="6" t="str">
        <f>IFERROR(__xludf.DUMMYFUNCTION("""COMPUTED_VALUE"""),"June")</f>
        <v>June</v>
      </c>
      <c r="B192" s="6" t="str">
        <f>IFERROR(__xludf.DUMMYFUNCTION("""COMPUTED_VALUE"""),"East")</f>
        <v>East</v>
      </c>
      <c r="C192" s="6" t="str">
        <f>IFERROR(__xludf.DUMMYFUNCTION("""COMPUTED_VALUE"""),"Patna")</f>
        <v>Patna</v>
      </c>
      <c r="D192" s="6" t="str">
        <f>IFERROR(__xludf.DUMMYFUNCTION("""COMPUTED_VALUE"""),"ZestVita")</f>
        <v>ZestVita</v>
      </c>
      <c r="E192" s="6">
        <f>IFERROR(__xludf.DUMMYFUNCTION("""COMPUTED_VALUE"""),36992.0)</f>
        <v>36992</v>
      </c>
      <c r="F192" s="6">
        <f>IFERROR(__xludf.DUMMYFUNCTION("""COMPUTED_VALUE"""),45130.0)</f>
        <v>45130</v>
      </c>
      <c r="G192" s="59">
        <f>IFERROR(__xludf.DUMMYFUNCTION("""COMPUTED_VALUE"""),4744224.0)</f>
        <v>4744224</v>
      </c>
      <c r="H192" s="6">
        <f>IFERROR(__xludf.DUMMYFUNCTION("""COMPUTED_VALUE"""),6092550.0)</f>
        <v>6092550</v>
      </c>
    </row>
    <row r="193" ht="15.75" customHeight="1">
      <c r="A193" s="6" t="str">
        <f>IFERROR(__xludf.DUMMYFUNCTION("""COMPUTED_VALUE"""),"June")</f>
        <v>June</v>
      </c>
      <c r="B193" s="6" t="str">
        <f>IFERROR(__xludf.DUMMYFUNCTION("""COMPUTED_VALUE"""),"East")</f>
        <v>East</v>
      </c>
      <c r="C193" s="6" t="str">
        <f>IFERROR(__xludf.DUMMYFUNCTION("""COMPUTED_VALUE"""),"Patna")</f>
        <v>Patna</v>
      </c>
      <c r="D193" s="6" t="str">
        <f>IFERROR(__xludf.DUMMYFUNCTION("""COMPUTED_VALUE"""),"NutriKid")</f>
        <v>NutriKid</v>
      </c>
      <c r="E193" s="6">
        <f>IFERROR(__xludf.DUMMYFUNCTION("""COMPUTED_VALUE"""),47607.0)</f>
        <v>47607</v>
      </c>
      <c r="F193" s="6">
        <f>IFERROR(__xludf.DUMMYFUNCTION("""COMPUTED_VALUE"""),53320.0)</f>
        <v>53320</v>
      </c>
      <c r="G193" s="59">
        <f>IFERROR(__xludf.DUMMYFUNCTION("""COMPUTED_VALUE"""),2713599.0)</f>
        <v>2713599</v>
      </c>
      <c r="H193" s="6">
        <f>IFERROR(__xludf.DUMMYFUNCTION("""COMPUTED_VALUE"""),3199200.0)</f>
        <v>3199200</v>
      </c>
    </row>
    <row r="194" ht="15.75" customHeight="1">
      <c r="A194" s="6"/>
      <c r="B194" s="6"/>
      <c r="C194" s="6" t="str">
        <f>IFERROR(__xludf.DUMMYFUNCTION("""COMPUTED_VALUE"""),"Overall")</f>
        <v>Overall</v>
      </c>
      <c r="D194" s="6"/>
      <c r="E194" s="6"/>
      <c r="F194" s="6"/>
      <c r="G194" s="59"/>
      <c r="H194" s="6"/>
    </row>
    <row r="195" ht="15.75" customHeight="1">
      <c r="A195" s="6"/>
      <c r="B195" s="6"/>
      <c r="C195" s="6"/>
      <c r="D195" s="6"/>
      <c r="E195" s="6"/>
      <c r="F195" s="6"/>
      <c r="G195" s="59"/>
      <c r="H195" s="6"/>
    </row>
    <row r="196" ht="15.75" customHeight="1">
      <c r="A196" s="6"/>
      <c r="B196" s="6"/>
      <c r="C196" s="6"/>
      <c r="D196" s="6"/>
      <c r="E196" s="6"/>
      <c r="F196" s="6"/>
      <c r="G196" s="59"/>
      <c r="H196" s="6"/>
    </row>
    <row r="197" ht="15.75" customHeight="1">
      <c r="A197" s="6"/>
      <c r="B197" s="6"/>
      <c r="C197" s="6"/>
      <c r="D197" s="6"/>
      <c r="E197" s="6"/>
      <c r="F197" s="6"/>
      <c r="G197" s="59"/>
      <c r="H197" s="6"/>
    </row>
    <row r="198" ht="15.75" customHeight="1">
      <c r="A198" s="6"/>
      <c r="B198" s="6"/>
      <c r="C198" s="6"/>
      <c r="D198" s="6"/>
      <c r="E198" s="6"/>
      <c r="F198" s="6"/>
      <c r="G198" s="59"/>
      <c r="H198" s="6"/>
    </row>
    <row r="199" ht="15.75" customHeight="1">
      <c r="A199" s="6"/>
      <c r="B199" s="6"/>
      <c r="C199" s="6"/>
      <c r="D199" s="6"/>
      <c r="E199" s="6"/>
      <c r="F199" s="6"/>
      <c r="G199" s="59"/>
      <c r="H199" s="6"/>
    </row>
    <row r="200" ht="15.75" customHeight="1">
      <c r="A200" s="6"/>
      <c r="B200" s="6"/>
      <c r="C200" s="6"/>
      <c r="D200" s="6"/>
      <c r="E200" s="6"/>
      <c r="F200" s="6"/>
      <c r="G200" s="59"/>
      <c r="H200" s="6"/>
    </row>
    <row r="201" ht="15.75" customHeight="1">
      <c r="A201" s="6"/>
      <c r="B201" s="6"/>
      <c r="C201" s="6"/>
      <c r="D201" s="6"/>
      <c r="E201" s="6"/>
      <c r="F201" s="6"/>
      <c r="G201" s="59"/>
      <c r="H201" s="6"/>
    </row>
    <row r="202" ht="15.75" customHeight="1">
      <c r="A202" s="6"/>
      <c r="B202" s="6"/>
      <c r="C202" s="6"/>
      <c r="D202" s="6"/>
      <c r="E202" s="6"/>
      <c r="F202" s="6"/>
      <c r="G202" s="59"/>
      <c r="H202" s="6"/>
    </row>
    <row r="203" ht="15.75" customHeight="1">
      <c r="A203" s="6"/>
      <c r="B203" s="6"/>
      <c r="C203" s="6"/>
      <c r="D203" s="6"/>
      <c r="E203" s="6"/>
      <c r="F203" s="6"/>
      <c r="G203" s="59"/>
      <c r="H203" s="6"/>
    </row>
    <row r="204" ht="15.75" customHeight="1">
      <c r="A204" s="6"/>
      <c r="B204" s="6"/>
      <c r="C204" s="6"/>
      <c r="D204" s="6"/>
      <c r="E204" s="6"/>
      <c r="F204" s="6"/>
      <c r="G204" s="59"/>
      <c r="H204" s="6"/>
    </row>
    <row r="205" ht="15.75" customHeight="1">
      <c r="A205" s="6"/>
      <c r="B205" s="6"/>
      <c r="C205" s="6"/>
      <c r="D205" s="6"/>
      <c r="E205" s="6"/>
      <c r="F205" s="6"/>
      <c r="G205" s="59"/>
      <c r="H205" s="6"/>
    </row>
    <row r="206" ht="15.75" customHeight="1">
      <c r="A206" s="6"/>
      <c r="B206" s="6"/>
      <c r="C206" s="6"/>
      <c r="D206" s="6"/>
      <c r="E206" s="6"/>
      <c r="F206" s="6"/>
      <c r="G206" s="59"/>
      <c r="H206" s="6"/>
    </row>
    <row r="207" ht="15.75" customHeight="1">
      <c r="A207" s="6"/>
      <c r="B207" s="6"/>
      <c r="C207" s="6"/>
      <c r="D207" s="6"/>
      <c r="E207" s="6"/>
      <c r="F207" s="6"/>
      <c r="G207" s="59"/>
      <c r="H207" s="6"/>
    </row>
    <row r="208" ht="15.75" customHeight="1">
      <c r="A208" s="6"/>
      <c r="B208" s="6"/>
      <c r="C208" s="6"/>
      <c r="D208" s="6"/>
      <c r="E208" s="6"/>
      <c r="F208" s="6"/>
      <c r="G208" s="59"/>
      <c r="H208" s="6"/>
    </row>
    <row r="209" ht="15.75" customHeight="1">
      <c r="A209" s="6"/>
      <c r="B209" s="6"/>
      <c r="C209" s="6"/>
      <c r="D209" s="6"/>
      <c r="E209" s="6"/>
      <c r="F209" s="6"/>
      <c r="G209" s="59"/>
      <c r="H209" s="6"/>
    </row>
    <row r="210" ht="15.75" customHeight="1">
      <c r="A210" s="6"/>
      <c r="B210" s="6"/>
      <c r="C210" s="6"/>
      <c r="D210" s="6"/>
      <c r="E210" s="6"/>
      <c r="F210" s="6"/>
      <c r="G210" s="59"/>
      <c r="H210" s="6"/>
    </row>
    <row r="211" ht="15.75" customHeight="1">
      <c r="A211" s="6"/>
      <c r="B211" s="6"/>
      <c r="C211" s="6"/>
      <c r="D211" s="6"/>
      <c r="E211" s="6"/>
      <c r="F211" s="6"/>
      <c r="G211" s="59"/>
      <c r="H211" s="6"/>
    </row>
    <row r="212" ht="15.75" customHeight="1">
      <c r="A212" s="6"/>
      <c r="B212" s="6"/>
      <c r="C212" s="6"/>
      <c r="D212" s="6"/>
      <c r="E212" s="6"/>
      <c r="F212" s="6"/>
      <c r="G212" s="59"/>
      <c r="H212" s="6"/>
    </row>
    <row r="213" ht="15.75" customHeight="1">
      <c r="A213" s="6"/>
      <c r="B213" s="6"/>
      <c r="C213" s="6"/>
      <c r="D213" s="6"/>
      <c r="E213" s="6"/>
      <c r="F213" s="6"/>
      <c r="G213" s="59"/>
      <c r="H213" s="6"/>
    </row>
    <row r="214" ht="15.75" customHeight="1">
      <c r="A214" s="6"/>
      <c r="B214" s="6"/>
      <c r="C214" s="6"/>
      <c r="D214" s="6"/>
      <c r="E214" s="6"/>
      <c r="F214" s="6"/>
      <c r="G214" s="59"/>
      <c r="H214" s="6"/>
    </row>
    <row r="215" ht="15.75" customHeight="1">
      <c r="A215" s="6"/>
      <c r="B215" s="6"/>
      <c r="C215" s="6"/>
      <c r="D215" s="6"/>
      <c r="E215" s="6"/>
      <c r="F215" s="6"/>
      <c r="G215" s="59"/>
      <c r="H215" s="6"/>
    </row>
    <row r="216" ht="15.75" customHeight="1">
      <c r="A216" s="6"/>
      <c r="B216" s="6"/>
      <c r="C216" s="6"/>
      <c r="D216" s="6"/>
      <c r="E216" s="6"/>
      <c r="F216" s="6"/>
      <c r="G216" s="59"/>
      <c r="H216" s="6"/>
    </row>
    <row r="217" ht="15.75" customHeight="1">
      <c r="A217" s="6"/>
      <c r="B217" s="6"/>
      <c r="C217" s="6"/>
      <c r="D217" s="6"/>
      <c r="E217" s="6"/>
      <c r="F217" s="6"/>
      <c r="G217" s="59"/>
      <c r="H217" s="6"/>
    </row>
    <row r="218" ht="15.75" customHeight="1">
      <c r="A218" s="6"/>
      <c r="B218" s="6"/>
      <c r="C218" s="6"/>
      <c r="D218" s="6"/>
      <c r="E218" s="6"/>
      <c r="F218" s="6"/>
      <c r="G218" s="59"/>
      <c r="H218" s="6"/>
    </row>
    <row r="219" ht="15.75" customHeight="1">
      <c r="A219" s="6"/>
      <c r="B219" s="6"/>
      <c r="C219" s="6"/>
      <c r="D219" s="6"/>
      <c r="E219" s="6"/>
      <c r="F219" s="6"/>
      <c r="G219" s="59"/>
      <c r="H219" s="6"/>
    </row>
    <row r="220" ht="15.75" customHeight="1">
      <c r="A220" s="6"/>
      <c r="B220" s="6"/>
      <c r="C220" s="6"/>
      <c r="D220" s="6"/>
      <c r="E220" s="6"/>
      <c r="F220" s="6"/>
      <c r="G220" s="59"/>
      <c r="H220" s="6"/>
    </row>
    <row r="221" ht="15.75" customHeight="1">
      <c r="A221" s="6"/>
      <c r="B221" s="6"/>
      <c r="C221" s="6"/>
      <c r="D221" s="6"/>
      <c r="E221" s="6"/>
      <c r="F221" s="6"/>
      <c r="G221" s="59"/>
      <c r="H221" s="6"/>
    </row>
    <row r="222" ht="15.75" customHeight="1">
      <c r="A222" s="6"/>
      <c r="B222" s="6"/>
      <c r="C222" s="6"/>
      <c r="D222" s="6"/>
      <c r="E222" s="6"/>
      <c r="F222" s="6"/>
      <c r="G222" s="59"/>
      <c r="H222" s="6"/>
    </row>
    <row r="223" ht="15.75" customHeight="1">
      <c r="A223" s="6"/>
      <c r="B223" s="6"/>
      <c r="C223" s="6"/>
      <c r="D223" s="6"/>
      <c r="E223" s="6"/>
      <c r="F223" s="6"/>
      <c r="G223" s="59"/>
      <c r="H223" s="6"/>
    </row>
    <row r="224" ht="15.75" customHeight="1">
      <c r="A224" s="6"/>
      <c r="B224" s="6"/>
      <c r="C224" s="6"/>
      <c r="D224" s="6"/>
      <c r="E224" s="6"/>
      <c r="F224" s="6"/>
      <c r="G224" s="59"/>
      <c r="H224" s="6"/>
    </row>
    <row r="225" ht="15.75" customHeight="1">
      <c r="A225" s="6"/>
      <c r="B225" s="6"/>
      <c r="C225" s="6"/>
      <c r="D225" s="6"/>
      <c r="E225" s="6"/>
      <c r="F225" s="6"/>
      <c r="G225" s="59"/>
      <c r="H225" s="6"/>
    </row>
    <row r="226" ht="15.75" customHeight="1">
      <c r="A226" s="6"/>
      <c r="B226" s="6"/>
      <c r="C226" s="6"/>
      <c r="D226" s="6"/>
      <c r="E226" s="6"/>
      <c r="F226" s="6"/>
      <c r="G226" s="59"/>
      <c r="H226" s="6"/>
    </row>
    <row r="227" ht="15.75" customHeight="1">
      <c r="A227" s="6"/>
      <c r="B227" s="6"/>
      <c r="C227" s="6"/>
      <c r="D227" s="6"/>
      <c r="E227" s="6"/>
      <c r="F227" s="6"/>
      <c r="G227" s="59"/>
      <c r="H227" s="6"/>
    </row>
    <row r="228" ht="15.75" customHeight="1">
      <c r="A228" s="6"/>
      <c r="B228" s="6"/>
      <c r="C228" s="6"/>
      <c r="D228" s="6"/>
      <c r="E228" s="6"/>
      <c r="F228" s="6"/>
      <c r="G228" s="59"/>
      <c r="H228" s="6"/>
    </row>
    <row r="229" ht="15.75" customHeight="1">
      <c r="A229" s="6"/>
      <c r="B229" s="6"/>
      <c r="C229" s="6"/>
      <c r="D229" s="6"/>
      <c r="E229" s="6"/>
      <c r="F229" s="6"/>
      <c r="G229" s="59"/>
      <c r="H229" s="6"/>
    </row>
    <row r="230" ht="15.75" customHeight="1">
      <c r="A230" s="6"/>
      <c r="B230" s="6"/>
      <c r="C230" s="6"/>
      <c r="D230" s="6"/>
      <c r="E230" s="6"/>
      <c r="F230" s="6"/>
      <c r="G230" s="59"/>
      <c r="H230" s="6"/>
    </row>
    <row r="231" ht="15.75" customHeight="1">
      <c r="A231" s="6"/>
      <c r="B231" s="6"/>
      <c r="C231" s="6"/>
      <c r="D231" s="6"/>
      <c r="E231" s="6"/>
      <c r="F231" s="6"/>
      <c r="G231" s="59"/>
      <c r="H231" s="6"/>
    </row>
    <row r="232" ht="15.75" customHeight="1">
      <c r="A232" s="6"/>
      <c r="B232" s="6"/>
      <c r="C232" s="6"/>
      <c r="D232" s="6"/>
      <c r="E232" s="6"/>
      <c r="F232" s="6"/>
      <c r="G232" s="59"/>
      <c r="H232" s="6"/>
    </row>
    <row r="233" ht="15.75" customHeight="1">
      <c r="A233" s="6"/>
      <c r="B233" s="6"/>
      <c r="C233" s="6"/>
      <c r="D233" s="6"/>
      <c r="E233" s="6"/>
      <c r="F233" s="6"/>
      <c r="G233" s="59"/>
      <c r="H233" s="6"/>
    </row>
    <row r="234" ht="15.75" customHeight="1">
      <c r="A234" s="6"/>
      <c r="B234" s="6"/>
      <c r="C234" s="6"/>
      <c r="D234" s="6"/>
      <c r="E234" s="6"/>
      <c r="F234" s="6"/>
      <c r="G234" s="59"/>
      <c r="H234" s="6"/>
    </row>
    <row r="235" ht="15.75" customHeight="1">
      <c r="A235" s="6"/>
      <c r="B235" s="6"/>
      <c r="C235" s="6"/>
      <c r="D235" s="6"/>
      <c r="E235" s="6"/>
      <c r="F235" s="6"/>
      <c r="G235" s="59"/>
      <c r="H235" s="6"/>
    </row>
    <row r="236" ht="15.75" customHeight="1">
      <c r="A236" s="6"/>
      <c r="B236" s="6"/>
      <c r="C236" s="6"/>
      <c r="D236" s="6"/>
      <c r="E236" s="6"/>
      <c r="F236" s="6"/>
      <c r="G236" s="59"/>
      <c r="H236" s="6"/>
    </row>
    <row r="237" ht="15.75" customHeight="1">
      <c r="A237" s="6"/>
      <c r="B237" s="6"/>
      <c r="C237" s="6"/>
      <c r="D237" s="6"/>
      <c r="E237" s="6"/>
      <c r="F237" s="6"/>
      <c r="G237" s="59"/>
      <c r="H237" s="6"/>
    </row>
    <row r="238" ht="15.75" customHeight="1">
      <c r="A238" s="6"/>
      <c r="B238" s="6"/>
      <c r="C238" s="6"/>
      <c r="D238" s="6"/>
      <c r="E238" s="6"/>
      <c r="F238" s="6"/>
      <c r="G238" s="59"/>
      <c r="H238" s="6"/>
    </row>
    <row r="239" ht="15.75" customHeight="1">
      <c r="A239" s="6"/>
      <c r="B239" s="6"/>
      <c r="C239" s="6"/>
      <c r="D239" s="6"/>
      <c r="E239" s="6"/>
      <c r="F239" s="6"/>
      <c r="G239" s="59"/>
      <c r="H239" s="6"/>
    </row>
    <row r="240" ht="15.75" customHeight="1">
      <c r="A240" s="6"/>
      <c r="B240" s="6"/>
      <c r="C240" s="6"/>
      <c r="D240" s="6"/>
      <c r="E240" s="6"/>
      <c r="F240" s="6"/>
      <c r="G240" s="59"/>
      <c r="H240" s="6"/>
    </row>
    <row r="241" ht="15.75" customHeight="1">
      <c r="A241" s="6"/>
      <c r="B241" s="6"/>
      <c r="C241" s="6"/>
      <c r="D241" s="6"/>
      <c r="E241" s="6"/>
      <c r="F241" s="6"/>
      <c r="G241" s="59"/>
      <c r="H241" s="6"/>
    </row>
    <row r="242" ht="15.75" customHeight="1">
      <c r="A242" s="6"/>
      <c r="B242" s="6"/>
      <c r="C242" s="6"/>
      <c r="D242" s="6"/>
      <c r="E242" s="6"/>
      <c r="F242" s="6"/>
      <c r="G242" s="59"/>
      <c r="H242" s="6"/>
    </row>
    <row r="243" ht="15.75" customHeight="1">
      <c r="A243" s="6"/>
      <c r="B243" s="6"/>
      <c r="C243" s="6"/>
      <c r="D243" s="6"/>
      <c r="E243" s="6"/>
      <c r="F243" s="6"/>
      <c r="G243" s="59"/>
      <c r="H243" s="6"/>
    </row>
    <row r="244" ht="15.75" customHeight="1">
      <c r="A244" s="6"/>
      <c r="B244" s="6"/>
      <c r="C244" s="6"/>
      <c r="D244" s="6"/>
      <c r="E244" s="6"/>
      <c r="F244" s="6"/>
      <c r="G244" s="59"/>
      <c r="H244" s="6"/>
    </row>
    <row r="245" ht="15.75" customHeight="1">
      <c r="A245" s="6"/>
      <c r="B245" s="6"/>
      <c r="C245" s="6"/>
      <c r="D245" s="6"/>
      <c r="E245" s="6"/>
      <c r="F245" s="6"/>
      <c r="G245" s="59"/>
      <c r="H245" s="6"/>
    </row>
    <row r="246" ht="15.75" customHeight="1">
      <c r="A246" s="6"/>
      <c r="B246" s="6"/>
      <c r="C246" s="6"/>
      <c r="D246" s="6"/>
      <c r="E246" s="6"/>
      <c r="F246" s="6"/>
      <c r="G246" s="59"/>
      <c r="H246" s="6"/>
    </row>
    <row r="247" ht="15.75" customHeight="1">
      <c r="A247" s="6"/>
      <c r="B247" s="6"/>
      <c r="C247" s="6"/>
      <c r="D247" s="6"/>
      <c r="E247" s="6"/>
      <c r="F247" s="6"/>
      <c r="G247" s="59"/>
      <c r="H247" s="6"/>
    </row>
    <row r="248" ht="15.75" customHeight="1">
      <c r="A248" s="6"/>
      <c r="B248" s="6"/>
      <c r="C248" s="6"/>
      <c r="D248" s="6"/>
      <c r="E248" s="6"/>
      <c r="F248" s="6"/>
      <c r="G248" s="59"/>
      <c r="H248" s="6"/>
    </row>
    <row r="249" ht="15.75" customHeight="1">
      <c r="A249" s="6"/>
      <c r="B249" s="6"/>
      <c r="C249" s="6"/>
      <c r="D249" s="6"/>
      <c r="E249" s="6"/>
      <c r="F249" s="6"/>
      <c r="G249" s="59"/>
      <c r="H249" s="6"/>
    </row>
    <row r="250" ht="15.75" customHeight="1">
      <c r="A250" s="6"/>
      <c r="B250" s="6"/>
      <c r="C250" s="6"/>
      <c r="D250" s="6"/>
      <c r="E250" s="6"/>
      <c r="F250" s="6"/>
      <c r="G250" s="59"/>
      <c r="H250" s="6"/>
    </row>
    <row r="251" ht="15.75" customHeight="1">
      <c r="A251" s="6"/>
      <c r="B251" s="6"/>
      <c r="C251" s="6"/>
      <c r="D251" s="6"/>
      <c r="E251" s="6"/>
      <c r="F251" s="6"/>
      <c r="G251" s="59"/>
      <c r="H251" s="6"/>
    </row>
    <row r="252" ht="15.75" customHeight="1">
      <c r="A252" s="6"/>
      <c r="B252" s="6"/>
      <c r="C252" s="6"/>
      <c r="D252" s="6"/>
      <c r="E252" s="6"/>
      <c r="F252" s="6"/>
      <c r="G252" s="59"/>
      <c r="H252" s="6"/>
    </row>
    <row r="253" ht="15.75" customHeight="1">
      <c r="A253" s="6"/>
      <c r="B253" s="6"/>
      <c r="C253" s="6"/>
      <c r="D253" s="6"/>
      <c r="E253" s="6"/>
      <c r="F253" s="6"/>
      <c r="G253" s="59"/>
      <c r="H253" s="6"/>
    </row>
    <row r="254" ht="15.75" customHeight="1">
      <c r="A254" s="6"/>
      <c r="B254" s="6"/>
      <c r="C254" s="6"/>
      <c r="D254" s="6"/>
      <c r="E254" s="6"/>
      <c r="F254" s="6"/>
      <c r="G254" s="59"/>
      <c r="H254" s="6"/>
    </row>
    <row r="255" ht="15.75" customHeight="1">
      <c r="A255" s="6"/>
      <c r="B255" s="6"/>
      <c r="C255" s="6"/>
      <c r="D255" s="6"/>
      <c r="E255" s="6"/>
      <c r="F255" s="6"/>
      <c r="G255" s="59"/>
      <c r="H255" s="6"/>
    </row>
    <row r="256" ht="15.75" customHeight="1">
      <c r="A256" s="6"/>
      <c r="B256" s="6"/>
      <c r="C256" s="6"/>
      <c r="D256" s="6"/>
      <c r="E256" s="6"/>
      <c r="F256" s="6"/>
      <c r="G256" s="59"/>
      <c r="H256" s="6"/>
    </row>
    <row r="257" ht="15.75" customHeight="1">
      <c r="A257" s="6"/>
      <c r="B257" s="6"/>
      <c r="C257" s="6"/>
      <c r="D257" s="6"/>
      <c r="E257" s="6"/>
      <c r="F257" s="6"/>
      <c r="G257" s="59"/>
      <c r="H257" s="6"/>
    </row>
    <row r="258" ht="15.75" customHeight="1">
      <c r="A258" s="6"/>
      <c r="B258" s="6"/>
      <c r="C258" s="6"/>
      <c r="D258" s="6"/>
      <c r="E258" s="6"/>
      <c r="F258" s="6"/>
      <c r="G258" s="59"/>
      <c r="H258" s="6"/>
    </row>
    <row r="259" ht="15.75" customHeight="1">
      <c r="A259" s="6"/>
      <c r="B259" s="6"/>
      <c r="C259" s="6"/>
      <c r="D259" s="6"/>
      <c r="E259" s="6"/>
      <c r="F259" s="6"/>
      <c r="G259" s="59"/>
      <c r="H259" s="6"/>
    </row>
    <row r="260" ht="15.75" customHeight="1">
      <c r="A260" s="6"/>
      <c r="B260" s="6"/>
      <c r="C260" s="6"/>
      <c r="D260" s="6"/>
      <c r="E260" s="6"/>
      <c r="F260" s="6"/>
      <c r="G260" s="59"/>
      <c r="H260" s="6"/>
    </row>
    <row r="261" ht="15.75" customHeight="1">
      <c r="A261" s="6"/>
      <c r="B261" s="6"/>
      <c r="C261" s="6"/>
      <c r="D261" s="6"/>
      <c r="E261" s="6"/>
      <c r="F261" s="6"/>
      <c r="G261" s="59"/>
      <c r="H261" s="6"/>
    </row>
    <row r="262" ht="15.75" customHeight="1">
      <c r="A262" s="6"/>
      <c r="B262" s="6"/>
      <c r="C262" s="6"/>
      <c r="D262" s="6"/>
      <c r="E262" s="6"/>
      <c r="F262" s="6"/>
      <c r="G262" s="59"/>
      <c r="H262" s="6"/>
    </row>
    <row r="263" ht="15.75" customHeight="1">
      <c r="A263" s="6"/>
      <c r="B263" s="6"/>
      <c r="C263" s="6"/>
      <c r="D263" s="6"/>
      <c r="E263" s="6"/>
      <c r="F263" s="6"/>
      <c r="G263" s="59"/>
      <c r="H263" s="6"/>
    </row>
    <row r="264" ht="15.75" customHeight="1">
      <c r="A264" s="6"/>
      <c r="B264" s="6"/>
      <c r="C264" s="6"/>
      <c r="D264" s="6"/>
      <c r="E264" s="6"/>
      <c r="F264" s="6"/>
      <c r="G264" s="59"/>
      <c r="H264" s="6"/>
    </row>
    <row r="265" ht="15.75" customHeight="1">
      <c r="A265" s="6"/>
      <c r="B265" s="6"/>
      <c r="C265" s="6"/>
      <c r="D265" s="6"/>
      <c r="E265" s="6"/>
      <c r="F265" s="6"/>
      <c r="G265" s="59"/>
      <c r="H265" s="6"/>
    </row>
    <row r="266" ht="15.75" customHeight="1">
      <c r="A266" s="6"/>
      <c r="B266" s="6"/>
      <c r="C266" s="6"/>
      <c r="D266" s="6"/>
      <c r="E266" s="6"/>
      <c r="F266" s="6"/>
      <c r="G266" s="59"/>
      <c r="H266" s="6"/>
    </row>
    <row r="267" ht="15.75" customHeight="1">
      <c r="A267" s="6"/>
      <c r="B267" s="6"/>
      <c r="C267" s="6"/>
      <c r="D267" s="6"/>
      <c r="E267" s="6"/>
      <c r="F267" s="6"/>
      <c r="G267" s="59"/>
      <c r="H267" s="6"/>
    </row>
    <row r="268" ht="15.75" customHeight="1">
      <c r="A268" s="6"/>
      <c r="B268" s="6"/>
      <c r="C268" s="6"/>
      <c r="D268" s="6"/>
      <c r="E268" s="6"/>
      <c r="F268" s="6"/>
      <c r="G268" s="59"/>
      <c r="H268" s="6"/>
    </row>
    <row r="269" ht="15.75" customHeight="1">
      <c r="A269" s="6"/>
      <c r="B269" s="6"/>
      <c r="C269" s="6"/>
      <c r="D269" s="6"/>
      <c r="E269" s="6"/>
      <c r="F269" s="6"/>
      <c r="G269" s="59"/>
      <c r="H269" s="6"/>
    </row>
    <row r="270" ht="15.75" customHeight="1">
      <c r="A270" s="6"/>
      <c r="B270" s="6"/>
      <c r="C270" s="6"/>
      <c r="D270" s="6"/>
      <c r="E270" s="6"/>
      <c r="F270" s="6"/>
      <c r="G270" s="59"/>
      <c r="H270" s="6"/>
    </row>
    <row r="271" ht="15.75" customHeight="1">
      <c r="A271" s="6"/>
      <c r="B271" s="6"/>
      <c r="C271" s="6"/>
      <c r="D271" s="6"/>
      <c r="E271" s="6"/>
      <c r="F271" s="6"/>
      <c r="G271" s="59"/>
      <c r="H271" s="6"/>
    </row>
    <row r="272" ht="15.75" customHeight="1">
      <c r="A272" s="6"/>
      <c r="B272" s="6"/>
      <c r="C272" s="6"/>
      <c r="D272" s="6"/>
      <c r="E272" s="6"/>
      <c r="F272" s="6"/>
      <c r="G272" s="59"/>
      <c r="H272" s="6"/>
    </row>
    <row r="273" ht="15.75" customHeight="1">
      <c r="A273" s="6"/>
      <c r="B273" s="6"/>
      <c r="C273" s="6"/>
      <c r="D273" s="6"/>
      <c r="E273" s="6"/>
      <c r="F273" s="6"/>
      <c r="G273" s="59"/>
      <c r="H273" s="6"/>
    </row>
    <row r="274" ht="15.75" customHeight="1">
      <c r="A274" s="6"/>
      <c r="B274" s="6"/>
      <c r="C274" s="6"/>
      <c r="D274" s="6"/>
      <c r="E274" s="6"/>
      <c r="F274" s="6"/>
      <c r="G274" s="59"/>
      <c r="H274" s="6"/>
    </row>
    <row r="275" ht="15.75" customHeight="1">
      <c r="A275" s="6"/>
      <c r="B275" s="6"/>
      <c r="C275" s="6"/>
      <c r="D275" s="6"/>
      <c r="E275" s="6"/>
      <c r="F275" s="6"/>
      <c r="G275" s="59"/>
      <c r="H275" s="6"/>
    </row>
    <row r="276" ht="15.75" customHeight="1">
      <c r="A276" s="6"/>
      <c r="B276" s="6"/>
      <c r="C276" s="6"/>
      <c r="D276" s="6"/>
      <c r="E276" s="6"/>
      <c r="F276" s="6"/>
      <c r="G276" s="59"/>
      <c r="H276" s="6"/>
    </row>
    <row r="277" ht="15.75" customHeight="1">
      <c r="A277" s="6"/>
      <c r="B277" s="6"/>
      <c r="C277" s="6"/>
      <c r="D277" s="6"/>
      <c r="E277" s="6"/>
      <c r="F277" s="6"/>
      <c r="G277" s="59"/>
      <c r="H277" s="6"/>
    </row>
    <row r="278" ht="15.75" customHeight="1">
      <c r="A278" s="6"/>
      <c r="B278" s="6"/>
      <c r="C278" s="6"/>
      <c r="D278" s="6"/>
      <c r="E278" s="6"/>
      <c r="F278" s="6"/>
      <c r="G278" s="59"/>
      <c r="H278" s="6"/>
    </row>
    <row r="279" ht="15.75" customHeight="1">
      <c r="A279" s="6"/>
      <c r="B279" s="6"/>
      <c r="C279" s="6"/>
      <c r="D279" s="6"/>
      <c r="E279" s="6"/>
      <c r="F279" s="6"/>
      <c r="G279" s="59"/>
      <c r="H279" s="6"/>
    </row>
    <row r="280" ht="15.75" customHeight="1">
      <c r="A280" s="6"/>
      <c r="B280" s="6"/>
      <c r="C280" s="6"/>
      <c r="D280" s="6"/>
      <c r="E280" s="6"/>
      <c r="F280" s="6"/>
      <c r="G280" s="59"/>
      <c r="H280" s="6"/>
    </row>
    <row r="281" ht="15.75" customHeight="1">
      <c r="A281" s="6"/>
      <c r="B281" s="6"/>
      <c r="C281" s="6"/>
      <c r="D281" s="6"/>
      <c r="E281" s="6"/>
      <c r="F281" s="6"/>
      <c r="G281" s="59"/>
      <c r="H281" s="6"/>
    </row>
    <row r="282" ht="15.75" customHeight="1">
      <c r="A282" s="6"/>
      <c r="B282" s="6"/>
      <c r="C282" s="6"/>
      <c r="D282" s="6"/>
      <c r="E282" s="6"/>
      <c r="F282" s="6"/>
      <c r="G282" s="59"/>
      <c r="H282" s="6"/>
    </row>
    <row r="283" ht="15.75" customHeight="1">
      <c r="A283" s="6"/>
      <c r="B283" s="6"/>
      <c r="C283" s="6"/>
      <c r="D283" s="6"/>
      <c r="E283" s="6"/>
      <c r="F283" s="6"/>
      <c r="G283" s="59"/>
      <c r="H283" s="6"/>
    </row>
    <row r="284" ht="15.75" customHeight="1">
      <c r="A284" s="6"/>
      <c r="B284" s="6"/>
      <c r="C284" s="6"/>
      <c r="D284" s="6"/>
      <c r="E284" s="6"/>
      <c r="F284" s="6"/>
      <c r="G284" s="59"/>
      <c r="H284" s="6"/>
    </row>
    <row r="285" ht="15.75" customHeight="1">
      <c r="A285" s="6"/>
      <c r="B285" s="6"/>
      <c r="C285" s="6"/>
      <c r="D285" s="6"/>
      <c r="E285" s="6"/>
      <c r="F285" s="6"/>
      <c r="G285" s="59"/>
      <c r="H285" s="6"/>
    </row>
    <row r="286" ht="15.75" customHeight="1">
      <c r="A286" s="6"/>
      <c r="B286" s="6"/>
      <c r="C286" s="6"/>
      <c r="D286" s="6"/>
      <c r="E286" s="6"/>
      <c r="F286" s="6"/>
      <c r="G286" s="59"/>
      <c r="H286" s="6"/>
    </row>
    <row r="287" ht="15.75" customHeight="1">
      <c r="A287" s="6"/>
      <c r="B287" s="6"/>
      <c r="C287" s="6"/>
      <c r="D287" s="6"/>
      <c r="E287" s="6"/>
      <c r="F287" s="6"/>
      <c r="G287" s="59"/>
      <c r="H287" s="6"/>
    </row>
    <row r="288" ht="15.75" customHeight="1">
      <c r="A288" s="6"/>
      <c r="B288" s="6"/>
      <c r="C288" s="6"/>
      <c r="D288" s="6"/>
      <c r="E288" s="6"/>
      <c r="F288" s="6"/>
      <c r="G288" s="59"/>
      <c r="H288" s="6"/>
    </row>
    <row r="289" ht="15.75" customHeight="1">
      <c r="A289" s="6"/>
      <c r="B289" s="6"/>
      <c r="C289" s="6"/>
      <c r="D289" s="6"/>
      <c r="E289" s="6"/>
      <c r="F289" s="6"/>
      <c r="G289" s="59"/>
      <c r="H289" s="6"/>
    </row>
    <row r="290" ht="15.75" customHeight="1">
      <c r="A290" s="6"/>
      <c r="B290" s="6"/>
      <c r="C290" s="6"/>
      <c r="D290" s="6"/>
      <c r="E290" s="6"/>
      <c r="F290" s="6"/>
      <c r="G290" s="59"/>
      <c r="H290" s="6"/>
    </row>
    <row r="291" ht="15.75" customHeight="1">
      <c r="A291" s="6"/>
      <c r="B291" s="6"/>
      <c r="C291" s="6"/>
      <c r="D291" s="6"/>
      <c r="E291" s="6"/>
      <c r="F291" s="6"/>
      <c r="G291" s="59"/>
      <c r="H291" s="6"/>
    </row>
    <row r="292" ht="15.75" customHeight="1">
      <c r="A292" s="6"/>
      <c r="B292" s="6"/>
      <c r="C292" s="6"/>
      <c r="D292" s="6"/>
      <c r="E292" s="6"/>
      <c r="F292" s="6"/>
      <c r="G292" s="59"/>
      <c r="H292" s="6"/>
    </row>
    <row r="293" ht="15.75" customHeight="1">
      <c r="A293" s="6"/>
      <c r="B293" s="6"/>
      <c r="C293" s="6"/>
      <c r="D293" s="6"/>
      <c r="E293" s="6"/>
      <c r="F293" s="6"/>
      <c r="G293" s="59"/>
      <c r="H293" s="6"/>
    </row>
    <row r="294" ht="15.75" customHeight="1">
      <c r="A294" s="6"/>
      <c r="B294" s="6"/>
      <c r="C294" s="6"/>
      <c r="D294" s="6"/>
      <c r="E294" s="6"/>
      <c r="F294" s="6"/>
      <c r="G294" s="59"/>
      <c r="H294" s="6"/>
    </row>
    <row r="295" ht="15.75" customHeight="1">
      <c r="A295" s="6"/>
      <c r="B295" s="6"/>
      <c r="C295" s="6"/>
      <c r="D295" s="6"/>
      <c r="E295" s="6"/>
      <c r="F295" s="6"/>
      <c r="G295" s="59"/>
      <c r="H295" s="6"/>
    </row>
    <row r="296" ht="15.75" customHeight="1">
      <c r="A296" s="6"/>
      <c r="B296" s="6"/>
      <c r="C296" s="6"/>
      <c r="D296" s="6"/>
      <c r="E296" s="6"/>
      <c r="F296" s="6"/>
      <c r="G296" s="59"/>
      <c r="H296" s="6"/>
    </row>
    <row r="297" ht="15.75" customHeight="1">
      <c r="A297" s="6"/>
      <c r="B297" s="6"/>
      <c r="C297" s="6"/>
      <c r="D297" s="6"/>
      <c r="E297" s="6"/>
      <c r="F297" s="6"/>
      <c r="G297" s="59"/>
      <c r="H297" s="6"/>
    </row>
    <row r="298" ht="15.75" customHeight="1">
      <c r="A298" s="6"/>
      <c r="B298" s="6"/>
      <c r="C298" s="6"/>
      <c r="D298" s="6"/>
      <c r="E298" s="6"/>
      <c r="F298" s="6"/>
      <c r="G298" s="59"/>
      <c r="H298" s="6"/>
    </row>
    <row r="299" ht="15.75" customHeight="1">
      <c r="A299" s="6"/>
      <c r="B299" s="6"/>
      <c r="C299" s="6"/>
      <c r="D299" s="6"/>
      <c r="E299" s="6"/>
      <c r="F299" s="6"/>
      <c r="G299" s="59"/>
      <c r="H299" s="6"/>
    </row>
    <row r="300" ht="15.75" customHeight="1">
      <c r="A300" s="6"/>
      <c r="B300" s="6"/>
      <c r="C300" s="6"/>
      <c r="D300" s="6"/>
      <c r="E300" s="6"/>
      <c r="F300" s="6"/>
      <c r="G300" s="59"/>
      <c r="H300" s="6"/>
    </row>
    <row r="301" ht="15.75" customHeight="1">
      <c r="A301" s="6"/>
      <c r="B301" s="6"/>
      <c r="C301" s="6"/>
      <c r="D301" s="6"/>
      <c r="E301" s="6"/>
      <c r="F301" s="6"/>
      <c r="G301" s="59"/>
      <c r="H301" s="6"/>
    </row>
    <row r="302" ht="15.75" customHeight="1">
      <c r="A302" s="6"/>
      <c r="B302" s="6"/>
      <c r="C302" s="6"/>
      <c r="D302" s="6"/>
      <c r="E302" s="6"/>
      <c r="F302" s="6"/>
      <c r="G302" s="59"/>
      <c r="H302" s="6"/>
    </row>
    <row r="303" ht="15.75" customHeight="1">
      <c r="A303" s="6"/>
      <c r="B303" s="6"/>
      <c r="C303" s="6"/>
      <c r="D303" s="6"/>
      <c r="E303" s="6"/>
      <c r="F303" s="6"/>
      <c r="G303" s="59"/>
      <c r="H303" s="6"/>
    </row>
    <row r="304" ht="15.75" customHeight="1">
      <c r="A304" s="6"/>
      <c r="B304" s="6"/>
      <c r="C304" s="6"/>
      <c r="D304" s="6"/>
      <c r="E304" s="6"/>
      <c r="F304" s="6"/>
      <c r="G304" s="59"/>
      <c r="H304" s="6"/>
    </row>
    <row r="305" ht="15.75" customHeight="1">
      <c r="A305" s="6"/>
      <c r="B305" s="6"/>
      <c r="C305" s="6"/>
      <c r="D305" s="6"/>
      <c r="E305" s="6"/>
      <c r="F305" s="6"/>
      <c r="G305" s="59"/>
      <c r="H305" s="6"/>
    </row>
    <row r="306" ht="15.75" customHeight="1">
      <c r="A306" s="6"/>
      <c r="B306" s="6"/>
      <c r="C306" s="6"/>
      <c r="D306" s="6"/>
      <c r="E306" s="6"/>
      <c r="F306" s="6"/>
      <c r="G306" s="59"/>
      <c r="H306" s="6"/>
    </row>
    <row r="307" ht="15.75" customHeight="1">
      <c r="A307" s="6"/>
      <c r="B307" s="6"/>
      <c r="C307" s="6"/>
      <c r="D307" s="6"/>
      <c r="E307" s="6"/>
      <c r="F307" s="6"/>
      <c r="G307" s="59"/>
      <c r="H307" s="6"/>
    </row>
    <row r="308" ht="15.75" customHeight="1">
      <c r="A308" s="6"/>
      <c r="B308" s="6"/>
      <c r="C308" s="6"/>
      <c r="D308" s="6"/>
      <c r="E308" s="6"/>
      <c r="F308" s="6"/>
      <c r="G308" s="59"/>
      <c r="H308" s="6"/>
    </row>
    <row r="309" ht="15.75" customHeight="1">
      <c r="A309" s="6"/>
      <c r="B309" s="6"/>
      <c r="C309" s="6"/>
      <c r="D309" s="6"/>
      <c r="E309" s="6"/>
      <c r="F309" s="6"/>
      <c r="G309" s="59"/>
      <c r="H309" s="6"/>
    </row>
    <row r="310" ht="15.75" customHeight="1">
      <c r="A310" s="6"/>
      <c r="B310" s="6"/>
      <c r="C310" s="6"/>
      <c r="D310" s="6"/>
      <c r="E310" s="6"/>
      <c r="F310" s="6"/>
      <c r="G310" s="59"/>
      <c r="H310" s="6"/>
    </row>
    <row r="311" ht="15.75" customHeight="1">
      <c r="A311" s="6"/>
      <c r="B311" s="6"/>
      <c r="C311" s="6"/>
      <c r="D311" s="6"/>
      <c r="E311" s="6"/>
      <c r="F311" s="6"/>
      <c r="G311" s="59"/>
      <c r="H311" s="6"/>
    </row>
    <row r="312" ht="15.75" customHeight="1">
      <c r="A312" s="6"/>
      <c r="B312" s="6"/>
      <c r="C312" s="6"/>
      <c r="D312" s="6"/>
      <c r="E312" s="6"/>
      <c r="F312" s="6"/>
      <c r="G312" s="59"/>
      <c r="H312" s="6"/>
    </row>
    <row r="313" ht="15.75" customHeight="1">
      <c r="A313" s="6"/>
      <c r="B313" s="6"/>
      <c r="C313" s="6"/>
      <c r="D313" s="6"/>
      <c r="E313" s="6"/>
      <c r="F313" s="6"/>
      <c r="G313" s="59"/>
      <c r="H313" s="6"/>
    </row>
    <row r="314" ht="15.75" customHeight="1">
      <c r="A314" s="6"/>
      <c r="B314" s="6"/>
      <c r="C314" s="6"/>
      <c r="D314" s="6"/>
      <c r="E314" s="6"/>
      <c r="F314" s="6"/>
      <c r="G314" s="59"/>
      <c r="H314" s="6"/>
    </row>
    <row r="315" ht="15.75" customHeight="1">
      <c r="A315" s="6"/>
      <c r="B315" s="6"/>
      <c r="C315" s="6"/>
      <c r="D315" s="6"/>
      <c r="E315" s="6"/>
      <c r="F315" s="6"/>
      <c r="G315" s="59"/>
      <c r="H315" s="6"/>
    </row>
    <row r="316" ht="15.75" customHeight="1">
      <c r="A316" s="6"/>
      <c r="B316" s="6"/>
      <c r="C316" s="6"/>
      <c r="D316" s="6"/>
      <c r="E316" s="6"/>
      <c r="F316" s="6"/>
      <c r="G316" s="59"/>
      <c r="H316" s="6"/>
    </row>
    <row r="317" ht="15.75" customHeight="1">
      <c r="A317" s="6"/>
      <c r="B317" s="6"/>
      <c r="C317" s="6"/>
      <c r="D317" s="6"/>
      <c r="E317" s="6"/>
      <c r="F317" s="6"/>
      <c r="G317" s="59"/>
      <c r="H317" s="6"/>
    </row>
    <row r="318" ht="15.75" customHeight="1">
      <c r="A318" s="6"/>
      <c r="B318" s="6"/>
      <c r="C318" s="6"/>
      <c r="D318" s="6"/>
      <c r="E318" s="6"/>
      <c r="F318" s="6"/>
      <c r="G318" s="59"/>
      <c r="H318" s="6"/>
    </row>
    <row r="319" ht="15.75" customHeight="1">
      <c r="A319" s="6"/>
      <c r="B319" s="6"/>
      <c r="C319" s="6"/>
      <c r="D319" s="6"/>
      <c r="E319" s="6"/>
      <c r="F319" s="6"/>
      <c r="G319" s="59"/>
      <c r="H319" s="6"/>
    </row>
    <row r="320" ht="15.75" customHeight="1">
      <c r="A320" s="6"/>
      <c r="B320" s="6"/>
      <c r="C320" s="6"/>
      <c r="D320" s="6"/>
      <c r="E320" s="6"/>
      <c r="F320" s="6"/>
      <c r="G320" s="59"/>
      <c r="H320" s="6"/>
    </row>
    <row r="321" ht="15.75" customHeight="1">
      <c r="A321" s="6"/>
      <c r="B321" s="6"/>
      <c r="C321" s="6"/>
      <c r="D321" s="6"/>
      <c r="E321" s="6"/>
      <c r="F321" s="6"/>
      <c r="G321" s="59"/>
      <c r="H321" s="6"/>
    </row>
    <row r="322" ht="15.75" customHeight="1">
      <c r="A322" s="6"/>
      <c r="B322" s="6"/>
      <c r="C322" s="6"/>
      <c r="D322" s="6"/>
      <c r="E322" s="6"/>
      <c r="F322" s="6"/>
      <c r="G322" s="59"/>
      <c r="H322" s="6"/>
    </row>
    <row r="323" ht="15.75" customHeight="1">
      <c r="A323" s="6"/>
      <c r="B323" s="6"/>
      <c r="C323" s="6"/>
      <c r="D323" s="6"/>
      <c r="E323" s="6"/>
      <c r="F323" s="6"/>
      <c r="G323" s="59"/>
      <c r="H323" s="6"/>
    </row>
    <row r="324" ht="15.75" customHeight="1">
      <c r="A324" s="6"/>
      <c r="B324" s="6"/>
      <c r="C324" s="6"/>
      <c r="D324" s="6"/>
      <c r="E324" s="6"/>
      <c r="F324" s="6"/>
      <c r="G324" s="59"/>
      <c r="H324" s="6"/>
    </row>
    <row r="325" ht="15.75" customHeight="1">
      <c r="A325" s="6"/>
      <c r="B325" s="6"/>
      <c r="C325" s="6"/>
      <c r="D325" s="6"/>
      <c r="E325" s="6"/>
      <c r="F325" s="6"/>
      <c r="G325" s="59"/>
      <c r="H325" s="6"/>
    </row>
    <row r="326" ht="15.75" customHeight="1">
      <c r="A326" s="6"/>
      <c r="B326" s="6"/>
      <c r="C326" s="6"/>
      <c r="D326" s="6"/>
      <c r="E326" s="6"/>
      <c r="F326" s="6"/>
      <c r="G326" s="59"/>
      <c r="H326" s="6"/>
    </row>
    <row r="327" ht="15.75" customHeight="1">
      <c r="A327" s="6"/>
      <c r="B327" s="6"/>
      <c r="C327" s="6"/>
      <c r="D327" s="6"/>
      <c r="E327" s="6"/>
      <c r="F327" s="6"/>
      <c r="G327" s="59"/>
      <c r="H327" s="6"/>
    </row>
    <row r="328" ht="15.75" customHeight="1">
      <c r="A328" s="6"/>
      <c r="B328" s="6"/>
      <c r="C328" s="6"/>
      <c r="D328" s="6"/>
      <c r="E328" s="6"/>
      <c r="F328" s="6"/>
      <c r="G328" s="59"/>
      <c r="H328" s="6"/>
    </row>
    <row r="329" ht="15.75" customHeight="1">
      <c r="A329" s="6"/>
      <c r="B329" s="6"/>
      <c r="C329" s="6"/>
      <c r="D329" s="6"/>
      <c r="E329" s="6"/>
      <c r="F329" s="6"/>
      <c r="G329" s="59"/>
      <c r="H329" s="6"/>
    </row>
    <row r="330" ht="15.75" customHeight="1">
      <c r="A330" s="6"/>
      <c r="B330" s="6"/>
      <c r="C330" s="6"/>
      <c r="D330" s="6"/>
      <c r="E330" s="6"/>
      <c r="F330" s="6"/>
      <c r="G330" s="59"/>
      <c r="H330" s="6"/>
    </row>
    <row r="331" ht="15.75" customHeight="1">
      <c r="A331" s="6"/>
      <c r="B331" s="6"/>
      <c r="C331" s="6"/>
      <c r="D331" s="6"/>
      <c r="E331" s="6"/>
      <c r="F331" s="6"/>
      <c r="G331" s="59"/>
      <c r="H331" s="6"/>
    </row>
    <row r="332" ht="15.75" customHeight="1">
      <c r="A332" s="6"/>
      <c r="B332" s="6"/>
      <c r="C332" s="6"/>
      <c r="D332" s="6"/>
      <c r="E332" s="6"/>
      <c r="F332" s="6"/>
      <c r="G332" s="59"/>
      <c r="H332" s="6"/>
    </row>
    <row r="333" ht="15.75" customHeight="1">
      <c r="A333" s="6"/>
      <c r="B333" s="6"/>
      <c r="C333" s="6"/>
      <c r="D333" s="6"/>
      <c r="E333" s="6"/>
      <c r="F333" s="6"/>
      <c r="G333" s="59"/>
      <c r="H333" s="6"/>
    </row>
    <row r="334" ht="15.75" customHeight="1">
      <c r="A334" s="6"/>
      <c r="B334" s="6"/>
      <c r="C334" s="6"/>
      <c r="D334" s="6"/>
      <c r="E334" s="6"/>
      <c r="F334" s="6"/>
      <c r="G334" s="59"/>
      <c r="H334" s="6"/>
    </row>
    <row r="335" ht="15.75" customHeight="1">
      <c r="A335" s="6"/>
      <c r="B335" s="6"/>
      <c r="C335" s="6"/>
      <c r="D335" s="6"/>
      <c r="E335" s="6"/>
      <c r="F335" s="6"/>
      <c r="G335" s="59"/>
      <c r="H335" s="6"/>
    </row>
    <row r="336" ht="15.75" customHeight="1">
      <c r="A336" s="6"/>
      <c r="B336" s="6"/>
      <c r="C336" s="6"/>
      <c r="D336" s="6"/>
      <c r="E336" s="6"/>
      <c r="F336" s="6"/>
      <c r="G336" s="59"/>
      <c r="H336" s="6"/>
    </row>
    <row r="337" ht="15.75" customHeight="1">
      <c r="A337" s="6"/>
      <c r="B337" s="6"/>
      <c r="C337" s="6"/>
      <c r="D337" s="6"/>
      <c r="E337" s="6"/>
      <c r="F337" s="6"/>
      <c r="G337" s="59"/>
      <c r="H337" s="6"/>
    </row>
    <row r="338" ht="15.75" customHeight="1">
      <c r="A338" s="6"/>
      <c r="B338" s="6"/>
      <c r="C338" s="6"/>
      <c r="D338" s="6"/>
      <c r="E338" s="6"/>
      <c r="F338" s="6"/>
      <c r="G338" s="59"/>
      <c r="H338" s="6"/>
    </row>
    <row r="339" ht="15.75" customHeight="1">
      <c r="A339" s="6"/>
      <c r="B339" s="6"/>
      <c r="C339" s="6"/>
      <c r="D339" s="6"/>
      <c r="E339" s="6"/>
      <c r="F339" s="6"/>
      <c r="G339" s="59"/>
      <c r="H339" s="6"/>
    </row>
    <row r="340" ht="15.75" customHeight="1">
      <c r="A340" s="6"/>
      <c r="B340" s="6"/>
      <c r="C340" s="6"/>
      <c r="D340" s="6"/>
      <c r="E340" s="6"/>
      <c r="F340" s="6"/>
      <c r="G340" s="59"/>
      <c r="H340" s="6"/>
    </row>
    <row r="341" ht="15.75" customHeight="1">
      <c r="A341" s="6"/>
      <c r="B341" s="6"/>
      <c r="C341" s="6"/>
      <c r="D341" s="6"/>
      <c r="E341" s="6"/>
      <c r="F341" s="6"/>
      <c r="G341" s="59"/>
      <c r="H341" s="6"/>
    </row>
    <row r="342" ht="15.75" customHeight="1">
      <c r="A342" s="6"/>
      <c r="B342" s="6"/>
      <c r="C342" s="6"/>
      <c r="D342" s="6"/>
      <c r="E342" s="6"/>
      <c r="F342" s="6"/>
      <c r="G342" s="59"/>
      <c r="H342" s="6"/>
    </row>
    <row r="343" ht="15.75" customHeight="1">
      <c r="A343" s="6"/>
      <c r="B343" s="6"/>
      <c r="C343" s="6"/>
      <c r="D343" s="6"/>
      <c r="E343" s="6"/>
      <c r="F343" s="6"/>
      <c r="G343" s="59"/>
      <c r="H343" s="6"/>
    </row>
    <row r="344" ht="15.75" customHeight="1">
      <c r="A344" s="6"/>
      <c r="B344" s="6"/>
      <c r="C344" s="6"/>
      <c r="D344" s="6"/>
      <c r="E344" s="6"/>
      <c r="F344" s="6"/>
      <c r="G344" s="59"/>
      <c r="H344" s="6"/>
    </row>
    <row r="345" ht="15.75" customHeight="1">
      <c r="A345" s="6"/>
      <c r="B345" s="6"/>
      <c r="C345" s="6"/>
      <c r="D345" s="6"/>
      <c r="E345" s="6"/>
      <c r="F345" s="6"/>
      <c r="G345" s="59"/>
      <c r="H345" s="6"/>
    </row>
    <row r="346" ht="15.75" customHeight="1">
      <c r="A346" s="6"/>
      <c r="B346" s="6"/>
      <c r="C346" s="6"/>
      <c r="D346" s="6"/>
      <c r="E346" s="6"/>
      <c r="F346" s="6"/>
      <c r="G346" s="59"/>
      <c r="H346" s="6"/>
    </row>
    <row r="347" ht="15.75" customHeight="1">
      <c r="A347" s="6"/>
      <c r="B347" s="6"/>
      <c r="C347" s="6"/>
      <c r="D347" s="6"/>
      <c r="E347" s="6"/>
      <c r="F347" s="6"/>
      <c r="G347" s="59"/>
      <c r="H347" s="6"/>
    </row>
    <row r="348" ht="15.75" customHeight="1">
      <c r="A348" s="6"/>
      <c r="B348" s="6"/>
      <c r="C348" s="6"/>
      <c r="D348" s="6"/>
      <c r="E348" s="6"/>
      <c r="F348" s="6"/>
      <c r="G348" s="59"/>
      <c r="H348" s="6"/>
    </row>
    <row r="349" ht="15.75" customHeight="1">
      <c r="A349" s="6"/>
      <c r="B349" s="6"/>
      <c r="C349" s="6"/>
      <c r="D349" s="6"/>
      <c r="E349" s="6"/>
      <c r="F349" s="6"/>
      <c r="G349" s="59"/>
      <c r="H349" s="6"/>
    </row>
    <row r="350" ht="15.75" customHeight="1">
      <c r="A350" s="6"/>
      <c r="B350" s="6"/>
      <c r="C350" s="6"/>
      <c r="D350" s="6"/>
      <c r="E350" s="6"/>
      <c r="F350" s="6"/>
      <c r="G350" s="59"/>
      <c r="H350" s="6"/>
    </row>
    <row r="351" ht="15.75" customHeight="1">
      <c r="A351" s="6"/>
      <c r="B351" s="6"/>
      <c r="C351" s="6"/>
      <c r="D351" s="6"/>
      <c r="E351" s="6"/>
      <c r="F351" s="6"/>
      <c r="G351" s="59"/>
      <c r="H351" s="6"/>
    </row>
    <row r="352" ht="15.75" customHeight="1">
      <c r="A352" s="6"/>
      <c r="B352" s="6"/>
      <c r="C352" s="6"/>
      <c r="D352" s="6"/>
      <c r="E352" s="6"/>
      <c r="F352" s="6"/>
      <c r="G352" s="59"/>
      <c r="H352" s="6"/>
    </row>
    <row r="353" ht="15.75" customHeight="1">
      <c r="A353" s="6"/>
      <c r="B353" s="6"/>
      <c r="C353" s="6"/>
      <c r="D353" s="6"/>
      <c r="E353" s="6"/>
      <c r="F353" s="6"/>
      <c r="G353" s="59"/>
      <c r="H353" s="6"/>
    </row>
    <row r="354" ht="15.75" customHeight="1">
      <c r="A354" s="6"/>
      <c r="B354" s="6"/>
      <c r="C354" s="6"/>
      <c r="D354" s="6"/>
      <c r="E354" s="6"/>
      <c r="F354" s="6"/>
      <c r="G354" s="59"/>
      <c r="H354" s="6"/>
    </row>
    <row r="355" ht="15.75" customHeight="1">
      <c r="A355" s="6"/>
      <c r="B355" s="6"/>
      <c r="C355" s="6"/>
      <c r="D355" s="6"/>
      <c r="E355" s="6"/>
      <c r="F355" s="6"/>
      <c r="G355" s="59"/>
      <c r="H355" s="6"/>
    </row>
    <row r="356" ht="15.75" customHeight="1">
      <c r="A356" s="6"/>
      <c r="B356" s="6"/>
      <c r="C356" s="6"/>
      <c r="D356" s="6"/>
      <c r="E356" s="6"/>
      <c r="F356" s="6"/>
      <c r="G356" s="59"/>
      <c r="H356" s="6"/>
    </row>
    <row r="357" ht="15.75" customHeight="1">
      <c r="A357" s="6"/>
      <c r="B357" s="6"/>
      <c r="C357" s="6"/>
      <c r="D357" s="6"/>
      <c r="E357" s="6"/>
      <c r="F357" s="6"/>
      <c r="G357" s="59"/>
      <c r="H357" s="6"/>
    </row>
    <row r="358" ht="15.75" customHeight="1">
      <c r="A358" s="6"/>
      <c r="B358" s="6"/>
      <c r="C358" s="6"/>
      <c r="D358" s="6"/>
      <c r="E358" s="6"/>
      <c r="F358" s="6"/>
      <c r="G358" s="59"/>
      <c r="H358" s="6"/>
    </row>
    <row r="359" ht="15.75" customHeight="1">
      <c r="A359" s="6"/>
      <c r="B359" s="6"/>
      <c r="C359" s="6"/>
      <c r="D359" s="6"/>
      <c r="E359" s="6"/>
      <c r="F359" s="6"/>
      <c r="G359" s="59"/>
      <c r="H359" s="6"/>
    </row>
    <row r="360" ht="15.75" customHeight="1">
      <c r="A360" s="6"/>
      <c r="B360" s="6"/>
      <c r="C360" s="6"/>
      <c r="D360" s="6"/>
      <c r="E360" s="6"/>
      <c r="F360" s="6"/>
      <c r="G360" s="59"/>
      <c r="H360" s="6"/>
    </row>
    <row r="361" ht="15.75" customHeight="1">
      <c r="A361" s="6"/>
      <c r="B361" s="6"/>
      <c r="C361" s="6"/>
      <c r="D361" s="6"/>
      <c r="E361" s="6"/>
      <c r="F361" s="6"/>
      <c r="G361" s="59"/>
      <c r="H361" s="6"/>
    </row>
    <row r="362" ht="15.75" customHeight="1">
      <c r="A362" s="6"/>
      <c r="B362" s="6"/>
      <c r="C362" s="6"/>
      <c r="D362" s="6"/>
      <c r="E362" s="6"/>
      <c r="F362" s="6"/>
      <c r="G362" s="59"/>
      <c r="H362" s="6"/>
    </row>
    <row r="363" ht="15.75" customHeight="1">
      <c r="A363" s="6"/>
      <c r="B363" s="6"/>
      <c r="C363" s="6"/>
      <c r="D363" s="6"/>
      <c r="E363" s="6"/>
      <c r="F363" s="6"/>
      <c r="G363" s="59"/>
      <c r="H363" s="6"/>
    </row>
    <row r="364" ht="15.75" customHeight="1">
      <c r="A364" s="6"/>
      <c r="B364" s="6"/>
      <c r="C364" s="6"/>
      <c r="D364" s="6"/>
      <c r="E364" s="6"/>
      <c r="F364" s="6"/>
      <c r="G364" s="59"/>
      <c r="H364" s="6"/>
    </row>
    <row r="365" ht="15.75" customHeight="1">
      <c r="A365" s="6"/>
      <c r="B365" s="6"/>
      <c r="C365" s="6"/>
      <c r="D365" s="6"/>
      <c r="E365" s="6"/>
      <c r="F365" s="6"/>
      <c r="G365" s="59"/>
      <c r="H365" s="6"/>
    </row>
    <row r="366" ht="15.75" customHeight="1">
      <c r="A366" s="6"/>
      <c r="B366" s="6"/>
      <c r="C366" s="6"/>
      <c r="D366" s="6"/>
      <c r="E366" s="6"/>
      <c r="F366" s="6"/>
      <c r="G366" s="59"/>
      <c r="H366" s="6"/>
    </row>
    <row r="367" ht="15.75" customHeight="1">
      <c r="A367" s="6"/>
      <c r="B367" s="6"/>
      <c r="C367" s="6"/>
      <c r="D367" s="6"/>
      <c r="E367" s="6"/>
      <c r="F367" s="6"/>
      <c r="G367" s="59"/>
      <c r="H367" s="6"/>
    </row>
    <row r="368" ht="15.75" customHeight="1">
      <c r="A368" s="6"/>
      <c r="B368" s="6"/>
      <c r="C368" s="6"/>
      <c r="D368" s="6"/>
      <c r="E368" s="6"/>
      <c r="F368" s="6"/>
      <c r="G368" s="59"/>
      <c r="H368" s="6"/>
    </row>
    <row r="369" ht="15.75" customHeight="1">
      <c r="A369" s="6"/>
      <c r="B369" s="6"/>
      <c r="C369" s="6"/>
      <c r="D369" s="6"/>
      <c r="E369" s="6"/>
      <c r="F369" s="6"/>
      <c r="G369" s="59"/>
      <c r="H369" s="6"/>
    </row>
    <row r="370" ht="15.75" customHeight="1">
      <c r="A370" s="6"/>
      <c r="B370" s="6"/>
      <c r="C370" s="6"/>
      <c r="D370" s="6"/>
      <c r="E370" s="6"/>
      <c r="F370" s="6"/>
      <c r="G370" s="59"/>
      <c r="H370" s="6"/>
    </row>
    <row r="371" ht="15.75" customHeight="1">
      <c r="A371" s="6"/>
      <c r="B371" s="6"/>
      <c r="C371" s="6"/>
      <c r="D371" s="6"/>
      <c r="E371" s="6"/>
      <c r="F371" s="6"/>
      <c r="G371" s="59"/>
      <c r="H371" s="6"/>
    </row>
    <row r="372" ht="15.75" customHeight="1">
      <c r="A372" s="6"/>
      <c r="B372" s="6"/>
      <c r="C372" s="6"/>
      <c r="D372" s="6"/>
      <c r="E372" s="6"/>
      <c r="F372" s="6"/>
      <c r="G372" s="59"/>
      <c r="H372" s="6"/>
    </row>
    <row r="373" ht="15.75" customHeight="1">
      <c r="A373" s="6"/>
      <c r="B373" s="6"/>
      <c r="C373" s="6"/>
      <c r="D373" s="6"/>
      <c r="E373" s="6"/>
      <c r="F373" s="6"/>
      <c r="G373" s="59"/>
      <c r="H373" s="6"/>
    </row>
    <row r="374" ht="15.75" customHeight="1">
      <c r="A374" s="6"/>
      <c r="B374" s="6"/>
      <c r="C374" s="6"/>
      <c r="D374" s="6"/>
      <c r="E374" s="6"/>
      <c r="F374" s="6"/>
      <c r="G374" s="59"/>
      <c r="H374" s="6"/>
    </row>
    <row r="375" ht="15.75" customHeight="1">
      <c r="A375" s="6"/>
      <c r="B375" s="6"/>
      <c r="C375" s="6"/>
      <c r="D375" s="6"/>
      <c r="E375" s="6"/>
      <c r="F375" s="6"/>
      <c r="G375" s="59"/>
      <c r="H375" s="6"/>
    </row>
    <row r="376" ht="15.75" customHeight="1">
      <c r="A376" s="6"/>
      <c r="B376" s="6"/>
      <c r="C376" s="6"/>
      <c r="D376" s="6"/>
      <c r="E376" s="6"/>
      <c r="F376" s="6"/>
      <c r="G376" s="59"/>
      <c r="H376" s="6"/>
    </row>
    <row r="377" ht="15.75" customHeight="1">
      <c r="A377" s="6"/>
      <c r="B377" s="6"/>
      <c r="C377" s="6"/>
      <c r="D377" s="6"/>
      <c r="E377" s="6"/>
      <c r="F377" s="6"/>
      <c r="G377" s="59"/>
      <c r="H377" s="6"/>
    </row>
    <row r="378" ht="15.75" customHeight="1">
      <c r="A378" s="6"/>
      <c r="B378" s="6"/>
      <c r="C378" s="6"/>
      <c r="D378" s="6"/>
      <c r="E378" s="6"/>
      <c r="F378" s="6"/>
      <c r="G378" s="59"/>
      <c r="H378" s="6"/>
    </row>
    <row r="379" ht="15.75" customHeight="1">
      <c r="A379" s="6"/>
      <c r="B379" s="6"/>
      <c r="C379" s="6"/>
      <c r="D379" s="6"/>
      <c r="E379" s="6"/>
      <c r="F379" s="6"/>
      <c r="G379" s="59"/>
      <c r="H379" s="6"/>
    </row>
    <row r="380" ht="15.75" customHeight="1">
      <c r="A380" s="6"/>
      <c r="B380" s="6"/>
      <c r="C380" s="6"/>
      <c r="D380" s="6"/>
      <c r="E380" s="6"/>
      <c r="F380" s="6"/>
      <c r="G380" s="59"/>
      <c r="H380" s="6"/>
    </row>
    <row r="381" ht="15.75" customHeight="1">
      <c r="A381" s="6"/>
      <c r="B381" s="6"/>
      <c r="C381" s="6"/>
      <c r="D381" s="6"/>
      <c r="E381" s="6"/>
      <c r="F381" s="6"/>
      <c r="G381" s="59"/>
      <c r="H381" s="6"/>
    </row>
    <row r="382" ht="15.75" customHeight="1">
      <c r="A382" s="6"/>
      <c r="B382" s="6"/>
      <c r="C382" s="6"/>
      <c r="D382" s="6"/>
      <c r="E382" s="6"/>
      <c r="F382" s="6"/>
      <c r="G382" s="59"/>
      <c r="H382" s="6"/>
    </row>
    <row r="383" ht="15.75" customHeight="1">
      <c r="A383" s="6"/>
      <c r="B383" s="6"/>
      <c r="C383" s="6"/>
      <c r="D383" s="6"/>
      <c r="E383" s="6"/>
      <c r="F383" s="6"/>
      <c r="G383" s="59"/>
      <c r="H383" s="6"/>
    </row>
    <row r="384" ht="15.75" customHeight="1">
      <c r="A384" s="6"/>
      <c r="B384" s="6"/>
      <c r="C384" s="6"/>
      <c r="D384" s="6"/>
      <c r="E384" s="6"/>
      <c r="F384" s="6"/>
      <c r="G384" s="59"/>
      <c r="H384" s="6"/>
    </row>
    <row r="385" ht="15.75" customHeight="1">
      <c r="A385" s="6"/>
      <c r="B385" s="6"/>
      <c r="C385" s="6"/>
      <c r="D385" s="6"/>
      <c r="E385" s="6"/>
      <c r="F385" s="6"/>
      <c r="G385" s="59"/>
      <c r="H385" s="6"/>
    </row>
    <row r="386" ht="15.75" customHeight="1">
      <c r="A386" s="6"/>
      <c r="B386" s="6"/>
      <c r="C386" s="6"/>
      <c r="D386" s="6"/>
      <c r="E386" s="6"/>
      <c r="F386" s="6"/>
      <c r="G386" s="59"/>
      <c r="H386" s="6"/>
    </row>
    <row r="387" ht="15.75" customHeight="1">
      <c r="A387" s="6"/>
      <c r="B387" s="6"/>
      <c r="C387" s="6"/>
      <c r="D387" s="6"/>
      <c r="E387" s="6"/>
      <c r="F387" s="6"/>
      <c r="G387" s="59"/>
      <c r="H387" s="6"/>
    </row>
    <row r="388" ht="15.75" customHeight="1">
      <c r="A388" s="6"/>
      <c r="B388" s="6"/>
      <c r="C388" s="6"/>
      <c r="D388" s="6"/>
      <c r="E388" s="6"/>
      <c r="F388" s="6"/>
      <c r="G388" s="59"/>
      <c r="H388" s="6"/>
    </row>
    <row r="389" ht="15.75" customHeight="1">
      <c r="A389" s="6"/>
      <c r="B389" s="6"/>
      <c r="C389" s="6"/>
      <c r="D389" s="6"/>
      <c r="E389" s="6"/>
      <c r="F389" s="6"/>
      <c r="G389" s="59"/>
      <c r="H389" s="6"/>
    </row>
    <row r="390" ht="15.75" customHeight="1">
      <c r="A390" s="6"/>
      <c r="B390" s="6"/>
      <c r="C390" s="6"/>
      <c r="D390" s="6"/>
      <c r="E390" s="6"/>
      <c r="F390" s="6"/>
      <c r="G390" s="59"/>
      <c r="H390" s="6"/>
    </row>
    <row r="391" ht="15.75" customHeight="1">
      <c r="A391" s="6"/>
      <c r="B391" s="6"/>
      <c r="C391" s="6"/>
      <c r="D391" s="6"/>
      <c r="E391" s="6"/>
      <c r="F391" s="6"/>
      <c r="G391" s="59"/>
      <c r="H391" s="6"/>
    </row>
    <row r="392" ht="15.75" customHeight="1">
      <c r="A392" s="6"/>
      <c r="B392" s="6"/>
      <c r="C392" s="6"/>
      <c r="D392" s="6"/>
      <c r="E392" s="6"/>
      <c r="F392" s="6"/>
      <c r="G392" s="59"/>
      <c r="H392" s="6"/>
    </row>
    <row r="393" ht="15.75" customHeight="1">
      <c r="A393" s="6"/>
      <c r="B393" s="6"/>
      <c r="C393" s="6"/>
      <c r="D393" s="6"/>
      <c r="E393" s="6"/>
      <c r="F393" s="6"/>
      <c r="G393" s="59"/>
      <c r="H393" s="6"/>
    </row>
    <row r="394" ht="15.75" customHeight="1">
      <c r="A394" s="6"/>
      <c r="B394" s="6"/>
      <c r="C394" s="6"/>
      <c r="D394" s="6"/>
      <c r="E394" s="6"/>
      <c r="F394" s="6"/>
      <c r="G394" s="59"/>
      <c r="H394" s="6"/>
    </row>
    <row r="395" ht="15.75" customHeight="1">
      <c r="A395" s="60"/>
      <c r="B395" s="60"/>
      <c r="C395" s="60"/>
      <c r="D395" s="60"/>
      <c r="E395" s="60"/>
      <c r="F395" s="60"/>
      <c r="G395" s="62"/>
      <c r="H395" s="60"/>
    </row>
    <row r="396" ht="15.75" customHeight="1">
      <c r="A396" s="60"/>
      <c r="B396" s="60"/>
      <c r="C396" s="60"/>
      <c r="D396" s="60"/>
      <c r="E396" s="60"/>
      <c r="F396" s="60"/>
      <c r="G396" s="62"/>
      <c r="H396" s="60"/>
    </row>
    <row r="397" ht="15.75" customHeight="1">
      <c r="A397" s="60"/>
      <c r="B397" s="60"/>
      <c r="C397" s="60"/>
      <c r="D397" s="60"/>
      <c r="E397" s="60"/>
      <c r="F397" s="60"/>
      <c r="G397" s="62"/>
      <c r="H397" s="60"/>
    </row>
    <row r="398" ht="15.75" customHeight="1">
      <c r="A398" s="60"/>
      <c r="B398" s="60"/>
      <c r="C398" s="60"/>
      <c r="D398" s="60"/>
      <c r="E398" s="60"/>
      <c r="F398" s="60"/>
      <c r="G398" s="62"/>
      <c r="H398" s="60"/>
    </row>
    <row r="399" ht="15.75" customHeight="1">
      <c r="A399" s="60"/>
      <c r="B399" s="60"/>
      <c r="C399" s="60"/>
      <c r="D399" s="60"/>
      <c r="E399" s="60"/>
      <c r="F399" s="60"/>
      <c r="G399" s="62"/>
      <c r="H399" s="60"/>
    </row>
    <row r="400" ht="15.75" customHeight="1">
      <c r="A400" s="60"/>
      <c r="B400" s="60"/>
      <c r="C400" s="60"/>
      <c r="D400" s="60"/>
      <c r="E400" s="60"/>
      <c r="F400" s="60"/>
      <c r="G400" s="62"/>
      <c r="H400" s="60"/>
    </row>
    <row r="401" ht="15.75" customHeight="1">
      <c r="A401" s="60"/>
      <c r="B401" s="60"/>
      <c r="C401" s="60"/>
      <c r="D401" s="60"/>
      <c r="E401" s="60"/>
      <c r="F401" s="60"/>
      <c r="G401" s="62"/>
      <c r="H401" s="60"/>
    </row>
    <row r="402" ht="15.75" customHeight="1">
      <c r="A402" s="60"/>
      <c r="B402" s="60"/>
      <c r="C402" s="60"/>
      <c r="D402" s="60"/>
      <c r="E402" s="60"/>
      <c r="F402" s="60"/>
      <c r="G402" s="62"/>
      <c r="H402" s="60"/>
    </row>
    <row r="403" ht="15.75" customHeight="1">
      <c r="A403" s="60"/>
      <c r="B403" s="60"/>
      <c r="C403" s="60"/>
      <c r="D403" s="60"/>
      <c r="E403" s="60"/>
      <c r="F403" s="60"/>
      <c r="G403" s="62"/>
      <c r="H403" s="60"/>
    </row>
    <row r="404" ht="15.75" customHeight="1">
      <c r="A404" s="60"/>
      <c r="B404" s="60"/>
      <c r="C404" s="60"/>
      <c r="D404" s="60"/>
      <c r="E404" s="60"/>
      <c r="F404" s="60"/>
      <c r="G404" s="62"/>
      <c r="H404" s="60"/>
    </row>
    <row r="405" ht="15.75" customHeight="1">
      <c r="A405" s="60"/>
      <c r="B405" s="60"/>
      <c r="C405" s="60"/>
      <c r="D405" s="60"/>
      <c r="E405" s="60"/>
      <c r="F405" s="60"/>
      <c r="G405" s="62"/>
      <c r="H405" s="60"/>
    </row>
    <row r="406" ht="15.75" customHeight="1">
      <c r="A406" s="60"/>
      <c r="B406" s="60"/>
      <c r="C406" s="60"/>
      <c r="D406" s="60"/>
      <c r="E406" s="60"/>
      <c r="F406" s="60"/>
      <c r="G406" s="62"/>
      <c r="H406" s="60"/>
    </row>
    <row r="407" ht="15.75" customHeight="1">
      <c r="A407" s="60"/>
      <c r="B407" s="60"/>
      <c r="C407" s="60"/>
      <c r="D407" s="60"/>
      <c r="E407" s="60"/>
      <c r="F407" s="60"/>
      <c r="G407" s="62"/>
      <c r="H407" s="60"/>
    </row>
    <row r="408" ht="15.75" customHeight="1">
      <c r="A408" s="60"/>
      <c r="B408" s="60"/>
      <c r="C408" s="60"/>
      <c r="D408" s="60"/>
      <c r="E408" s="60"/>
      <c r="F408" s="60"/>
      <c r="G408" s="62"/>
      <c r="H408" s="60"/>
    </row>
    <row r="409" ht="15.75" customHeight="1">
      <c r="A409" s="60"/>
      <c r="B409" s="60"/>
      <c r="C409" s="60"/>
      <c r="D409" s="60"/>
      <c r="E409" s="60"/>
      <c r="F409" s="60"/>
      <c r="G409" s="62"/>
      <c r="H409" s="60"/>
    </row>
    <row r="410" ht="15.75" customHeight="1">
      <c r="A410" s="60"/>
      <c r="B410" s="60"/>
      <c r="C410" s="60"/>
      <c r="D410" s="60"/>
      <c r="E410" s="60"/>
      <c r="F410" s="60"/>
      <c r="G410" s="62"/>
      <c r="H410" s="60"/>
    </row>
    <row r="411" ht="15.75" customHeight="1">
      <c r="A411" s="60"/>
      <c r="B411" s="60"/>
      <c r="C411" s="60"/>
      <c r="D411" s="60"/>
      <c r="E411" s="60"/>
      <c r="F411" s="60"/>
      <c r="G411" s="62"/>
      <c r="H411" s="60"/>
    </row>
    <row r="412" ht="15.75" customHeight="1">
      <c r="A412" s="60"/>
      <c r="B412" s="60"/>
      <c r="C412" s="60"/>
      <c r="D412" s="60"/>
      <c r="E412" s="60"/>
      <c r="F412" s="60"/>
      <c r="G412" s="62"/>
      <c r="H412" s="60"/>
    </row>
    <row r="413" ht="15.75" customHeight="1">
      <c r="A413" s="60"/>
      <c r="B413" s="60"/>
      <c r="C413" s="60"/>
      <c r="D413" s="60"/>
      <c r="E413" s="60"/>
      <c r="F413" s="60"/>
      <c r="G413" s="62"/>
      <c r="H413" s="60"/>
    </row>
    <row r="414" ht="15.75" customHeight="1">
      <c r="A414" s="60"/>
      <c r="B414" s="60"/>
      <c r="C414" s="60"/>
      <c r="D414" s="60"/>
      <c r="E414" s="60"/>
      <c r="F414" s="60"/>
      <c r="G414" s="62"/>
      <c r="H414" s="60"/>
    </row>
    <row r="415" ht="15.75" customHeight="1">
      <c r="A415" s="60"/>
      <c r="B415" s="60"/>
      <c r="C415" s="60"/>
      <c r="D415" s="60"/>
      <c r="E415" s="60"/>
      <c r="F415" s="60"/>
      <c r="G415" s="62"/>
      <c r="H415" s="60"/>
    </row>
    <row r="416" ht="15.75" customHeight="1">
      <c r="A416" s="60"/>
      <c r="B416" s="60"/>
      <c r="C416" s="60"/>
      <c r="D416" s="60"/>
      <c r="E416" s="60"/>
      <c r="F416" s="60"/>
      <c r="G416" s="62"/>
      <c r="H416" s="60"/>
    </row>
    <row r="417" ht="15.75" customHeight="1">
      <c r="A417" s="60"/>
      <c r="B417" s="60"/>
      <c r="C417" s="60"/>
      <c r="D417" s="60"/>
      <c r="E417" s="60"/>
      <c r="F417" s="60"/>
      <c r="G417" s="62"/>
      <c r="H417" s="60"/>
    </row>
    <row r="418" ht="15.75" customHeight="1">
      <c r="A418" s="60"/>
      <c r="B418" s="60"/>
      <c r="C418" s="60"/>
      <c r="D418" s="60"/>
      <c r="E418" s="60"/>
      <c r="F418" s="60"/>
      <c r="G418" s="62"/>
      <c r="H418" s="60"/>
    </row>
    <row r="419" ht="15.75" customHeight="1">
      <c r="A419" s="60"/>
      <c r="B419" s="60"/>
      <c r="C419" s="60"/>
      <c r="D419" s="60"/>
      <c r="E419" s="60"/>
      <c r="F419" s="60"/>
      <c r="G419" s="62"/>
      <c r="H419" s="60"/>
    </row>
    <row r="420" ht="15.75" customHeight="1">
      <c r="A420" s="60"/>
      <c r="B420" s="60"/>
      <c r="C420" s="60"/>
      <c r="D420" s="60"/>
      <c r="E420" s="60"/>
      <c r="F420" s="60"/>
      <c r="G420" s="62"/>
      <c r="H420" s="60"/>
    </row>
    <row r="421" ht="15.75" customHeight="1">
      <c r="A421" s="60"/>
      <c r="B421" s="60"/>
      <c r="C421" s="60"/>
      <c r="D421" s="60"/>
      <c r="E421" s="60"/>
      <c r="F421" s="60"/>
      <c r="G421" s="62"/>
      <c r="H421" s="60"/>
    </row>
    <row r="422" ht="15.75" customHeight="1">
      <c r="A422" s="60"/>
      <c r="B422" s="60"/>
      <c r="C422" s="60"/>
      <c r="D422" s="60"/>
      <c r="E422" s="60"/>
      <c r="F422" s="60"/>
      <c r="G422" s="62"/>
      <c r="H422" s="60"/>
    </row>
    <row r="423" ht="15.75" customHeight="1">
      <c r="A423" s="60"/>
      <c r="B423" s="60"/>
      <c r="C423" s="60"/>
      <c r="D423" s="60"/>
      <c r="E423" s="60"/>
      <c r="F423" s="60"/>
      <c r="G423" s="62"/>
      <c r="H423" s="60"/>
    </row>
    <row r="424" ht="15.75" customHeight="1">
      <c r="A424" s="60"/>
      <c r="B424" s="60"/>
      <c r="C424" s="60"/>
      <c r="D424" s="60"/>
      <c r="E424" s="60"/>
      <c r="F424" s="60"/>
      <c r="G424" s="62"/>
      <c r="H424" s="60"/>
    </row>
    <row r="425" ht="15.75" customHeight="1">
      <c r="A425" s="60"/>
      <c r="B425" s="60"/>
      <c r="C425" s="60"/>
      <c r="D425" s="60"/>
      <c r="E425" s="60"/>
      <c r="F425" s="60"/>
      <c r="G425" s="62"/>
      <c r="H425" s="60"/>
    </row>
    <row r="426" ht="15.75" customHeight="1">
      <c r="A426" s="60"/>
      <c r="B426" s="60"/>
      <c r="C426" s="60"/>
      <c r="D426" s="60"/>
      <c r="E426" s="60"/>
      <c r="F426" s="60"/>
      <c r="G426" s="62"/>
      <c r="H426" s="60"/>
    </row>
    <row r="427" ht="15.75" customHeight="1">
      <c r="A427" s="60"/>
      <c r="B427" s="60"/>
      <c r="C427" s="60"/>
      <c r="D427" s="60"/>
      <c r="E427" s="60"/>
      <c r="F427" s="60"/>
      <c r="G427" s="62"/>
      <c r="H427" s="60"/>
    </row>
    <row r="428" ht="15.75" customHeight="1">
      <c r="A428" s="60"/>
      <c r="B428" s="60"/>
      <c r="C428" s="60"/>
      <c r="D428" s="60"/>
      <c r="E428" s="60"/>
      <c r="F428" s="60"/>
      <c r="G428" s="62"/>
      <c r="H428" s="60"/>
    </row>
    <row r="429" ht="15.75" customHeight="1">
      <c r="A429" s="60"/>
      <c r="B429" s="60"/>
      <c r="C429" s="60"/>
      <c r="D429" s="60"/>
      <c r="E429" s="60"/>
      <c r="F429" s="60"/>
      <c r="G429" s="62"/>
      <c r="H429" s="60"/>
    </row>
    <row r="430" ht="15.75" customHeight="1">
      <c r="A430" s="60"/>
      <c r="B430" s="60"/>
      <c r="C430" s="60"/>
      <c r="D430" s="60"/>
      <c r="E430" s="60"/>
      <c r="F430" s="60"/>
      <c r="G430" s="62"/>
      <c r="H430" s="60"/>
    </row>
    <row r="431" ht="15.75" customHeight="1">
      <c r="A431" s="60"/>
      <c r="B431" s="60"/>
      <c r="C431" s="60"/>
      <c r="D431" s="60"/>
      <c r="E431" s="60"/>
      <c r="F431" s="60"/>
      <c r="G431" s="62"/>
      <c r="H431" s="60"/>
    </row>
    <row r="432" ht="15.75" customHeight="1">
      <c r="A432" s="60"/>
      <c r="B432" s="60"/>
      <c r="C432" s="60"/>
      <c r="D432" s="60"/>
      <c r="E432" s="60"/>
      <c r="F432" s="60"/>
      <c r="G432" s="62"/>
      <c r="H432" s="60"/>
    </row>
    <row r="433" ht="15.75" customHeight="1">
      <c r="A433" s="60"/>
      <c r="B433" s="60"/>
      <c r="C433" s="60"/>
      <c r="D433" s="60"/>
      <c r="E433" s="60"/>
      <c r="F433" s="60"/>
      <c r="G433" s="62"/>
      <c r="H433" s="60"/>
    </row>
    <row r="434" ht="15.75" customHeight="1">
      <c r="A434" s="60"/>
      <c r="B434" s="60"/>
      <c r="C434" s="60"/>
      <c r="D434" s="60"/>
      <c r="E434" s="60"/>
      <c r="F434" s="60"/>
      <c r="G434" s="62"/>
      <c r="H434" s="60"/>
    </row>
    <row r="435" ht="15.75" customHeight="1">
      <c r="A435" s="60"/>
      <c r="B435" s="60"/>
      <c r="C435" s="60"/>
      <c r="D435" s="60"/>
      <c r="E435" s="60"/>
      <c r="F435" s="60"/>
      <c r="G435" s="62"/>
      <c r="H435" s="60"/>
    </row>
    <row r="436" ht="15.75" customHeight="1">
      <c r="A436" s="60"/>
      <c r="B436" s="60"/>
      <c r="C436" s="60"/>
      <c r="D436" s="60"/>
      <c r="E436" s="60"/>
      <c r="F436" s="60"/>
      <c r="G436" s="62"/>
      <c r="H436" s="60"/>
    </row>
    <row r="437" ht="15.75" customHeight="1">
      <c r="A437" s="60"/>
      <c r="B437" s="60"/>
      <c r="C437" s="60"/>
      <c r="D437" s="60"/>
      <c r="E437" s="60"/>
      <c r="F437" s="60"/>
      <c r="G437" s="62"/>
      <c r="H437" s="60"/>
    </row>
    <row r="438" ht="15.75" customHeight="1">
      <c r="A438" s="60"/>
      <c r="B438" s="60"/>
      <c r="C438" s="60"/>
      <c r="D438" s="60"/>
      <c r="E438" s="60"/>
      <c r="F438" s="60"/>
      <c r="G438" s="62"/>
      <c r="H438" s="60"/>
    </row>
    <row r="439" ht="15.75" customHeight="1">
      <c r="A439" s="60"/>
      <c r="B439" s="60"/>
      <c r="C439" s="60"/>
      <c r="D439" s="60"/>
      <c r="E439" s="60"/>
      <c r="F439" s="60"/>
      <c r="G439" s="62"/>
      <c r="H439" s="60"/>
    </row>
    <row r="440" ht="15.75" customHeight="1">
      <c r="A440" s="60"/>
      <c r="B440" s="60"/>
      <c r="C440" s="60"/>
      <c r="D440" s="60"/>
      <c r="E440" s="60"/>
      <c r="F440" s="60"/>
      <c r="G440" s="62"/>
      <c r="H440" s="60"/>
    </row>
    <row r="441" ht="15.75" customHeight="1">
      <c r="A441" s="60"/>
      <c r="B441" s="60"/>
      <c r="C441" s="60"/>
      <c r="D441" s="60"/>
      <c r="E441" s="60"/>
      <c r="F441" s="60"/>
      <c r="G441" s="62"/>
      <c r="H441" s="60"/>
    </row>
    <row r="442" ht="15.75" customHeight="1">
      <c r="A442" s="60"/>
      <c r="B442" s="60"/>
      <c r="C442" s="60"/>
      <c r="D442" s="60"/>
      <c r="E442" s="60"/>
      <c r="F442" s="60"/>
      <c r="G442" s="62"/>
      <c r="H442" s="60"/>
    </row>
    <row r="443" ht="15.75" customHeight="1">
      <c r="A443" s="60"/>
      <c r="B443" s="60"/>
      <c r="C443" s="60"/>
      <c r="D443" s="60"/>
      <c r="E443" s="60"/>
      <c r="F443" s="60"/>
      <c r="G443" s="62"/>
      <c r="H443" s="60"/>
    </row>
    <row r="444" ht="15.75" customHeight="1">
      <c r="A444" s="60"/>
      <c r="B444" s="60"/>
      <c r="C444" s="60"/>
      <c r="D444" s="60"/>
      <c r="E444" s="60"/>
      <c r="F444" s="60"/>
      <c r="G444" s="62"/>
      <c r="H444" s="60"/>
    </row>
    <row r="445" ht="15.75" customHeight="1">
      <c r="A445" s="60"/>
      <c r="B445" s="60"/>
      <c r="C445" s="60"/>
      <c r="D445" s="60"/>
      <c r="E445" s="60"/>
      <c r="F445" s="60"/>
      <c r="G445" s="62"/>
      <c r="H445" s="60"/>
    </row>
    <row r="446" ht="15.75" customHeight="1">
      <c r="A446" s="60"/>
      <c r="B446" s="60"/>
      <c r="C446" s="60"/>
      <c r="D446" s="60"/>
      <c r="E446" s="60"/>
      <c r="F446" s="60"/>
      <c r="G446" s="62"/>
      <c r="H446" s="60"/>
    </row>
    <row r="447" ht="15.75" customHeight="1">
      <c r="A447" s="60"/>
      <c r="B447" s="60"/>
      <c r="C447" s="60"/>
      <c r="D447" s="60"/>
      <c r="E447" s="60"/>
      <c r="F447" s="60"/>
      <c r="G447" s="62"/>
      <c r="H447" s="60"/>
    </row>
    <row r="448" ht="15.75" customHeight="1">
      <c r="A448" s="60"/>
      <c r="B448" s="60"/>
      <c r="C448" s="60"/>
      <c r="D448" s="60"/>
      <c r="E448" s="60"/>
      <c r="F448" s="60"/>
      <c r="G448" s="62"/>
      <c r="H448" s="60"/>
    </row>
    <row r="449" ht="15.75" customHeight="1">
      <c r="A449" s="60"/>
      <c r="B449" s="60"/>
      <c r="C449" s="60"/>
      <c r="D449" s="60"/>
      <c r="E449" s="60"/>
      <c r="F449" s="60"/>
      <c r="G449" s="62"/>
      <c r="H449" s="60"/>
    </row>
    <row r="450" ht="15.75" customHeight="1">
      <c r="A450" s="60"/>
      <c r="B450" s="60"/>
      <c r="C450" s="60"/>
      <c r="D450" s="60"/>
      <c r="E450" s="60"/>
      <c r="F450" s="60"/>
      <c r="G450" s="62"/>
      <c r="H450" s="60"/>
    </row>
    <row r="451" ht="15.75" customHeight="1">
      <c r="A451" s="60"/>
      <c r="B451" s="60"/>
      <c r="C451" s="60"/>
      <c r="D451" s="60"/>
      <c r="E451" s="60"/>
      <c r="F451" s="60"/>
      <c r="G451" s="62"/>
      <c r="H451" s="60"/>
    </row>
    <row r="452" ht="15.75" customHeight="1">
      <c r="A452" s="60"/>
      <c r="B452" s="60"/>
      <c r="C452" s="60"/>
      <c r="D452" s="60"/>
      <c r="E452" s="60"/>
      <c r="F452" s="60"/>
      <c r="G452" s="62"/>
      <c r="H452" s="60"/>
    </row>
    <row r="453" ht="15.75" customHeight="1">
      <c r="A453" s="60"/>
      <c r="B453" s="60"/>
      <c r="C453" s="60"/>
      <c r="D453" s="60"/>
      <c r="E453" s="60"/>
      <c r="F453" s="60"/>
      <c r="G453" s="62"/>
      <c r="H453" s="60"/>
    </row>
    <row r="454" ht="15.75" customHeight="1">
      <c r="A454" s="60"/>
      <c r="B454" s="60"/>
      <c r="C454" s="60"/>
      <c r="D454" s="60"/>
      <c r="E454" s="60"/>
      <c r="F454" s="60"/>
      <c r="G454" s="62"/>
      <c r="H454" s="60"/>
    </row>
    <row r="455" ht="15.75" customHeight="1">
      <c r="A455" s="60"/>
      <c r="B455" s="60"/>
      <c r="C455" s="60"/>
      <c r="D455" s="60"/>
      <c r="E455" s="60"/>
      <c r="F455" s="60"/>
      <c r="G455" s="62"/>
      <c r="H455" s="60"/>
    </row>
    <row r="456" ht="15.75" customHeight="1">
      <c r="A456" s="60"/>
      <c r="B456" s="60"/>
      <c r="C456" s="60"/>
      <c r="D456" s="60"/>
      <c r="E456" s="60"/>
      <c r="F456" s="60"/>
      <c r="G456" s="62"/>
      <c r="H456" s="60"/>
    </row>
    <row r="457" ht="15.75" customHeight="1">
      <c r="A457" s="60"/>
      <c r="B457" s="60"/>
      <c r="C457" s="60"/>
      <c r="D457" s="60"/>
      <c r="E457" s="60"/>
      <c r="F457" s="60"/>
      <c r="G457" s="62"/>
      <c r="H457" s="60"/>
    </row>
    <row r="458" ht="15.75" customHeight="1">
      <c r="A458" s="60"/>
      <c r="B458" s="60"/>
      <c r="C458" s="60"/>
      <c r="D458" s="60"/>
      <c r="E458" s="60"/>
      <c r="F458" s="60"/>
      <c r="G458" s="62"/>
      <c r="H458" s="60"/>
    </row>
    <row r="459" ht="15.75" customHeight="1">
      <c r="A459" s="60"/>
      <c r="B459" s="60"/>
      <c r="C459" s="60"/>
      <c r="D459" s="60"/>
      <c r="E459" s="60"/>
      <c r="F459" s="60"/>
      <c r="G459" s="62"/>
      <c r="H459" s="60"/>
    </row>
    <row r="460" ht="15.75" customHeight="1">
      <c r="A460" s="60"/>
      <c r="B460" s="60"/>
      <c r="C460" s="60"/>
      <c r="D460" s="60"/>
      <c r="E460" s="60"/>
      <c r="F460" s="60"/>
      <c r="G460" s="62"/>
      <c r="H460" s="60"/>
    </row>
    <row r="461" ht="15.75" customHeight="1">
      <c r="A461" s="60"/>
      <c r="B461" s="60"/>
      <c r="C461" s="60"/>
      <c r="D461" s="60"/>
      <c r="E461" s="60"/>
      <c r="F461" s="60"/>
      <c r="G461" s="62"/>
      <c r="H461" s="60"/>
    </row>
    <row r="462" ht="15.75" customHeight="1">
      <c r="A462" s="60"/>
      <c r="B462" s="60"/>
      <c r="C462" s="60"/>
      <c r="D462" s="60"/>
      <c r="E462" s="60"/>
      <c r="F462" s="60"/>
      <c r="G462" s="62"/>
      <c r="H462" s="60"/>
    </row>
    <row r="463" ht="15.75" customHeight="1">
      <c r="A463" s="60"/>
      <c r="B463" s="60"/>
      <c r="C463" s="60"/>
      <c r="D463" s="60"/>
      <c r="E463" s="60"/>
      <c r="F463" s="60"/>
      <c r="G463" s="62"/>
      <c r="H463" s="60"/>
    </row>
    <row r="464" ht="15.75" customHeight="1">
      <c r="A464" s="60"/>
      <c r="B464" s="60"/>
      <c r="C464" s="60"/>
      <c r="D464" s="60"/>
      <c r="E464" s="60"/>
      <c r="F464" s="60"/>
      <c r="G464" s="62"/>
      <c r="H464" s="60"/>
    </row>
    <row r="465" ht="15.75" customHeight="1">
      <c r="A465" s="60"/>
      <c r="B465" s="60"/>
      <c r="C465" s="60"/>
      <c r="D465" s="60"/>
      <c r="E465" s="60"/>
      <c r="F465" s="60"/>
      <c r="G465" s="62"/>
      <c r="H465" s="60"/>
    </row>
    <row r="466" ht="15.75" customHeight="1">
      <c r="A466" s="60"/>
      <c r="B466" s="60"/>
      <c r="C466" s="60"/>
      <c r="D466" s="60"/>
      <c r="E466" s="60"/>
      <c r="F466" s="60"/>
      <c r="G466" s="62"/>
      <c r="H466" s="60"/>
    </row>
    <row r="467" ht="15.75" customHeight="1">
      <c r="A467" s="60"/>
      <c r="B467" s="60"/>
      <c r="C467" s="60"/>
      <c r="D467" s="60"/>
      <c r="E467" s="60"/>
      <c r="F467" s="60"/>
      <c r="G467" s="62"/>
      <c r="H467" s="60"/>
    </row>
    <row r="468" ht="15.75" customHeight="1">
      <c r="A468" s="60"/>
      <c r="B468" s="60"/>
      <c r="C468" s="60"/>
      <c r="D468" s="60"/>
      <c r="E468" s="60"/>
      <c r="F468" s="60"/>
      <c r="G468" s="62"/>
      <c r="H468" s="60"/>
    </row>
    <row r="469" ht="15.75" customHeight="1">
      <c r="A469" s="60"/>
      <c r="B469" s="60"/>
      <c r="C469" s="60"/>
      <c r="D469" s="60"/>
      <c r="E469" s="60"/>
      <c r="F469" s="60"/>
      <c r="G469" s="62"/>
      <c r="H469" s="60"/>
    </row>
    <row r="470" ht="15.75" customHeight="1">
      <c r="A470" s="60"/>
      <c r="B470" s="60"/>
      <c r="C470" s="60"/>
      <c r="D470" s="60"/>
      <c r="E470" s="60"/>
      <c r="F470" s="60"/>
      <c r="G470" s="62"/>
      <c r="H470" s="60"/>
    </row>
    <row r="471" ht="15.75" customHeight="1">
      <c r="A471" s="60"/>
      <c r="B471" s="60"/>
      <c r="C471" s="60"/>
      <c r="D471" s="60"/>
      <c r="E471" s="60"/>
      <c r="F471" s="60"/>
      <c r="G471" s="62"/>
      <c r="H471" s="60"/>
    </row>
    <row r="472" ht="15.75" customHeight="1">
      <c r="A472" s="60"/>
      <c r="B472" s="60"/>
      <c r="C472" s="60"/>
      <c r="D472" s="60"/>
      <c r="E472" s="60"/>
      <c r="F472" s="60"/>
      <c r="G472" s="62"/>
      <c r="H472" s="60"/>
    </row>
    <row r="473" ht="15.75" customHeight="1">
      <c r="A473" s="60"/>
      <c r="B473" s="60"/>
      <c r="C473" s="60"/>
      <c r="D473" s="60"/>
      <c r="E473" s="60"/>
      <c r="F473" s="60"/>
      <c r="G473" s="62"/>
      <c r="H473" s="60"/>
    </row>
    <row r="474" ht="15.75" customHeight="1">
      <c r="A474" s="60"/>
      <c r="B474" s="60"/>
      <c r="C474" s="60"/>
      <c r="D474" s="60"/>
      <c r="E474" s="60"/>
      <c r="F474" s="60"/>
      <c r="G474" s="62"/>
      <c r="H474" s="60"/>
    </row>
    <row r="475" ht="15.75" customHeight="1">
      <c r="A475" s="60"/>
      <c r="B475" s="60"/>
      <c r="C475" s="60"/>
      <c r="D475" s="60"/>
      <c r="E475" s="60"/>
      <c r="F475" s="60"/>
      <c r="G475" s="62"/>
      <c r="H475" s="60"/>
    </row>
    <row r="476" ht="15.75" customHeight="1">
      <c r="A476" s="60"/>
      <c r="B476" s="60"/>
      <c r="C476" s="60"/>
      <c r="D476" s="60"/>
      <c r="E476" s="60"/>
      <c r="F476" s="60"/>
      <c r="G476" s="62"/>
      <c r="H476" s="60"/>
    </row>
    <row r="477" ht="15.75" customHeight="1">
      <c r="A477" s="60"/>
      <c r="B477" s="60"/>
      <c r="C477" s="60"/>
      <c r="D477" s="60"/>
      <c r="E477" s="60"/>
      <c r="F477" s="60"/>
      <c r="G477" s="62"/>
      <c r="H477" s="60"/>
    </row>
    <row r="478" ht="15.75" customHeight="1">
      <c r="A478" s="60"/>
      <c r="B478" s="60"/>
      <c r="C478" s="60"/>
      <c r="D478" s="60"/>
      <c r="E478" s="60"/>
      <c r="F478" s="60"/>
      <c r="G478" s="62"/>
      <c r="H478" s="60"/>
    </row>
    <row r="479" ht="15.75" customHeight="1">
      <c r="A479" s="60"/>
      <c r="B479" s="60"/>
      <c r="C479" s="60"/>
      <c r="D479" s="60"/>
      <c r="E479" s="60"/>
      <c r="F479" s="60"/>
      <c r="G479" s="62"/>
      <c r="H479" s="60"/>
    </row>
    <row r="480" ht="15.75" customHeight="1">
      <c r="A480" s="60"/>
      <c r="B480" s="60"/>
      <c r="C480" s="60"/>
      <c r="D480" s="60"/>
      <c r="E480" s="60"/>
      <c r="F480" s="60"/>
      <c r="G480" s="62"/>
      <c r="H480" s="60"/>
    </row>
    <row r="481" ht="15.75" customHeight="1">
      <c r="A481" s="60"/>
      <c r="B481" s="60"/>
      <c r="C481" s="60"/>
      <c r="D481" s="60"/>
      <c r="E481" s="60"/>
      <c r="F481" s="60"/>
      <c r="G481" s="62"/>
      <c r="H481" s="60"/>
    </row>
    <row r="482" ht="15.75" customHeight="1">
      <c r="A482" s="60"/>
      <c r="B482" s="60"/>
      <c r="C482" s="60"/>
      <c r="D482" s="60"/>
      <c r="E482" s="60"/>
      <c r="F482" s="60"/>
      <c r="G482" s="62"/>
      <c r="H482" s="60"/>
    </row>
    <row r="483" ht="15.75" customHeight="1">
      <c r="A483" s="60"/>
      <c r="B483" s="60"/>
      <c r="C483" s="60"/>
      <c r="D483" s="60"/>
      <c r="E483" s="60"/>
      <c r="F483" s="60"/>
      <c r="G483" s="62"/>
      <c r="H483" s="60"/>
    </row>
    <row r="484" ht="15.75" customHeight="1">
      <c r="A484" s="60"/>
      <c r="B484" s="60"/>
      <c r="C484" s="60"/>
      <c r="D484" s="60"/>
      <c r="E484" s="60"/>
      <c r="F484" s="60"/>
      <c r="G484" s="62"/>
      <c r="H484" s="60"/>
    </row>
    <row r="485" ht="15.75" customHeight="1">
      <c r="A485" s="60"/>
      <c r="B485" s="60"/>
      <c r="C485" s="60"/>
      <c r="D485" s="60"/>
      <c r="E485" s="60"/>
      <c r="F485" s="60"/>
      <c r="G485" s="62"/>
      <c r="H485" s="60"/>
    </row>
    <row r="486" ht="15.75" customHeight="1">
      <c r="A486" s="60"/>
      <c r="B486" s="60"/>
      <c r="C486" s="60"/>
      <c r="D486" s="60"/>
      <c r="E486" s="60"/>
      <c r="F486" s="60"/>
      <c r="G486" s="62"/>
      <c r="H486" s="60"/>
    </row>
    <row r="487" ht="15.75" customHeight="1">
      <c r="A487" s="60"/>
      <c r="B487" s="60"/>
      <c r="C487" s="60"/>
      <c r="D487" s="60"/>
      <c r="E487" s="60"/>
      <c r="F487" s="60"/>
      <c r="G487" s="62"/>
      <c r="H487" s="60"/>
    </row>
    <row r="488" ht="15.75" customHeight="1">
      <c r="A488" s="60"/>
      <c r="B488" s="60"/>
      <c r="C488" s="60"/>
      <c r="D488" s="60"/>
      <c r="E488" s="60"/>
      <c r="F488" s="60"/>
      <c r="G488" s="62"/>
      <c r="H488" s="60"/>
    </row>
    <row r="489" ht="15.75" customHeight="1">
      <c r="A489" s="60"/>
      <c r="B489" s="60"/>
      <c r="C489" s="60"/>
      <c r="D489" s="60"/>
      <c r="E489" s="60"/>
      <c r="F489" s="60"/>
      <c r="G489" s="62"/>
      <c r="H489" s="60"/>
    </row>
    <row r="490" ht="15.75" customHeight="1">
      <c r="A490" s="60"/>
      <c r="B490" s="60"/>
      <c r="C490" s="60"/>
      <c r="D490" s="60"/>
      <c r="E490" s="60"/>
      <c r="F490" s="60"/>
      <c r="G490" s="62"/>
      <c r="H490" s="60"/>
    </row>
    <row r="491" ht="15.75" customHeight="1">
      <c r="A491" s="60"/>
      <c r="B491" s="60"/>
      <c r="C491" s="60"/>
      <c r="D491" s="60"/>
      <c r="E491" s="60"/>
      <c r="F491" s="60"/>
      <c r="G491" s="62"/>
      <c r="H491" s="60"/>
    </row>
    <row r="492" ht="15.75" customHeight="1">
      <c r="A492" s="60"/>
      <c r="B492" s="60"/>
      <c r="C492" s="60"/>
      <c r="D492" s="60"/>
      <c r="E492" s="60"/>
      <c r="F492" s="60"/>
      <c r="G492" s="62"/>
      <c r="H492" s="60"/>
    </row>
    <row r="493" ht="15.75" customHeight="1">
      <c r="A493" s="60"/>
      <c r="B493" s="60"/>
      <c r="C493" s="60"/>
      <c r="D493" s="60"/>
      <c r="E493" s="60"/>
      <c r="F493" s="60"/>
      <c r="G493" s="62"/>
      <c r="H493" s="60"/>
    </row>
    <row r="494" ht="15.75" customHeight="1">
      <c r="A494" s="60"/>
      <c r="B494" s="60"/>
      <c r="C494" s="60"/>
      <c r="D494" s="60"/>
      <c r="E494" s="60"/>
      <c r="F494" s="60"/>
      <c r="G494" s="62"/>
      <c r="H494" s="60"/>
    </row>
    <row r="495" ht="15.75" customHeight="1">
      <c r="A495" s="60"/>
      <c r="B495" s="60"/>
      <c r="C495" s="60"/>
      <c r="D495" s="60"/>
      <c r="E495" s="60"/>
      <c r="F495" s="60"/>
      <c r="G495" s="62"/>
      <c r="H495" s="60"/>
    </row>
    <row r="496" ht="15.75" customHeight="1">
      <c r="A496" s="60"/>
      <c r="B496" s="60"/>
      <c r="C496" s="60"/>
      <c r="D496" s="60"/>
      <c r="E496" s="60"/>
      <c r="F496" s="60"/>
      <c r="G496" s="62"/>
      <c r="H496" s="60"/>
    </row>
    <row r="497" ht="15.75" customHeight="1">
      <c r="A497" s="60"/>
      <c r="B497" s="60"/>
      <c r="C497" s="60"/>
      <c r="D497" s="60"/>
      <c r="E497" s="60"/>
      <c r="F497" s="60"/>
      <c r="G497" s="62"/>
      <c r="H497" s="60"/>
    </row>
    <row r="498" ht="15.75" customHeight="1">
      <c r="A498" s="60"/>
      <c r="B498" s="60"/>
      <c r="C498" s="60"/>
      <c r="D498" s="60"/>
      <c r="E498" s="60"/>
      <c r="F498" s="60"/>
      <c r="G498" s="62"/>
      <c r="H498" s="60"/>
    </row>
    <row r="499" ht="15.75" customHeight="1">
      <c r="A499" s="60"/>
      <c r="B499" s="60"/>
      <c r="C499" s="60"/>
      <c r="D499" s="60"/>
      <c r="E499" s="60"/>
      <c r="F499" s="60"/>
      <c r="G499" s="62"/>
      <c r="H499" s="60"/>
    </row>
    <row r="500" ht="15.75" customHeight="1">
      <c r="A500" s="60"/>
      <c r="B500" s="60"/>
      <c r="C500" s="60"/>
      <c r="D500" s="60"/>
      <c r="E500" s="60"/>
      <c r="F500" s="60"/>
      <c r="G500" s="62"/>
      <c r="H500" s="60"/>
    </row>
    <row r="501" ht="15.75" customHeight="1">
      <c r="A501" s="60"/>
      <c r="B501" s="60"/>
      <c r="C501" s="60"/>
      <c r="D501" s="60"/>
      <c r="E501" s="60"/>
      <c r="F501" s="60"/>
      <c r="G501" s="62"/>
      <c r="H501" s="60"/>
    </row>
    <row r="502" ht="15.75" customHeight="1">
      <c r="A502" s="60"/>
      <c r="B502" s="60"/>
      <c r="C502" s="60"/>
      <c r="D502" s="60"/>
      <c r="E502" s="60"/>
      <c r="F502" s="60"/>
      <c r="G502" s="62"/>
      <c r="H502" s="60"/>
    </row>
    <row r="503" ht="15.75" customHeight="1">
      <c r="A503" s="60"/>
      <c r="B503" s="60"/>
      <c r="C503" s="60"/>
      <c r="D503" s="60"/>
      <c r="E503" s="60"/>
      <c r="F503" s="60"/>
      <c r="G503" s="62"/>
      <c r="H503" s="60"/>
    </row>
    <row r="504" ht="15.75" customHeight="1">
      <c r="A504" s="60"/>
      <c r="B504" s="60"/>
      <c r="C504" s="60"/>
      <c r="D504" s="60"/>
      <c r="E504" s="60"/>
      <c r="F504" s="60"/>
      <c r="G504" s="62"/>
      <c r="H504" s="60"/>
    </row>
    <row r="505" ht="15.75" customHeight="1">
      <c r="A505" s="60"/>
      <c r="B505" s="60"/>
      <c r="C505" s="60"/>
      <c r="D505" s="60"/>
      <c r="E505" s="60"/>
      <c r="F505" s="60"/>
      <c r="G505" s="62"/>
      <c r="H505" s="60"/>
    </row>
    <row r="506" ht="15.75" customHeight="1">
      <c r="A506" s="60"/>
      <c r="B506" s="60"/>
      <c r="C506" s="60"/>
      <c r="D506" s="60"/>
      <c r="E506" s="60"/>
      <c r="F506" s="60"/>
      <c r="G506" s="62"/>
      <c r="H506" s="60"/>
    </row>
    <row r="507" ht="15.75" customHeight="1">
      <c r="A507" s="60"/>
      <c r="B507" s="60"/>
      <c r="C507" s="60"/>
      <c r="D507" s="60"/>
      <c r="E507" s="60"/>
      <c r="F507" s="60"/>
      <c r="G507" s="62"/>
      <c r="H507" s="60"/>
    </row>
    <row r="508" ht="15.75" customHeight="1">
      <c r="A508" s="60"/>
      <c r="B508" s="60"/>
      <c r="C508" s="60"/>
      <c r="D508" s="60"/>
      <c r="E508" s="60"/>
      <c r="F508" s="60"/>
      <c r="G508" s="62"/>
      <c r="H508" s="60"/>
    </row>
    <row r="509" ht="15.75" customHeight="1">
      <c r="A509" s="60"/>
      <c r="B509" s="60"/>
      <c r="C509" s="60"/>
      <c r="D509" s="60"/>
      <c r="E509" s="60"/>
      <c r="F509" s="60"/>
      <c r="G509" s="62"/>
      <c r="H509" s="60"/>
    </row>
    <row r="510" ht="15.75" customHeight="1">
      <c r="A510" s="60"/>
      <c r="B510" s="60"/>
      <c r="C510" s="60"/>
      <c r="D510" s="60"/>
      <c r="E510" s="60"/>
      <c r="F510" s="60"/>
      <c r="G510" s="62"/>
      <c r="H510" s="60"/>
    </row>
    <row r="511" ht="15.75" customHeight="1">
      <c r="A511" s="60"/>
      <c r="B511" s="60"/>
      <c r="C511" s="60"/>
      <c r="D511" s="60"/>
      <c r="E511" s="60"/>
      <c r="F511" s="60"/>
      <c r="G511" s="62"/>
      <c r="H511" s="60"/>
    </row>
    <row r="512" ht="15.75" customHeight="1">
      <c r="A512" s="60"/>
      <c r="B512" s="60"/>
      <c r="C512" s="60"/>
      <c r="D512" s="60"/>
      <c r="E512" s="60"/>
      <c r="F512" s="60"/>
      <c r="G512" s="62"/>
      <c r="H512" s="60"/>
    </row>
    <row r="513" ht="15.75" customHeight="1">
      <c r="A513" s="60"/>
      <c r="B513" s="60"/>
      <c r="C513" s="60"/>
      <c r="D513" s="60"/>
      <c r="E513" s="60"/>
      <c r="F513" s="60"/>
      <c r="G513" s="62"/>
      <c r="H513" s="60"/>
    </row>
    <row r="514" ht="15.75" customHeight="1">
      <c r="A514" s="60"/>
      <c r="B514" s="60"/>
      <c r="C514" s="60"/>
      <c r="D514" s="60"/>
      <c r="E514" s="60"/>
      <c r="F514" s="60"/>
      <c r="G514" s="62"/>
      <c r="H514" s="60"/>
    </row>
    <row r="515" ht="15.75" customHeight="1">
      <c r="A515" s="60"/>
      <c r="B515" s="60"/>
      <c r="C515" s="60"/>
      <c r="D515" s="60"/>
      <c r="E515" s="60"/>
      <c r="F515" s="60"/>
      <c r="G515" s="62"/>
      <c r="H515" s="60"/>
    </row>
    <row r="516" ht="15.75" customHeight="1">
      <c r="A516" s="60"/>
      <c r="B516" s="60"/>
      <c r="C516" s="60"/>
      <c r="D516" s="60"/>
      <c r="E516" s="60"/>
      <c r="F516" s="60"/>
      <c r="G516" s="62"/>
      <c r="H516" s="60"/>
    </row>
    <row r="517" ht="15.75" customHeight="1">
      <c r="A517" s="60"/>
      <c r="B517" s="60"/>
      <c r="C517" s="60"/>
      <c r="D517" s="60"/>
      <c r="E517" s="60"/>
      <c r="F517" s="60"/>
      <c r="G517" s="62"/>
      <c r="H517" s="60"/>
    </row>
    <row r="518" ht="15.75" customHeight="1">
      <c r="A518" s="60"/>
      <c r="B518" s="60"/>
      <c r="C518" s="60"/>
      <c r="D518" s="60"/>
      <c r="E518" s="60"/>
      <c r="F518" s="60"/>
      <c r="G518" s="62"/>
      <c r="H518" s="60"/>
    </row>
    <row r="519" ht="15.75" customHeight="1">
      <c r="A519" s="60"/>
      <c r="B519" s="60"/>
      <c r="C519" s="60"/>
      <c r="D519" s="60"/>
      <c r="E519" s="60"/>
      <c r="F519" s="60"/>
      <c r="G519" s="62"/>
      <c r="H519" s="60"/>
    </row>
    <row r="520" ht="15.75" customHeight="1">
      <c r="A520" s="60"/>
      <c r="B520" s="60"/>
      <c r="C520" s="60"/>
      <c r="D520" s="60"/>
      <c r="E520" s="60"/>
      <c r="F520" s="60"/>
      <c r="G520" s="62"/>
      <c r="H520" s="60"/>
    </row>
    <row r="521" ht="15.75" customHeight="1">
      <c r="A521" s="60"/>
      <c r="B521" s="60"/>
      <c r="C521" s="60"/>
      <c r="D521" s="60"/>
      <c r="E521" s="60"/>
      <c r="F521" s="60"/>
      <c r="G521" s="62"/>
      <c r="H521" s="60"/>
    </row>
    <row r="522" ht="15.75" customHeight="1">
      <c r="A522" s="60"/>
      <c r="B522" s="60"/>
      <c r="C522" s="60"/>
      <c r="D522" s="60"/>
      <c r="E522" s="60"/>
      <c r="F522" s="60"/>
      <c r="G522" s="62"/>
      <c r="H522" s="60"/>
    </row>
    <row r="523" ht="15.75" customHeight="1">
      <c r="A523" s="60"/>
      <c r="B523" s="60"/>
      <c r="C523" s="60"/>
      <c r="D523" s="60"/>
      <c r="E523" s="60"/>
      <c r="F523" s="60"/>
      <c r="G523" s="62"/>
      <c r="H523" s="60"/>
    </row>
    <row r="524" ht="15.75" customHeight="1">
      <c r="A524" s="60"/>
      <c r="B524" s="60"/>
      <c r="C524" s="60"/>
      <c r="D524" s="60"/>
      <c r="E524" s="60"/>
      <c r="F524" s="60"/>
      <c r="G524" s="62"/>
      <c r="H524" s="60"/>
    </row>
    <row r="525" ht="15.75" customHeight="1">
      <c r="A525" s="60"/>
      <c r="B525" s="60"/>
      <c r="C525" s="60"/>
      <c r="D525" s="60"/>
      <c r="E525" s="60"/>
      <c r="F525" s="60"/>
      <c r="G525" s="62"/>
      <c r="H525" s="60"/>
    </row>
    <row r="526" ht="15.75" customHeight="1">
      <c r="A526" s="60"/>
      <c r="B526" s="60"/>
      <c r="C526" s="60"/>
      <c r="D526" s="60"/>
      <c r="E526" s="60"/>
      <c r="F526" s="60"/>
      <c r="G526" s="62"/>
      <c r="H526" s="60"/>
    </row>
    <row r="527" ht="15.75" customHeight="1">
      <c r="A527" s="60"/>
      <c r="B527" s="60"/>
      <c r="C527" s="60"/>
      <c r="D527" s="60"/>
      <c r="E527" s="60"/>
      <c r="F527" s="60"/>
      <c r="G527" s="62"/>
      <c r="H527" s="60"/>
    </row>
    <row r="528" ht="15.75" customHeight="1">
      <c r="A528" s="60"/>
      <c r="B528" s="60"/>
      <c r="C528" s="60"/>
      <c r="D528" s="60"/>
      <c r="E528" s="60"/>
      <c r="F528" s="60"/>
      <c r="G528" s="62"/>
      <c r="H528" s="60"/>
    </row>
    <row r="529" ht="15.75" customHeight="1">
      <c r="A529" s="60"/>
      <c r="B529" s="60"/>
      <c r="C529" s="60"/>
      <c r="D529" s="60"/>
      <c r="E529" s="60"/>
      <c r="F529" s="60"/>
      <c r="G529" s="62"/>
      <c r="H529" s="60"/>
    </row>
    <row r="530" ht="15.75" customHeight="1">
      <c r="A530" s="60"/>
      <c r="B530" s="60"/>
      <c r="C530" s="60"/>
      <c r="D530" s="60"/>
      <c r="E530" s="60"/>
      <c r="F530" s="60"/>
      <c r="G530" s="62"/>
      <c r="H530" s="60"/>
    </row>
    <row r="531" ht="15.75" customHeight="1">
      <c r="A531" s="60"/>
      <c r="B531" s="60"/>
      <c r="C531" s="60"/>
      <c r="D531" s="60"/>
      <c r="E531" s="60"/>
      <c r="F531" s="60"/>
      <c r="G531" s="62"/>
      <c r="H531" s="60"/>
    </row>
    <row r="532" ht="15.75" customHeight="1">
      <c r="A532" s="60"/>
      <c r="B532" s="60"/>
      <c r="C532" s="60"/>
      <c r="D532" s="60"/>
      <c r="E532" s="60"/>
      <c r="F532" s="60"/>
      <c r="G532" s="62"/>
      <c r="H532" s="60"/>
    </row>
    <row r="533" ht="15.75" customHeight="1">
      <c r="A533" s="60"/>
      <c r="B533" s="60"/>
      <c r="C533" s="60"/>
      <c r="D533" s="60"/>
      <c r="E533" s="60"/>
      <c r="F533" s="60"/>
      <c r="G533" s="62"/>
      <c r="H533" s="60"/>
    </row>
    <row r="534" ht="15.75" customHeight="1">
      <c r="A534" s="60"/>
      <c r="B534" s="60"/>
      <c r="C534" s="60"/>
      <c r="D534" s="60"/>
      <c r="E534" s="60"/>
      <c r="F534" s="60"/>
      <c r="G534" s="62"/>
      <c r="H534" s="60"/>
    </row>
    <row r="535" ht="15.75" customHeight="1">
      <c r="A535" s="60"/>
      <c r="B535" s="60"/>
      <c r="C535" s="60"/>
      <c r="D535" s="60"/>
      <c r="E535" s="60"/>
      <c r="F535" s="60"/>
      <c r="G535" s="62"/>
      <c r="H535" s="60"/>
    </row>
    <row r="536" ht="15.75" customHeight="1">
      <c r="A536" s="60"/>
      <c r="B536" s="60"/>
      <c r="C536" s="60"/>
      <c r="D536" s="60"/>
      <c r="E536" s="60"/>
      <c r="F536" s="60"/>
      <c r="G536" s="62"/>
      <c r="H536" s="60"/>
    </row>
    <row r="537" ht="15.75" customHeight="1">
      <c r="A537" s="60"/>
      <c r="B537" s="60"/>
      <c r="C537" s="60"/>
      <c r="D537" s="60"/>
      <c r="E537" s="60"/>
      <c r="F537" s="60"/>
      <c r="G537" s="62"/>
      <c r="H537" s="60"/>
    </row>
    <row r="538" ht="15.75" customHeight="1">
      <c r="A538" s="60"/>
      <c r="B538" s="60"/>
      <c r="C538" s="60"/>
      <c r="D538" s="60"/>
      <c r="E538" s="60"/>
      <c r="F538" s="60"/>
      <c r="G538" s="62"/>
      <c r="H538" s="60"/>
    </row>
    <row r="539" ht="15.75" customHeight="1">
      <c r="A539" s="60"/>
      <c r="B539" s="60"/>
      <c r="C539" s="60"/>
      <c r="D539" s="60"/>
      <c r="E539" s="60"/>
      <c r="F539" s="60"/>
      <c r="G539" s="62"/>
      <c r="H539" s="60"/>
    </row>
    <row r="540" ht="15.75" customHeight="1">
      <c r="A540" s="60"/>
      <c r="B540" s="60"/>
      <c r="C540" s="60"/>
      <c r="D540" s="60"/>
      <c r="E540" s="60"/>
      <c r="F540" s="60"/>
      <c r="G540" s="62"/>
      <c r="H540" s="60"/>
    </row>
    <row r="541" ht="15.75" customHeight="1">
      <c r="A541" s="60"/>
      <c r="B541" s="60"/>
      <c r="C541" s="60"/>
      <c r="D541" s="60"/>
      <c r="E541" s="60"/>
      <c r="F541" s="60"/>
      <c r="G541" s="62"/>
      <c r="H541" s="60"/>
    </row>
    <row r="542" ht="15.75" customHeight="1">
      <c r="A542" s="60"/>
      <c r="B542" s="60"/>
      <c r="C542" s="60"/>
      <c r="D542" s="60"/>
      <c r="E542" s="60"/>
      <c r="F542" s="60"/>
      <c r="G542" s="62"/>
      <c r="H542" s="60"/>
    </row>
    <row r="543" ht="15.75" customHeight="1">
      <c r="A543" s="60"/>
      <c r="B543" s="60"/>
      <c r="C543" s="60"/>
      <c r="D543" s="60"/>
      <c r="E543" s="60"/>
      <c r="F543" s="60"/>
      <c r="G543" s="62"/>
      <c r="H543" s="60"/>
    </row>
    <row r="544" ht="15.75" customHeight="1">
      <c r="A544" s="60"/>
      <c r="B544" s="60"/>
      <c r="C544" s="60"/>
      <c r="D544" s="60"/>
      <c r="E544" s="60"/>
      <c r="F544" s="60"/>
      <c r="G544" s="62"/>
      <c r="H544" s="60"/>
    </row>
    <row r="545" ht="15.75" customHeight="1">
      <c r="A545" s="60"/>
      <c r="B545" s="60"/>
      <c r="C545" s="60"/>
      <c r="D545" s="60"/>
      <c r="E545" s="60"/>
      <c r="F545" s="60"/>
      <c r="G545" s="62"/>
      <c r="H545" s="60"/>
    </row>
    <row r="546" ht="15.75" customHeight="1">
      <c r="A546" s="60"/>
      <c r="B546" s="60"/>
      <c r="C546" s="60"/>
      <c r="D546" s="60"/>
      <c r="E546" s="60"/>
      <c r="F546" s="60"/>
      <c r="G546" s="62"/>
      <c r="H546" s="60"/>
    </row>
    <row r="547" ht="15.75" customHeight="1">
      <c r="A547" s="60"/>
      <c r="B547" s="60"/>
      <c r="C547" s="60"/>
      <c r="D547" s="60"/>
      <c r="E547" s="60"/>
      <c r="F547" s="60"/>
      <c r="G547" s="62"/>
      <c r="H547" s="60"/>
    </row>
    <row r="548" ht="15.75" customHeight="1">
      <c r="A548" s="60"/>
      <c r="B548" s="60"/>
      <c r="C548" s="60"/>
      <c r="D548" s="60"/>
      <c r="E548" s="60"/>
      <c r="F548" s="60"/>
      <c r="G548" s="62"/>
      <c r="H548" s="60"/>
    </row>
    <row r="549" ht="15.75" customHeight="1">
      <c r="A549" s="60"/>
      <c r="B549" s="60"/>
      <c r="C549" s="60"/>
      <c r="D549" s="60"/>
      <c r="E549" s="60"/>
      <c r="F549" s="60"/>
      <c r="G549" s="62"/>
      <c r="H549" s="60"/>
    </row>
    <row r="550" ht="15.75" customHeight="1">
      <c r="A550" s="60"/>
      <c r="B550" s="60"/>
      <c r="C550" s="60"/>
      <c r="D550" s="60"/>
      <c r="E550" s="60"/>
      <c r="F550" s="60"/>
      <c r="G550" s="62"/>
      <c r="H550" s="60"/>
    </row>
    <row r="551" ht="15.75" customHeight="1">
      <c r="A551" s="60"/>
      <c r="B551" s="60"/>
      <c r="C551" s="60"/>
      <c r="D551" s="60"/>
      <c r="E551" s="60"/>
      <c r="F551" s="60"/>
      <c r="G551" s="62"/>
      <c r="H551" s="60"/>
    </row>
    <row r="552" ht="15.75" customHeight="1">
      <c r="A552" s="60"/>
      <c r="B552" s="60"/>
      <c r="C552" s="60"/>
      <c r="D552" s="60"/>
      <c r="E552" s="60"/>
      <c r="F552" s="60"/>
      <c r="G552" s="62"/>
      <c r="H552" s="60"/>
    </row>
    <row r="553" ht="15.75" customHeight="1">
      <c r="A553" s="60"/>
      <c r="B553" s="60"/>
      <c r="C553" s="60"/>
      <c r="D553" s="60"/>
      <c r="E553" s="60"/>
      <c r="F553" s="60"/>
      <c r="G553" s="62"/>
      <c r="H553" s="60"/>
    </row>
    <row r="554" ht="15.75" customHeight="1">
      <c r="A554" s="60"/>
      <c r="B554" s="60"/>
      <c r="C554" s="60"/>
      <c r="D554" s="60"/>
      <c r="E554" s="60"/>
      <c r="F554" s="60"/>
      <c r="G554" s="62"/>
      <c r="H554" s="60"/>
    </row>
    <row r="555" ht="15.75" customHeight="1">
      <c r="A555" s="60"/>
      <c r="B555" s="60"/>
      <c r="C555" s="60"/>
      <c r="D555" s="60"/>
      <c r="E555" s="60"/>
      <c r="F555" s="60"/>
      <c r="G555" s="62"/>
      <c r="H555" s="60"/>
    </row>
    <row r="556" ht="15.75" customHeight="1">
      <c r="A556" s="60"/>
      <c r="B556" s="60"/>
      <c r="C556" s="60"/>
      <c r="D556" s="60"/>
      <c r="E556" s="60"/>
      <c r="F556" s="60"/>
      <c r="G556" s="62"/>
      <c r="H556" s="60"/>
    </row>
    <row r="557" ht="15.75" customHeight="1">
      <c r="A557" s="60"/>
      <c r="B557" s="60"/>
      <c r="C557" s="60"/>
      <c r="D557" s="60"/>
      <c r="E557" s="60"/>
      <c r="F557" s="60"/>
      <c r="G557" s="62"/>
      <c r="H557" s="60"/>
    </row>
    <row r="558" ht="15.75" customHeight="1">
      <c r="A558" s="60"/>
      <c r="B558" s="60"/>
      <c r="C558" s="60"/>
      <c r="D558" s="60"/>
      <c r="E558" s="60"/>
      <c r="F558" s="60"/>
      <c r="G558" s="62"/>
      <c r="H558" s="60"/>
    </row>
    <row r="559" ht="15.75" customHeight="1">
      <c r="A559" s="60"/>
      <c r="B559" s="60"/>
      <c r="C559" s="60"/>
      <c r="D559" s="60"/>
      <c r="E559" s="60"/>
      <c r="F559" s="60"/>
      <c r="G559" s="62"/>
      <c r="H559" s="60"/>
    </row>
    <row r="560" ht="15.75" customHeight="1">
      <c r="A560" s="60"/>
      <c r="B560" s="60"/>
      <c r="C560" s="60"/>
      <c r="D560" s="60"/>
      <c r="E560" s="60"/>
      <c r="F560" s="60"/>
      <c r="G560" s="62"/>
      <c r="H560" s="60"/>
    </row>
    <row r="561" ht="15.75" customHeight="1">
      <c r="A561" s="60"/>
      <c r="B561" s="60"/>
      <c r="C561" s="60"/>
      <c r="D561" s="60"/>
      <c r="E561" s="60"/>
      <c r="F561" s="60"/>
      <c r="G561" s="62"/>
      <c r="H561" s="60"/>
    </row>
    <row r="562" ht="15.75" customHeight="1">
      <c r="A562" s="60"/>
      <c r="B562" s="60"/>
      <c r="C562" s="60"/>
      <c r="D562" s="60"/>
      <c r="E562" s="60"/>
      <c r="F562" s="60"/>
      <c r="G562" s="62"/>
      <c r="H562" s="60"/>
    </row>
    <row r="563" ht="15.75" customHeight="1">
      <c r="A563" s="60"/>
      <c r="B563" s="60"/>
      <c r="C563" s="60"/>
      <c r="D563" s="60"/>
      <c r="E563" s="60"/>
      <c r="F563" s="60"/>
      <c r="G563" s="62"/>
      <c r="H563" s="60"/>
    </row>
    <row r="564" ht="15.75" customHeight="1">
      <c r="A564" s="60"/>
      <c r="B564" s="60"/>
      <c r="C564" s="60"/>
      <c r="D564" s="60"/>
      <c r="E564" s="60"/>
      <c r="F564" s="60"/>
      <c r="G564" s="62"/>
      <c r="H564" s="60"/>
    </row>
    <row r="565" ht="15.75" customHeight="1">
      <c r="A565" s="60"/>
      <c r="B565" s="60"/>
      <c r="C565" s="60"/>
      <c r="D565" s="60"/>
      <c r="E565" s="60"/>
      <c r="F565" s="60"/>
      <c r="G565" s="62"/>
      <c r="H565" s="60"/>
    </row>
    <row r="566" ht="15.75" customHeight="1">
      <c r="A566" s="60"/>
      <c r="B566" s="60"/>
      <c r="C566" s="60"/>
      <c r="D566" s="60"/>
      <c r="E566" s="60"/>
      <c r="F566" s="60"/>
      <c r="G566" s="62"/>
      <c r="H566" s="60"/>
    </row>
    <row r="567" ht="15.75" customHeight="1">
      <c r="A567" s="60"/>
      <c r="B567" s="60"/>
      <c r="C567" s="60"/>
      <c r="D567" s="60"/>
      <c r="E567" s="60"/>
      <c r="F567" s="60"/>
      <c r="G567" s="62"/>
      <c r="H567" s="60"/>
    </row>
    <row r="568" ht="15.75" customHeight="1">
      <c r="A568" s="60"/>
      <c r="B568" s="60"/>
      <c r="C568" s="60"/>
      <c r="D568" s="60"/>
      <c r="E568" s="60"/>
      <c r="F568" s="60"/>
      <c r="G568" s="62"/>
      <c r="H568" s="60"/>
    </row>
    <row r="569" ht="15.75" customHeight="1">
      <c r="A569" s="60"/>
      <c r="B569" s="60"/>
      <c r="C569" s="60"/>
      <c r="D569" s="60"/>
      <c r="E569" s="60"/>
      <c r="F569" s="60"/>
      <c r="G569" s="62"/>
      <c r="H569" s="60"/>
    </row>
    <row r="570" ht="15.75" customHeight="1">
      <c r="A570" s="60"/>
      <c r="B570" s="60"/>
      <c r="C570" s="60"/>
      <c r="D570" s="60"/>
      <c r="E570" s="60"/>
      <c r="F570" s="60"/>
      <c r="G570" s="62"/>
      <c r="H570" s="60"/>
    </row>
    <row r="571" ht="15.75" customHeight="1">
      <c r="A571" s="60"/>
      <c r="B571" s="60"/>
      <c r="C571" s="60"/>
      <c r="D571" s="60"/>
      <c r="E571" s="60"/>
      <c r="F571" s="60"/>
      <c r="G571" s="62"/>
      <c r="H571" s="60"/>
    </row>
    <row r="572" ht="15.75" customHeight="1">
      <c r="A572" s="60"/>
      <c r="B572" s="60"/>
      <c r="C572" s="60"/>
      <c r="D572" s="60"/>
      <c r="E572" s="60"/>
      <c r="F572" s="60"/>
      <c r="G572" s="62"/>
      <c r="H572" s="60"/>
    </row>
    <row r="573" ht="15.75" customHeight="1">
      <c r="A573" s="60"/>
      <c r="B573" s="60"/>
      <c r="C573" s="60"/>
      <c r="D573" s="60"/>
      <c r="E573" s="60"/>
      <c r="F573" s="60"/>
      <c r="G573" s="62"/>
      <c r="H573" s="60"/>
    </row>
    <row r="574" ht="15.75" customHeight="1">
      <c r="A574" s="60"/>
      <c r="B574" s="60"/>
      <c r="C574" s="60"/>
      <c r="D574" s="60"/>
      <c r="E574" s="60"/>
      <c r="F574" s="60"/>
      <c r="G574" s="62"/>
      <c r="H574" s="60"/>
    </row>
    <row r="575" ht="15.75" customHeight="1">
      <c r="A575" s="60"/>
      <c r="B575" s="60"/>
      <c r="C575" s="60"/>
      <c r="D575" s="60"/>
      <c r="E575" s="60"/>
      <c r="F575" s="60"/>
      <c r="G575" s="62"/>
      <c r="H575" s="60"/>
    </row>
    <row r="576" ht="15.75" customHeight="1">
      <c r="A576" s="60"/>
      <c r="B576" s="60"/>
      <c r="C576" s="60"/>
      <c r="D576" s="60"/>
      <c r="E576" s="60"/>
      <c r="F576" s="60"/>
      <c r="G576" s="62"/>
      <c r="H576" s="60"/>
    </row>
    <row r="577" ht="15.75" customHeight="1">
      <c r="A577" s="60"/>
      <c r="B577" s="60"/>
      <c r="C577" s="60"/>
      <c r="D577" s="60"/>
      <c r="E577" s="60"/>
      <c r="F577" s="60"/>
      <c r="G577" s="62"/>
      <c r="H577" s="60"/>
    </row>
    <row r="578" ht="15.75" customHeight="1">
      <c r="A578" s="60"/>
      <c r="B578" s="60"/>
      <c r="C578" s="60"/>
      <c r="D578" s="60"/>
      <c r="E578" s="60"/>
      <c r="F578" s="60"/>
      <c r="G578" s="62"/>
      <c r="H578" s="60"/>
    </row>
    <row r="579" ht="15.75" customHeight="1">
      <c r="A579" s="60"/>
      <c r="B579" s="60"/>
      <c r="C579" s="60"/>
      <c r="D579" s="60"/>
      <c r="E579" s="60"/>
      <c r="F579" s="60"/>
      <c r="G579" s="62"/>
      <c r="H579" s="60"/>
    </row>
    <row r="580" ht="15.75" customHeight="1">
      <c r="A580" s="60"/>
      <c r="B580" s="60"/>
      <c r="C580" s="60"/>
      <c r="D580" s="60"/>
      <c r="E580" s="60"/>
      <c r="F580" s="60"/>
      <c r="G580" s="62"/>
      <c r="H580" s="60"/>
    </row>
    <row r="581" ht="15.75" customHeight="1">
      <c r="A581" s="60"/>
      <c r="B581" s="60"/>
      <c r="C581" s="60"/>
      <c r="D581" s="60"/>
      <c r="E581" s="60"/>
      <c r="F581" s="60"/>
      <c r="G581" s="62"/>
      <c r="H581" s="60"/>
    </row>
    <row r="582" ht="15.75" customHeight="1">
      <c r="A582" s="60"/>
      <c r="B582" s="60"/>
      <c r="C582" s="60"/>
      <c r="D582" s="60"/>
      <c r="E582" s="60"/>
      <c r="F582" s="60"/>
      <c r="G582" s="62"/>
      <c r="H582" s="60"/>
    </row>
    <row r="583" ht="15.75" customHeight="1">
      <c r="A583" s="60"/>
      <c r="B583" s="60"/>
      <c r="C583" s="60"/>
      <c r="D583" s="60"/>
      <c r="E583" s="60"/>
      <c r="F583" s="60"/>
      <c r="G583" s="62"/>
      <c r="H583" s="60"/>
    </row>
    <row r="584" ht="15.75" customHeight="1">
      <c r="A584" s="60"/>
      <c r="B584" s="60"/>
      <c r="C584" s="60"/>
      <c r="D584" s="60"/>
      <c r="E584" s="60"/>
      <c r="F584" s="60"/>
      <c r="G584" s="62"/>
      <c r="H584" s="60"/>
    </row>
    <row r="585" ht="15.75" customHeight="1">
      <c r="A585" s="60"/>
      <c r="B585" s="60"/>
      <c r="C585" s="60"/>
      <c r="D585" s="60"/>
      <c r="E585" s="60"/>
      <c r="F585" s="60"/>
      <c r="G585" s="62"/>
      <c r="H585" s="60"/>
    </row>
    <row r="586" ht="15.75" customHeight="1">
      <c r="A586" s="60"/>
      <c r="B586" s="60"/>
      <c r="C586" s="60"/>
      <c r="D586" s="60"/>
      <c r="E586" s="60"/>
      <c r="F586" s="60"/>
      <c r="G586" s="62"/>
      <c r="H586" s="60"/>
    </row>
    <row r="587" ht="15.75" customHeight="1">
      <c r="A587" s="60"/>
      <c r="B587" s="60"/>
      <c r="C587" s="60"/>
      <c r="D587" s="60"/>
      <c r="E587" s="60"/>
      <c r="F587" s="60"/>
      <c r="G587" s="62"/>
      <c r="H587" s="60"/>
    </row>
    <row r="588" ht="15.75" customHeight="1">
      <c r="A588" s="60"/>
      <c r="B588" s="60"/>
      <c r="C588" s="60"/>
      <c r="D588" s="60"/>
      <c r="E588" s="60"/>
      <c r="F588" s="60"/>
      <c r="G588" s="62"/>
      <c r="H588" s="60"/>
    </row>
    <row r="589" ht="15.75" customHeight="1">
      <c r="A589" s="60"/>
      <c r="B589" s="60"/>
      <c r="C589" s="60"/>
      <c r="D589" s="60"/>
      <c r="E589" s="60"/>
      <c r="F589" s="60"/>
      <c r="G589" s="62"/>
      <c r="H589" s="60"/>
    </row>
    <row r="590" ht="15.75" customHeight="1">
      <c r="A590" s="60"/>
      <c r="B590" s="60"/>
      <c r="C590" s="60"/>
      <c r="D590" s="60"/>
      <c r="E590" s="60"/>
      <c r="F590" s="60"/>
      <c r="G590" s="62"/>
      <c r="H590" s="60"/>
    </row>
    <row r="591" ht="15.75" customHeight="1">
      <c r="A591" s="60"/>
      <c r="B591" s="60"/>
      <c r="C591" s="60"/>
      <c r="D591" s="60"/>
      <c r="E591" s="60"/>
      <c r="F591" s="60"/>
      <c r="G591" s="62"/>
      <c r="H591" s="60"/>
    </row>
    <row r="592" ht="15.75" customHeight="1">
      <c r="A592" s="60"/>
      <c r="B592" s="60"/>
      <c r="C592" s="60"/>
      <c r="D592" s="60"/>
      <c r="E592" s="60"/>
      <c r="F592" s="60"/>
      <c r="G592" s="62"/>
      <c r="H592" s="60"/>
    </row>
    <row r="593" ht="15.75" customHeight="1">
      <c r="A593" s="60"/>
      <c r="B593" s="60"/>
      <c r="C593" s="60"/>
      <c r="D593" s="60"/>
      <c r="E593" s="60"/>
      <c r="F593" s="60"/>
      <c r="G593" s="62"/>
      <c r="H593" s="60"/>
    </row>
    <row r="594" ht="15.75" customHeight="1">
      <c r="A594" s="60"/>
      <c r="B594" s="60"/>
      <c r="C594" s="60"/>
      <c r="D594" s="60"/>
      <c r="E594" s="60"/>
      <c r="F594" s="60"/>
      <c r="G594" s="62"/>
      <c r="H594" s="60"/>
    </row>
    <row r="595" ht="15.75" customHeight="1">
      <c r="A595" s="60"/>
      <c r="B595" s="60"/>
      <c r="C595" s="60"/>
      <c r="D595" s="60"/>
      <c r="E595" s="60"/>
      <c r="F595" s="60"/>
      <c r="G595" s="62"/>
      <c r="H595" s="60"/>
    </row>
    <row r="596" ht="15.75" customHeight="1">
      <c r="A596" s="60"/>
      <c r="B596" s="60"/>
      <c r="C596" s="60"/>
      <c r="D596" s="60"/>
      <c r="E596" s="60"/>
      <c r="F596" s="60"/>
      <c r="G596" s="62"/>
      <c r="H596" s="60"/>
    </row>
    <row r="597" ht="15.75" customHeight="1">
      <c r="A597" s="60"/>
      <c r="B597" s="60"/>
      <c r="C597" s="60"/>
      <c r="D597" s="60"/>
      <c r="E597" s="60"/>
      <c r="F597" s="60"/>
      <c r="G597" s="62"/>
      <c r="H597" s="60"/>
    </row>
    <row r="598" ht="15.75" customHeight="1">
      <c r="A598" s="60"/>
      <c r="B598" s="60"/>
      <c r="C598" s="60"/>
      <c r="D598" s="60"/>
      <c r="E598" s="60"/>
      <c r="F598" s="60"/>
      <c r="G598" s="62"/>
      <c r="H598" s="60"/>
    </row>
    <row r="599" ht="15.75" customHeight="1">
      <c r="A599" s="60"/>
      <c r="B599" s="60"/>
      <c r="C599" s="60"/>
      <c r="D599" s="60"/>
      <c r="E599" s="60"/>
      <c r="F599" s="60"/>
      <c r="G599" s="62"/>
      <c r="H599" s="60"/>
    </row>
    <row r="600" ht="15.75" customHeight="1">
      <c r="A600" s="60"/>
      <c r="B600" s="60"/>
      <c r="C600" s="60"/>
      <c r="D600" s="60"/>
      <c r="E600" s="60"/>
      <c r="F600" s="60"/>
      <c r="G600" s="62"/>
      <c r="H600" s="60"/>
    </row>
    <row r="601" ht="15.75" customHeight="1">
      <c r="A601" s="60"/>
      <c r="B601" s="60"/>
      <c r="C601" s="60"/>
      <c r="D601" s="60"/>
      <c r="E601" s="60"/>
      <c r="F601" s="60"/>
      <c r="G601" s="62"/>
      <c r="H601" s="60"/>
    </row>
    <row r="602" ht="15.75" customHeight="1">
      <c r="A602" s="60"/>
      <c r="B602" s="60"/>
      <c r="C602" s="60"/>
      <c r="D602" s="60"/>
      <c r="E602" s="60"/>
      <c r="F602" s="60"/>
      <c r="G602" s="62"/>
      <c r="H602" s="60"/>
    </row>
    <row r="603" ht="15.75" customHeight="1">
      <c r="A603" s="60"/>
      <c r="B603" s="60"/>
      <c r="C603" s="60"/>
      <c r="D603" s="60"/>
      <c r="E603" s="60"/>
      <c r="F603" s="60"/>
      <c r="G603" s="62"/>
      <c r="H603" s="60"/>
    </row>
    <row r="604" ht="15.75" customHeight="1">
      <c r="A604" s="60"/>
      <c r="B604" s="60"/>
      <c r="C604" s="60"/>
      <c r="D604" s="60"/>
      <c r="E604" s="60"/>
      <c r="F604" s="60"/>
      <c r="G604" s="62"/>
      <c r="H604" s="60"/>
    </row>
    <row r="605" ht="15.75" customHeight="1">
      <c r="A605" s="60"/>
      <c r="B605" s="60"/>
      <c r="C605" s="60"/>
      <c r="D605" s="60"/>
      <c r="E605" s="60"/>
      <c r="F605" s="60"/>
      <c r="G605" s="62"/>
      <c r="H605" s="60"/>
    </row>
    <row r="606" ht="15.75" customHeight="1">
      <c r="A606" s="60"/>
      <c r="B606" s="60"/>
      <c r="C606" s="60"/>
      <c r="D606" s="60"/>
      <c r="E606" s="60"/>
      <c r="F606" s="60"/>
      <c r="G606" s="62"/>
      <c r="H606" s="60"/>
    </row>
    <row r="607" ht="15.75" customHeight="1">
      <c r="A607" s="60"/>
      <c r="B607" s="60"/>
      <c r="C607" s="60"/>
      <c r="D607" s="60"/>
      <c r="E607" s="60"/>
      <c r="F607" s="60"/>
      <c r="G607" s="62"/>
      <c r="H607" s="60"/>
    </row>
    <row r="608" ht="15.75" customHeight="1">
      <c r="A608" s="60"/>
      <c r="B608" s="60"/>
      <c r="C608" s="60"/>
      <c r="D608" s="60"/>
      <c r="E608" s="60"/>
      <c r="F608" s="60"/>
      <c r="G608" s="62"/>
      <c r="H608" s="60"/>
    </row>
    <row r="609" ht="15.75" customHeight="1">
      <c r="A609" s="60"/>
      <c r="B609" s="60"/>
      <c r="C609" s="60"/>
      <c r="D609" s="60"/>
      <c r="E609" s="60"/>
      <c r="F609" s="60"/>
      <c r="G609" s="62"/>
      <c r="H609" s="60"/>
    </row>
    <row r="610" ht="15.75" customHeight="1">
      <c r="A610" s="60"/>
      <c r="B610" s="60"/>
      <c r="C610" s="60"/>
      <c r="D610" s="60"/>
      <c r="E610" s="60"/>
      <c r="F610" s="60"/>
      <c r="G610" s="62"/>
      <c r="H610" s="60"/>
    </row>
    <row r="611" ht="15.75" customHeight="1">
      <c r="A611" s="60"/>
      <c r="B611" s="60"/>
      <c r="C611" s="60"/>
      <c r="D611" s="60"/>
      <c r="E611" s="60"/>
      <c r="F611" s="60"/>
      <c r="G611" s="62"/>
      <c r="H611" s="60"/>
    </row>
    <row r="612" ht="15.75" customHeight="1">
      <c r="A612" s="60"/>
      <c r="B612" s="60"/>
      <c r="C612" s="60"/>
      <c r="D612" s="60"/>
      <c r="E612" s="60"/>
      <c r="F612" s="60"/>
      <c r="G612" s="62"/>
      <c r="H612" s="60"/>
    </row>
    <row r="613" ht="15.75" customHeight="1">
      <c r="A613" s="60"/>
      <c r="B613" s="60"/>
      <c r="C613" s="60"/>
      <c r="D613" s="60"/>
      <c r="E613" s="60"/>
      <c r="F613" s="60"/>
      <c r="G613" s="62"/>
      <c r="H613" s="60"/>
    </row>
    <row r="614" ht="15.75" customHeight="1">
      <c r="A614" s="60"/>
      <c r="B614" s="60"/>
      <c r="C614" s="60"/>
      <c r="D614" s="60"/>
      <c r="E614" s="60"/>
      <c r="F614" s="60"/>
      <c r="G614" s="62"/>
      <c r="H614" s="60"/>
    </row>
    <row r="615" ht="15.75" customHeight="1">
      <c r="A615" s="60"/>
      <c r="B615" s="60"/>
      <c r="C615" s="60"/>
      <c r="D615" s="60"/>
      <c r="E615" s="60"/>
      <c r="F615" s="60"/>
      <c r="G615" s="62"/>
      <c r="H615" s="60"/>
    </row>
    <row r="616" ht="15.75" customHeight="1">
      <c r="A616" s="60"/>
      <c r="B616" s="60"/>
      <c r="C616" s="60"/>
      <c r="D616" s="60"/>
      <c r="E616" s="60"/>
      <c r="F616" s="60"/>
      <c r="G616" s="62"/>
      <c r="H616" s="60"/>
    </row>
    <row r="617" ht="15.75" customHeight="1">
      <c r="A617" s="60"/>
      <c r="B617" s="60"/>
      <c r="C617" s="60"/>
      <c r="D617" s="60"/>
      <c r="E617" s="60"/>
      <c r="F617" s="60"/>
      <c r="G617" s="62"/>
      <c r="H617" s="60"/>
    </row>
    <row r="618" ht="15.75" customHeight="1">
      <c r="A618" s="60"/>
      <c r="B618" s="60"/>
      <c r="C618" s="60"/>
      <c r="D618" s="60"/>
      <c r="E618" s="60"/>
      <c r="F618" s="60"/>
      <c r="G618" s="62"/>
      <c r="H618" s="60"/>
    </row>
    <row r="619" ht="15.75" customHeight="1">
      <c r="A619" s="60"/>
      <c r="B619" s="60"/>
      <c r="C619" s="60"/>
      <c r="D619" s="60"/>
      <c r="E619" s="60"/>
      <c r="F619" s="60"/>
      <c r="G619" s="62"/>
      <c r="H619" s="60"/>
    </row>
    <row r="620" ht="15.75" customHeight="1">
      <c r="A620" s="60"/>
      <c r="B620" s="60"/>
      <c r="C620" s="60"/>
      <c r="D620" s="60"/>
      <c r="E620" s="60"/>
      <c r="F620" s="60"/>
      <c r="G620" s="62"/>
      <c r="H620" s="60"/>
    </row>
    <row r="621" ht="15.75" customHeight="1">
      <c r="A621" s="60"/>
      <c r="B621" s="60"/>
      <c r="C621" s="60"/>
      <c r="D621" s="60"/>
      <c r="E621" s="60"/>
      <c r="F621" s="60"/>
      <c r="G621" s="62"/>
      <c r="H621" s="60"/>
    </row>
    <row r="622" ht="15.75" customHeight="1">
      <c r="A622" s="60"/>
      <c r="B622" s="60"/>
      <c r="C622" s="60"/>
      <c r="D622" s="60"/>
      <c r="E622" s="60"/>
      <c r="F622" s="60"/>
      <c r="G622" s="62"/>
      <c r="H622" s="60"/>
    </row>
    <row r="623" ht="15.75" customHeight="1">
      <c r="A623" s="60"/>
      <c r="B623" s="60"/>
      <c r="C623" s="60"/>
      <c r="D623" s="60"/>
      <c r="E623" s="60"/>
      <c r="F623" s="60"/>
      <c r="G623" s="62"/>
      <c r="H623" s="60"/>
    </row>
    <row r="624" ht="15.75" customHeight="1">
      <c r="A624" s="60"/>
      <c r="B624" s="60"/>
      <c r="C624" s="60"/>
      <c r="D624" s="60"/>
      <c r="E624" s="60"/>
      <c r="F624" s="60"/>
      <c r="G624" s="62"/>
      <c r="H624" s="60"/>
    </row>
    <row r="625" ht="15.75" customHeight="1">
      <c r="A625" s="60"/>
      <c r="B625" s="60"/>
      <c r="C625" s="60"/>
      <c r="D625" s="60"/>
      <c r="E625" s="60"/>
      <c r="F625" s="60"/>
      <c r="G625" s="62"/>
      <c r="H625" s="60"/>
    </row>
    <row r="626" ht="15.75" customHeight="1">
      <c r="A626" s="60"/>
      <c r="B626" s="60"/>
      <c r="C626" s="60"/>
      <c r="D626" s="60"/>
      <c r="E626" s="60"/>
      <c r="F626" s="60"/>
      <c r="G626" s="62"/>
      <c r="H626" s="60"/>
    </row>
    <row r="627" ht="15.75" customHeight="1">
      <c r="A627" s="60"/>
      <c r="B627" s="60"/>
      <c r="C627" s="60"/>
      <c r="D627" s="60"/>
      <c r="E627" s="60"/>
      <c r="F627" s="60"/>
      <c r="G627" s="62"/>
      <c r="H627" s="60"/>
    </row>
    <row r="628" ht="15.75" customHeight="1">
      <c r="A628" s="60"/>
      <c r="B628" s="60"/>
      <c r="C628" s="60"/>
      <c r="D628" s="60"/>
      <c r="E628" s="60"/>
      <c r="F628" s="60"/>
      <c r="G628" s="62"/>
      <c r="H628" s="60"/>
    </row>
    <row r="629" ht="15.75" customHeight="1">
      <c r="A629" s="60"/>
      <c r="B629" s="60"/>
      <c r="C629" s="60"/>
      <c r="D629" s="60"/>
      <c r="E629" s="60"/>
      <c r="F629" s="60"/>
      <c r="G629" s="62"/>
      <c r="H629" s="60"/>
    </row>
    <row r="630" ht="15.75" customHeight="1">
      <c r="A630" s="60"/>
      <c r="B630" s="60"/>
      <c r="C630" s="60"/>
      <c r="D630" s="60"/>
      <c r="E630" s="60"/>
      <c r="F630" s="60"/>
      <c r="G630" s="62"/>
      <c r="H630" s="60"/>
    </row>
    <row r="631" ht="15.75" customHeight="1">
      <c r="A631" s="60"/>
      <c r="B631" s="60"/>
      <c r="C631" s="60"/>
      <c r="D631" s="60"/>
      <c r="E631" s="60"/>
      <c r="F631" s="60"/>
      <c r="G631" s="62"/>
      <c r="H631" s="60"/>
    </row>
    <row r="632" ht="15.75" customHeight="1">
      <c r="A632" s="60"/>
      <c r="B632" s="60"/>
      <c r="C632" s="60"/>
      <c r="D632" s="60"/>
      <c r="E632" s="60"/>
      <c r="F632" s="60"/>
      <c r="G632" s="62"/>
      <c r="H632" s="60"/>
    </row>
    <row r="633" ht="15.75" customHeight="1">
      <c r="A633" s="60"/>
      <c r="B633" s="60"/>
      <c r="C633" s="60"/>
      <c r="D633" s="60"/>
      <c r="E633" s="60"/>
      <c r="F633" s="60"/>
      <c r="G633" s="62"/>
      <c r="H633" s="60"/>
    </row>
    <row r="634" ht="15.75" customHeight="1">
      <c r="A634" s="60"/>
      <c r="B634" s="60"/>
      <c r="C634" s="60"/>
      <c r="D634" s="60"/>
      <c r="E634" s="60"/>
      <c r="F634" s="60"/>
      <c r="G634" s="62"/>
      <c r="H634" s="60"/>
    </row>
    <row r="635" ht="15.75" customHeight="1">
      <c r="A635" s="60"/>
      <c r="B635" s="60"/>
      <c r="C635" s="60"/>
      <c r="D635" s="60"/>
      <c r="E635" s="60"/>
      <c r="F635" s="60"/>
      <c r="G635" s="62"/>
      <c r="H635" s="60"/>
    </row>
    <row r="636" ht="15.75" customHeight="1">
      <c r="A636" s="60"/>
      <c r="B636" s="60"/>
      <c r="C636" s="60"/>
      <c r="D636" s="60"/>
      <c r="E636" s="60"/>
      <c r="F636" s="60"/>
      <c r="G636" s="62"/>
      <c r="H636" s="60"/>
    </row>
    <row r="637" ht="15.75" customHeight="1">
      <c r="A637" s="60"/>
      <c r="B637" s="60"/>
      <c r="C637" s="60"/>
      <c r="D637" s="60"/>
      <c r="E637" s="60"/>
      <c r="F637" s="60"/>
      <c r="G637" s="62"/>
      <c r="H637" s="60"/>
    </row>
    <row r="638" ht="15.75" customHeight="1">
      <c r="A638" s="60"/>
      <c r="B638" s="60"/>
      <c r="C638" s="60"/>
      <c r="D638" s="60"/>
      <c r="E638" s="60"/>
      <c r="F638" s="60"/>
      <c r="G638" s="62"/>
      <c r="H638" s="60"/>
    </row>
    <row r="639" ht="15.75" customHeight="1">
      <c r="A639" s="60"/>
      <c r="B639" s="60"/>
      <c r="C639" s="60"/>
      <c r="D639" s="60"/>
      <c r="E639" s="60"/>
      <c r="F639" s="60"/>
      <c r="G639" s="62"/>
      <c r="H639" s="60"/>
    </row>
    <row r="640" ht="15.75" customHeight="1">
      <c r="A640" s="60"/>
      <c r="B640" s="60"/>
      <c r="C640" s="60"/>
      <c r="D640" s="60"/>
      <c r="E640" s="60"/>
      <c r="F640" s="60"/>
      <c r="G640" s="62"/>
      <c r="H640" s="60"/>
    </row>
    <row r="641" ht="15.75" customHeight="1">
      <c r="A641" s="60"/>
      <c r="B641" s="60"/>
      <c r="C641" s="60"/>
      <c r="D641" s="60"/>
      <c r="E641" s="60"/>
      <c r="F641" s="60"/>
      <c r="G641" s="62"/>
      <c r="H641" s="60"/>
    </row>
    <row r="642" ht="15.75" customHeight="1">
      <c r="A642" s="60"/>
      <c r="B642" s="60"/>
      <c r="C642" s="60"/>
      <c r="D642" s="60"/>
      <c r="E642" s="60"/>
      <c r="F642" s="60"/>
      <c r="G642" s="62"/>
      <c r="H642" s="60"/>
    </row>
    <row r="643" ht="15.75" customHeight="1">
      <c r="A643" s="60"/>
      <c r="B643" s="60"/>
      <c r="C643" s="60"/>
      <c r="D643" s="60"/>
      <c r="E643" s="60"/>
      <c r="F643" s="60"/>
      <c r="G643" s="62"/>
      <c r="H643" s="60"/>
    </row>
    <row r="644" ht="15.75" customHeight="1">
      <c r="A644" s="60"/>
      <c r="B644" s="60"/>
      <c r="C644" s="60"/>
      <c r="D644" s="60"/>
      <c r="E644" s="60"/>
      <c r="F644" s="60"/>
      <c r="G644" s="62"/>
      <c r="H644" s="60"/>
    </row>
    <row r="645" ht="15.75" customHeight="1">
      <c r="A645" s="60"/>
      <c r="B645" s="60"/>
      <c r="C645" s="60"/>
      <c r="D645" s="60"/>
      <c r="E645" s="60"/>
      <c r="F645" s="60"/>
      <c r="G645" s="62"/>
      <c r="H645" s="60"/>
    </row>
    <row r="646" ht="15.75" customHeight="1">
      <c r="A646" s="60"/>
      <c r="B646" s="60"/>
      <c r="C646" s="60"/>
      <c r="D646" s="60"/>
      <c r="E646" s="60"/>
      <c r="F646" s="60"/>
      <c r="G646" s="62"/>
      <c r="H646" s="60"/>
    </row>
    <row r="647" ht="15.75" customHeight="1">
      <c r="A647" s="60"/>
      <c r="B647" s="60"/>
      <c r="C647" s="60"/>
      <c r="D647" s="60"/>
      <c r="E647" s="60"/>
      <c r="F647" s="60"/>
      <c r="G647" s="62"/>
      <c r="H647" s="60"/>
    </row>
    <row r="648" ht="15.75" customHeight="1">
      <c r="A648" s="60"/>
      <c r="B648" s="60"/>
      <c r="C648" s="60"/>
      <c r="D648" s="60"/>
      <c r="E648" s="60"/>
      <c r="F648" s="60"/>
      <c r="G648" s="62"/>
      <c r="H648" s="60"/>
    </row>
    <row r="649" ht="15.75" customHeight="1">
      <c r="A649" s="60"/>
      <c r="B649" s="60"/>
      <c r="C649" s="60"/>
      <c r="D649" s="60"/>
      <c r="E649" s="60"/>
      <c r="F649" s="60"/>
      <c r="G649" s="62"/>
      <c r="H649" s="60"/>
    </row>
    <row r="650" ht="15.75" customHeight="1">
      <c r="A650" s="60"/>
      <c r="B650" s="60"/>
      <c r="C650" s="60"/>
      <c r="D650" s="60"/>
      <c r="E650" s="60"/>
      <c r="F650" s="60"/>
      <c r="G650" s="62"/>
      <c r="H650" s="60"/>
    </row>
    <row r="651" ht="15.75" customHeight="1">
      <c r="A651" s="60"/>
      <c r="B651" s="60"/>
      <c r="C651" s="60"/>
      <c r="D651" s="60"/>
      <c r="E651" s="60"/>
      <c r="F651" s="60"/>
      <c r="G651" s="62"/>
      <c r="H651" s="60"/>
    </row>
    <row r="652" ht="15.75" customHeight="1">
      <c r="A652" s="60"/>
      <c r="B652" s="60"/>
      <c r="C652" s="60"/>
      <c r="D652" s="60"/>
      <c r="E652" s="60"/>
      <c r="F652" s="60"/>
      <c r="G652" s="62"/>
      <c r="H652" s="60"/>
    </row>
    <row r="653" ht="15.75" customHeight="1">
      <c r="A653" s="60"/>
      <c r="B653" s="60"/>
      <c r="C653" s="60"/>
      <c r="D653" s="60"/>
      <c r="E653" s="60"/>
      <c r="F653" s="60"/>
      <c r="G653" s="62"/>
      <c r="H653" s="60"/>
    </row>
    <row r="654" ht="15.75" customHeight="1">
      <c r="A654" s="60"/>
      <c r="B654" s="60"/>
      <c r="C654" s="60"/>
      <c r="D654" s="60"/>
      <c r="E654" s="60"/>
      <c r="F654" s="60"/>
      <c r="G654" s="62"/>
      <c r="H654" s="60"/>
    </row>
    <row r="655" ht="15.75" customHeight="1">
      <c r="A655" s="60"/>
      <c r="B655" s="60"/>
      <c r="C655" s="60"/>
      <c r="D655" s="60"/>
      <c r="E655" s="60"/>
      <c r="F655" s="60"/>
      <c r="G655" s="62"/>
      <c r="H655" s="60"/>
    </row>
    <row r="656" ht="15.75" customHeight="1">
      <c r="A656" s="60"/>
      <c r="B656" s="60"/>
      <c r="C656" s="60"/>
      <c r="D656" s="60"/>
      <c r="E656" s="60"/>
      <c r="F656" s="60"/>
      <c r="G656" s="62"/>
      <c r="H656" s="60"/>
    </row>
    <row r="657" ht="15.75" customHeight="1">
      <c r="A657" s="60"/>
      <c r="B657" s="60"/>
      <c r="C657" s="60"/>
      <c r="D657" s="60"/>
      <c r="E657" s="60"/>
      <c r="F657" s="60"/>
      <c r="G657" s="62"/>
      <c r="H657" s="60"/>
    </row>
    <row r="658" ht="15.75" customHeight="1">
      <c r="A658" s="60"/>
      <c r="B658" s="60"/>
      <c r="C658" s="60"/>
      <c r="D658" s="60"/>
      <c r="E658" s="60"/>
      <c r="F658" s="60"/>
      <c r="G658" s="62"/>
      <c r="H658" s="60"/>
    </row>
    <row r="659" ht="15.75" customHeight="1">
      <c r="A659" s="60"/>
      <c r="B659" s="60"/>
      <c r="C659" s="60"/>
      <c r="D659" s="60"/>
      <c r="E659" s="60"/>
      <c r="F659" s="60"/>
      <c r="G659" s="62"/>
      <c r="H659" s="60"/>
    </row>
    <row r="660" ht="15.75" customHeight="1">
      <c r="A660" s="60"/>
      <c r="B660" s="60"/>
      <c r="C660" s="60"/>
      <c r="D660" s="60"/>
      <c r="E660" s="60"/>
      <c r="F660" s="60"/>
      <c r="G660" s="62"/>
      <c r="H660" s="60"/>
    </row>
    <row r="661" ht="15.75" customHeight="1">
      <c r="A661" s="60"/>
      <c r="B661" s="60"/>
      <c r="C661" s="60"/>
      <c r="D661" s="60"/>
      <c r="E661" s="60"/>
      <c r="F661" s="60"/>
      <c r="G661" s="62"/>
      <c r="H661" s="60"/>
    </row>
    <row r="662" ht="15.75" customHeight="1">
      <c r="A662" s="60"/>
      <c r="B662" s="60"/>
      <c r="C662" s="60"/>
      <c r="D662" s="60"/>
      <c r="E662" s="60"/>
      <c r="F662" s="60"/>
      <c r="G662" s="62"/>
      <c r="H662" s="60"/>
    </row>
    <row r="663" ht="15.75" customHeight="1">
      <c r="A663" s="60"/>
      <c r="B663" s="60"/>
      <c r="C663" s="60"/>
      <c r="D663" s="60"/>
      <c r="E663" s="60"/>
      <c r="F663" s="60"/>
      <c r="G663" s="62"/>
      <c r="H663" s="60"/>
    </row>
    <row r="664" ht="15.75" customHeight="1">
      <c r="A664" s="60"/>
      <c r="B664" s="60"/>
      <c r="C664" s="60"/>
      <c r="D664" s="60"/>
      <c r="E664" s="60"/>
      <c r="F664" s="60"/>
      <c r="G664" s="62"/>
      <c r="H664" s="60"/>
    </row>
    <row r="665" ht="15.75" customHeight="1">
      <c r="A665" s="60"/>
      <c r="B665" s="60"/>
      <c r="C665" s="60"/>
      <c r="D665" s="60"/>
      <c r="E665" s="60"/>
      <c r="F665" s="60"/>
      <c r="G665" s="62"/>
      <c r="H665" s="60"/>
    </row>
    <row r="666" ht="15.75" customHeight="1">
      <c r="A666" s="60"/>
      <c r="B666" s="60"/>
      <c r="C666" s="60"/>
      <c r="D666" s="60"/>
      <c r="E666" s="60"/>
      <c r="F666" s="60"/>
      <c r="G666" s="62"/>
      <c r="H666" s="60"/>
    </row>
    <row r="667" ht="15.75" customHeight="1">
      <c r="A667" s="60"/>
      <c r="B667" s="60"/>
      <c r="C667" s="60"/>
      <c r="D667" s="60"/>
      <c r="E667" s="60"/>
      <c r="F667" s="60"/>
      <c r="G667" s="62"/>
      <c r="H667" s="60"/>
    </row>
    <row r="668" ht="15.75" customHeight="1">
      <c r="A668" s="60"/>
      <c r="B668" s="60"/>
      <c r="C668" s="60"/>
      <c r="D668" s="60"/>
      <c r="E668" s="60"/>
      <c r="F668" s="60"/>
      <c r="G668" s="62"/>
      <c r="H668" s="60"/>
    </row>
    <row r="669" ht="15.75" customHeight="1">
      <c r="A669" s="60"/>
      <c r="B669" s="60"/>
      <c r="C669" s="60"/>
      <c r="D669" s="60"/>
      <c r="E669" s="60"/>
      <c r="F669" s="60"/>
      <c r="G669" s="62"/>
      <c r="H669" s="60"/>
    </row>
    <row r="670" ht="15.75" customHeight="1">
      <c r="A670" s="60"/>
      <c r="B670" s="60"/>
      <c r="C670" s="60"/>
      <c r="D670" s="60"/>
      <c r="E670" s="60"/>
      <c r="F670" s="60"/>
      <c r="G670" s="62"/>
      <c r="H670" s="60"/>
    </row>
    <row r="671" ht="15.75" customHeight="1">
      <c r="A671" s="60"/>
      <c r="B671" s="60"/>
      <c r="C671" s="60"/>
      <c r="D671" s="60"/>
      <c r="E671" s="60"/>
      <c r="F671" s="60"/>
      <c r="G671" s="62"/>
      <c r="H671" s="60"/>
    </row>
    <row r="672" ht="15.75" customHeight="1">
      <c r="A672" s="60"/>
      <c r="B672" s="60"/>
      <c r="C672" s="60"/>
      <c r="D672" s="60"/>
      <c r="E672" s="60"/>
      <c r="F672" s="60"/>
      <c r="G672" s="62"/>
      <c r="H672" s="60"/>
    </row>
    <row r="673" ht="15.75" customHeight="1">
      <c r="A673" s="60"/>
      <c r="B673" s="60"/>
      <c r="C673" s="60"/>
      <c r="D673" s="60"/>
      <c r="E673" s="60"/>
      <c r="F673" s="60"/>
      <c r="G673" s="62"/>
      <c r="H673" s="60"/>
    </row>
    <row r="674" ht="15.75" customHeight="1">
      <c r="A674" s="60"/>
      <c r="B674" s="60"/>
      <c r="C674" s="60"/>
      <c r="D674" s="60"/>
      <c r="E674" s="60"/>
      <c r="F674" s="60"/>
      <c r="G674" s="62"/>
      <c r="H674" s="60"/>
    </row>
    <row r="675" ht="15.75" customHeight="1">
      <c r="A675" s="60"/>
      <c r="B675" s="60"/>
      <c r="C675" s="60"/>
      <c r="D675" s="60"/>
      <c r="E675" s="60"/>
      <c r="F675" s="60"/>
      <c r="G675" s="62"/>
      <c r="H675" s="60"/>
    </row>
    <row r="676" ht="15.75" customHeight="1">
      <c r="A676" s="60"/>
      <c r="B676" s="60"/>
      <c r="C676" s="60"/>
      <c r="D676" s="60"/>
      <c r="E676" s="60"/>
      <c r="F676" s="60"/>
      <c r="G676" s="62"/>
      <c r="H676" s="60"/>
    </row>
    <row r="677" ht="15.75" customHeight="1">
      <c r="A677" s="60"/>
      <c r="B677" s="60"/>
      <c r="C677" s="60"/>
      <c r="D677" s="60"/>
      <c r="E677" s="60"/>
      <c r="F677" s="60"/>
      <c r="G677" s="62"/>
      <c r="H677" s="60"/>
    </row>
    <row r="678" ht="15.75" customHeight="1">
      <c r="A678" s="60"/>
      <c r="B678" s="60"/>
      <c r="C678" s="60"/>
      <c r="D678" s="60"/>
      <c r="E678" s="60"/>
      <c r="F678" s="60"/>
      <c r="G678" s="62"/>
      <c r="H678" s="60"/>
    </row>
    <row r="679" ht="15.75" customHeight="1">
      <c r="A679" s="60"/>
      <c r="B679" s="60"/>
      <c r="C679" s="60"/>
      <c r="D679" s="60"/>
      <c r="E679" s="60"/>
      <c r="F679" s="60"/>
      <c r="G679" s="62"/>
      <c r="H679" s="60"/>
    </row>
    <row r="680" ht="15.75" customHeight="1">
      <c r="A680" s="60"/>
      <c r="B680" s="60"/>
      <c r="C680" s="60"/>
      <c r="D680" s="60"/>
      <c r="E680" s="60"/>
      <c r="F680" s="60"/>
      <c r="G680" s="62"/>
      <c r="H680" s="60"/>
    </row>
    <row r="681" ht="15.75" customHeight="1">
      <c r="A681" s="60"/>
      <c r="B681" s="60"/>
      <c r="C681" s="60"/>
      <c r="D681" s="60"/>
      <c r="E681" s="60"/>
      <c r="F681" s="60"/>
      <c r="G681" s="62"/>
      <c r="H681" s="60"/>
    </row>
    <row r="682" ht="15.75" customHeight="1">
      <c r="A682" s="60"/>
      <c r="B682" s="60"/>
      <c r="C682" s="60"/>
      <c r="D682" s="60"/>
      <c r="E682" s="60"/>
      <c r="F682" s="60"/>
      <c r="G682" s="62"/>
      <c r="H682" s="60"/>
    </row>
    <row r="683" ht="15.75" customHeight="1">
      <c r="A683" s="60"/>
      <c r="B683" s="60"/>
      <c r="C683" s="60"/>
      <c r="D683" s="60"/>
      <c r="E683" s="60"/>
      <c r="F683" s="60"/>
      <c r="G683" s="62"/>
      <c r="H683" s="60"/>
    </row>
    <row r="684" ht="15.75" customHeight="1">
      <c r="A684" s="60"/>
      <c r="B684" s="60"/>
      <c r="C684" s="60"/>
      <c r="D684" s="60"/>
      <c r="E684" s="60"/>
      <c r="F684" s="60"/>
      <c r="G684" s="62"/>
      <c r="H684" s="60"/>
    </row>
    <row r="685" ht="15.75" customHeight="1">
      <c r="A685" s="60"/>
      <c r="B685" s="60"/>
      <c r="C685" s="60"/>
      <c r="D685" s="60"/>
      <c r="E685" s="60"/>
      <c r="F685" s="60"/>
      <c r="G685" s="62"/>
      <c r="H685" s="60"/>
    </row>
    <row r="686" ht="15.75" customHeight="1">
      <c r="A686" s="60"/>
      <c r="B686" s="60"/>
      <c r="C686" s="60"/>
      <c r="D686" s="60"/>
      <c r="E686" s="60"/>
      <c r="F686" s="60"/>
      <c r="G686" s="62"/>
      <c r="H686" s="60"/>
    </row>
    <row r="687" ht="15.75" customHeight="1">
      <c r="A687" s="60"/>
      <c r="B687" s="60"/>
      <c r="C687" s="60"/>
      <c r="D687" s="60"/>
      <c r="E687" s="60"/>
      <c r="F687" s="60"/>
      <c r="G687" s="62"/>
      <c r="H687" s="60"/>
    </row>
    <row r="688" ht="15.75" customHeight="1">
      <c r="A688" s="60"/>
      <c r="B688" s="60"/>
      <c r="C688" s="60"/>
      <c r="D688" s="60"/>
      <c r="E688" s="60"/>
      <c r="F688" s="60"/>
      <c r="G688" s="62"/>
      <c r="H688" s="60"/>
    </row>
    <row r="689" ht="15.75" customHeight="1">
      <c r="A689" s="60"/>
      <c r="B689" s="60"/>
      <c r="C689" s="60"/>
      <c r="D689" s="60"/>
      <c r="E689" s="60"/>
      <c r="F689" s="60"/>
      <c r="G689" s="62"/>
      <c r="H689" s="60"/>
    </row>
    <row r="690" ht="15.75" customHeight="1">
      <c r="A690" s="60"/>
      <c r="B690" s="60"/>
      <c r="C690" s="60"/>
      <c r="D690" s="60"/>
      <c r="E690" s="60"/>
      <c r="F690" s="60"/>
      <c r="G690" s="62"/>
      <c r="H690" s="60"/>
    </row>
    <row r="691" ht="15.75" customHeight="1">
      <c r="A691" s="60"/>
      <c r="B691" s="60"/>
      <c r="C691" s="60"/>
      <c r="D691" s="60"/>
      <c r="E691" s="60"/>
      <c r="F691" s="60"/>
      <c r="G691" s="62"/>
      <c r="H691" s="60"/>
    </row>
    <row r="692" ht="15.75" customHeight="1">
      <c r="A692" s="60"/>
      <c r="B692" s="60"/>
      <c r="C692" s="60"/>
      <c r="D692" s="60"/>
      <c r="E692" s="60"/>
      <c r="F692" s="60"/>
      <c r="G692" s="62"/>
      <c r="H692" s="60"/>
    </row>
    <row r="693" ht="15.75" customHeight="1">
      <c r="A693" s="60"/>
      <c r="B693" s="60"/>
      <c r="C693" s="60"/>
      <c r="D693" s="60"/>
      <c r="E693" s="60"/>
      <c r="F693" s="60"/>
      <c r="G693" s="62"/>
      <c r="H693" s="60"/>
    </row>
    <row r="694" ht="15.75" customHeight="1">
      <c r="A694" s="60"/>
      <c r="B694" s="60"/>
      <c r="C694" s="60"/>
      <c r="D694" s="60"/>
      <c r="E694" s="60"/>
      <c r="F694" s="60"/>
      <c r="G694" s="62"/>
      <c r="H694" s="60"/>
    </row>
    <row r="695" ht="15.75" customHeight="1">
      <c r="A695" s="60"/>
      <c r="B695" s="60"/>
      <c r="C695" s="60"/>
      <c r="D695" s="60"/>
      <c r="E695" s="60"/>
      <c r="F695" s="60"/>
      <c r="G695" s="62"/>
      <c r="H695" s="60"/>
    </row>
    <row r="696" ht="15.75" customHeight="1">
      <c r="A696" s="60"/>
      <c r="B696" s="60"/>
      <c r="C696" s="60"/>
      <c r="D696" s="60"/>
      <c r="E696" s="60"/>
      <c r="F696" s="60"/>
      <c r="G696" s="62"/>
      <c r="H696" s="60"/>
    </row>
    <row r="697" ht="15.75" customHeight="1">
      <c r="A697" s="60"/>
      <c r="B697" s="60"/>
      <c r="C697" s="60"/>
      <c r="D697" s="60"/>
      <c r="E697" s="60"/>
      <c r="F697" s="60"/>
      <c r="G697" s="62"/>
      <c r="H697" s="60"/>
    </row>
    <row r="698" ht="15.75" customHeight="1">
      <c r="A698" s="60"/>
      <c r="B698" s="60"/>
      <c r="C698" s="60"/>
      <c r="D698" s="60"/>
      <c r="E698" s="60"/>
      <c r="F698" s="60"/>
      <c r="G698" s="62"/>
      <c r="H698" s="60"/>
    </row>
    <row r="699" ht="15.75" customHeight="1">
      <c r="A699" s="60"/>
      <c r="B699" s="60"/>
      <c r="C699" s="60"/>
      <c r="D699" s="60"/>
      <c r="E699" s="60"/>
      <c r="F699" s="60"/>
      <c r="G699" s="62"/>
      <c r="H699" s="60"/>
    </row>
    <row r="700" ht="15.75" customHeight="1">
      <c r="A700" s="60"/>
      <c r="B700" s="60"/>
      <c r="C700" s="60"/>
      <c r="D700" s="60"/>
      <c r="E700" s="60"/>
      <c r="F700" s="60"/>
      <c r="G700" s="62"/>
      <c r="H700" s="60"/>
    </row>
    <row r="701" ht="15.75" customHeight="1">
      <c r="A701" s="60"/>
      <c r="B701" s="60"/>
      <c r="C701" s="60"/>
      <c r="D701" s="60"/>
      <c r="E701" s="60"/>
      <c r="F701" s="60"/>
      <c r="G701" s="62"/>
      <c r="H701" s="60"/>
    </row>
    <row r="702" ht="15.75" customHeight="1">
      <c r="A702" s="60"/>
      <c r="B702" s="60"/>
      <c r="C702" s="60"/>
      <c r="D702" s="60"/>
      <c r="E702" s="60"/>
      <c r="F702" s="60"/>
      <c r="G702" s="62"/>
      <c r="H702" s="60"/>
    </row>
    <row r="703" ht="15.75" customHeight="1">
      <c r="A703" s="60"/>
      <c r="B703" s="60"/>
      <c r="C703" s="60"/>
      <c r="D703" s="60"/>
      <c r="E703" s="60"/>
      <c r="F703" s="60"/>
      <c r="G703" s="62"/>
      <c r="H703" s="60"/>
    </row>
    <row r="704" ht="15.75" customHeight="1">
      <c r="A704" s="60"/>
      <c r="B704" s="60"/>
      <c r="C704" s="60"/>
      <c r="D704" s="60"/>
      <c r="E704" s="60"/>
      <c r="F704" s="60"/>
      <c r="G704" s="62"/>
      <c r="H704" s="60"/>
    </row>
    <row r="705" ht="15.75" customHeight="1">
      <c r="A705" s="60"/>
      <c r="B705" s="60"/>
      <c r="C705" s="60"/>
      <c r="D705" s="60"/>
      <c r="E705" s="60"/>
      <c r="F705" s="60"/>
      <c r="G705" s="62"/>
      <c r="H705" s="60"/>
    </row>
    <row r="706" ht="15.75" customHeight="1">
      <c r="A706" s="60"/>
      <c r="B706" s="60"/>
      <c r="C706" s="60"/>
      <c r="D706" s="60"/>
      <c r="E706" s="60"/>
      <c r="F706" s="60"/>
      <c r="G706" s="62"/>
      <c r="H706" s="60"/>
    </row>
    <row r="707" ht="15.75" customHeight="1">
      <c r="A707" s="60"/>
      <c r="B707" s="60"/>
      <c r="C707" s="60"/>
      <c r="D707" s="60"/>
      <c r="E707" s="60"/>
      <c r="F707" s="60"/>
      <c r="G707" s="62"/>
      <c r="H707" s="60"/>
    </row>
    <row r="708" ht="15.75" customHeight="1">
      <c r="A708" s="60"/>
      <c r="B708" s="60"/>
      <c r="C708" s="60"/>
      <c r="D708" s="60"/>
      <c r="E708" s="60"/>
      <c r="F708" s="60"/>
      <c r="G708" s="62"/>
      <c r="H708" s="60"/>
    </row>
    <row r="709" ht="15.75" customHeight="1">
      <c r="A709" s="60"/>
      <c r="B709" s="60"/>
      <c r="C709" s="60"/>
      <c r="D709" s="60"/>
      <c r="E709" s="60"/>
      <c r="F709" s="60"/>
      <c r="G709" s="62"/>
      <c r="H709" s="60"/>
    </row>
    <row r="710" ht="15.75" customHeight="1">
      <c r="A710" s="60"/>
      <c r="B710" s="60"/>
      <c r="C710" s="60"/>
      <c r="D710" s="60"/>
      <c r="E710" s="60"/>
      <c r="F710" s="60"/>
      <c r="G710" s="62"/>
      <c r="H710" s="60"/>
    </row>
    <row r="711" ht="15.75" customHeight="1">
      <c r="A711" s="60"/>
      <c r="B711" s="60"/>
      <c r="C711" s="60"/>
      <c r="D711" s="60"/>
      <c r="E711" s="60"/>
      <c r="F711" s="60"/>
      <c r="G711" s="62"/>
      <c r="H711" s="60"/>
    </row>
    <row r="712" ht="15.75" customHeight="1">
      <c r="A712" s="60"/>
      <c r="B712" s="60"/>
      <c r="C712" s="60"/>
      <c r="D712" s="60"/>
      <c r="E712" s="60"/>
      <c r="F712" s="60"/>
      <c r="G712" s="62"/>
      <c r="H712" s="60"/>
    </row>
    <row r="713" ht="15.75" customHeight="1">
      <c r="A713" s="60"/>
      <c r="B713" s="60"/>
      <c r="C713" s="60"/>
      <c r="D713" s="60"/>
      <c r="E713" s="60"/>
      <c r="F713" s="60"/>
      <c r="G713" s="62"/>
      <c r="H713" s="60"/>
    </row>
    <row r="714" ht="15.75" customHeight="1">
      <c r="A714" s="60"/>
      <c r="B714" s="60"/>
      <c r="C714" s="60"/>
      <c r="D714" s="60"/>
      <c r="E714" s="60"/>
      <c r="F714" s="60"/>
      <c r="G714" s="62"/>
      <c r="H714" s="60"/>
    </row>
    <row r="715" ht="15.75" customHeight="1">
      <c r="A715" s="60"/>
      <c r="B715" s="60"/>
      <c r="C715" s="60"/>
      <c r="D715" s="60"/>
      <c r="E715" s="60"/>
      <c r="F715" s="60"/>
      <c r="G715" s="62"/>
      <c r="H715" s="60"/>
    </row>
    <row r="716" ht="15.75" customHeight="1">
      <c r="A716" s="60"/>
      <c r="B716" s="60"/>
      <c r="C716" s="60"/>
      <c r="D716" s="60"/>
      <c r="E716" s="60"/>
      <c r="F716" s="60"/>
      <c r="G716" s="62"/>
      <c r="H716" s="60"/>
    </row>
    <row r="717" ht="15.75" customHeight="1">
      <c r="A717" s="60"/>
      <c r="B717" s="60"/>
      <c r="C717" s="60"/>
      <c r="D717" s="60"/>
      <c r="E717" s="60"/>
      <c r="F717" s="60"/>
      <c r="G717" s="62"/>
      <c r="H717" s="60"/>
    </row>
    <row r="718" ht="15.75" customHeight="1">
      <c r="A718" s="60"/>
      <c r="B718" s="60"/>
      <c r="C718" s="60"/>
      <c r="D718" s="60"/>
      <c r="E718" s="60"/>
      <c r="F718" s="60"/>
      <c r="G718" s="62"/>
      <c r="H718" s="60"/>
    </row>
    <row r="719" ht="15.75" customHeight="1">
      <c r="A719" s="60"/>
      <c r="B719" s="60"/>
      <c r="C719" s="60"/>
      <c r="D719" s="60"/>
      <c r="E719" s="60"/>
      <c r="F719" s="60"/>
      <c r="G719" s="62"/>
      <c r="H719" s="60"/>
    </row>
    <row r="720" ht="15.75" customHeight="1">
      <c r="A720" s="60"/>
      <c r="B720" s="60"/>
      <c r="C720" s="60"/>
      <c r="D720" s="60"/>
      <c r="E720" s="60"/>
      <c r="F720" s="60"/>
      <c r="G720" s="62"/>
      <c r="H720" s="60"/>
    </row>
    <row r="721" ht="15.75" customHeight="1">
      <c r="A721" s="60"/>
      <c r="B721" s="60"/>
      <c r="C721" s="60"/>
      <c r="D721" s="60"/>
      <c r="E721" s="60"/>
      <c r="F721" s="60"/>
      <c r="G721" s="62"/>
      <c r="H721" s="60"/>
    </row>
    <row r="722" ht="15.75" customHeight="1">
      <c r="A722" s="60"/>
      <c r="B722" s="60"/>
      <c r="C722" s="60"/>
      <c r="D722" s="60"/>
      <c r="E722" s="60"/>
      <c r="F722" s="60"/>
      <c r="G722" s="62"/>
      <c r="H722" s="60"/>
    </row>
    <row r="723" ht="15.75" customHeight="1">
      <c r="A723" s="60"/>
      <c r="B723" s="60"/>
      <c r="C723" s="60"/>
      <c r="D723" s="60"/>
      <c r="E723" s="60"/>
      <c r="F723" s="60"/>
      <c r="G723" s="62"/>
      <c r="H723" s="60"/>
    </row>
    <row r="724" ht="15.75" customHeight="1">
      <c r="A724" s="60"/>
      <c r="B724" s="60"/>
      <c r="C724" s="60"/>
      <c r="D724" s="60"/>
      <c r="E724" s="60"/>
      <c r="F724" s="60"/>
      <c r="G724" s="62"/>
      <c r="H724" s="60"/>
    </row>
    <row r="725" ht="15.75" customHeight="1">
      <c r="A725" s="60"/>
      <c r="B725" s="60"/>
      <c r="C725" s="60"/>
      <c r="D725" s="60"/>
      <c r="E725" s="60"/>
      <c r="F725" s="60"/>
      <c r="G725" s="62"/>
      <c r="H725" s="60"/>
    </row>
    <row r="726" ht="15.75" customHeight="1">
      <c r="A726" s="60"/>
      <c r="B726" s="60"/>
      <c r="C726" s="60"/>
      <c r="D726" s="60"/>
      <c r="E726" s="60"/>
      <c r="F726" s="60"/>
      <c r="G726" s="62"/>
      <c r="H726" s="60"/>
    </row>
    <row r="727" ht="15.75" customHeight="1">
      <c r="A727" s="60"/>
      <c r="B727" s="60"/>
      <c r="C727" s="60"/>
      <c r="D727" s="60"/>
      <c r="E727" s="60"/>
      <c r="F727" s="60"/>
      <c r="G727" s="62"/>
      <c r="H727" s="60"/>
    </row>
    <row r="728" ht="15.75" customHeight="1">
      <c r="A728" s="60"/>
      <c r="B728" s="60"/>
      <c r="C728" s="60"/>
      <c r="D728" s="60"/>
      <c r="E728" s="60"/>
      <c r="F728" s="60"/>
      <c r="G728" s="62"/>
      <c r="H728" s="60"/>
    </row>
    <row r="729" ht="15.75" customHeight="1">
      <c r="A729" s="60"/>
      <c r="B729" s="60"/>
      <c r="C729" s="60"/>
      <c r="D729" s="60"/>
      <c r="E729" s="60"/>
      <c r="F729" s="60"/>
      <c r="G729" s="62"/>
      <c r="H729" s="60"/>
    </row>
    <row r="730" ht="15.75" customHeight="1">
      <c r="A730" s="60"/>
      <c r="B730" s="60"/>
      <c r="C730" s="60"/>
      <c r="D730" s="60"/>
      <c r="E730" s="60"/>
      <c r="F730" s="60"/>
      <c r="G730" s="62"/>
      <c r="H730" s="60"/>
    </row>
    <row r="731" ht="15.75" customHeight="1">
      <c r="A731" s="60"/>
      <c r="B731" s="60"/>
      <c r="C731" s="60"/>
      <c r="D731" s="60"/>
      <c r="E731" s="60"/>
      <c r="F731" s="60"/>
      <c r="G731" s="62"/>
      <c r="H731" s="60"/>
    </row>
    <row r="732" ht="15.75" customHeight="1">
      <c r="A732" s="60"/>
      <c r="B732" s="60"/>
      <c r="C732" s="60"/>
      <c r="D732" s="60"/>
      <c r="E732" s="60"/>
      <c r="F732" s="60"/>
      <c r="G732" s="62"/>
      <c r="H732" s="60"/>
    </row>
    <row r="733" ht="15.75" customHeight="1">
      <c r="A733" s="60"/>
      <c r="B733" s="60"/>
      <c r="C733" s="60"/>
      <c r="D733" s="60"/>
      <c r="E733" s="60"/>
      <c r="F733" s="60"/>
      <c r="G733" s="62"/>
      <c r="H733" s="60"/>
    </row>
    <row r="734" ht="15.75" customHeight="1">
      <c r="A734" s="60"/>
      <c r="B734" s="60"/>
      <c r="C734" s="60"/>
      <c r="D734" s="60"/>
      <c r="E734" s="60"/>
      <c r="F734" s="60"/>
      <c r="G734" s="62"/>
      <c r="H734" s="60"/>
    </row>
    <row r="735" ht="15.75" customHeight="1">
      <c r="A735" s="60"/>
      <c r="B735" s="60"/>
      <c r="C735" s="60"/>
      <c r="D735" s="60"/>
      <c r="E735" s="60"/>
      <c r="F735" s="60"/>
      <c r="G735" s="62"/>
      <c r="H735" s="60"/>
    </row>
    <row r="736" ht="15.75" customHeight="1">
      <c r="A736" s="60"/>
      <c r="B736" s="60"/>
      <c r="C736" s="60"/>
      <c r="D736" s="60"/>
      <c r="E736" s="60"/>
      <c r="F736" s="60"/>
      <c r="G736" s="62"/>
      <c r="H736" s="60"/>
    </row>
    <row r="737" ht="15.75" customHeight="1">
      <c r="A737" s="60"/>
      <c r="B737" s="60"/>
      <c r="C737" s="60"/>
      <c r="D737" s="60"/>
      <c r="E737" s="60"/>
      <c r="F737" s="60"/>
      <c r="G737" s="62"/>
      <c r="H737" s="60"/>
    </row>
    <row r="738" ht="15.75" customHeight="1">
      <c r="A738" s="60"/>
      <c r="B738" s="60"/>
      <c r="C738" s="60"/>
      <c r="D738" s="60"/>
      <c r="E738" s="60"/>
      <c r="F738" s="60"/>
      <c r="G738" s="62"/>
      <c r="H738" s="60"/>
    </row>
    <row r="739" ht="15.75" customHeight="1">
      <c r="A739" s="60"/>
      <c r="B739" s="60"/>
      <c r="C739" s="60"/>
      <c r="D739" s="60"/>
      <c r="E739" s="60"/>
      <c r="F739" s="60"/>
      <c r="G739" s="62"/>
      <c r="H739" s="60"/>
    </row>
    <row r="740" ht="15.75" customHeight="1">
      <c r="A740" s="60"/>
      <c r="B740" s="60"/>
      <c r="C740" s="60"/>
      <c r="D740" s="60"/>
      <c r="E740" s="60"/>
      <c r="F740" s="60"/>
      <c r="G740" s="62"/>
      <c r="H740" s="60"/>
    </row>
    <row r="741" ht="15.75" customHeight="1">
      <c r="A741" s="60"/>
      <c r="B741" s="60"/>
      <c r="C741" s="60"/>
      <c r="D741" s="60"/>
      <c r="E741" s="60"/>
      <c r="F741" s="60"/>
      <c r="G741" s="62"/>
      <c r="H741" s="60"/>
    </row>
    <row r="742" ht="15.75" customHeight="1">
      <c r="A742" s="60"/>
      <c r="B742" s="60"/>
      <c r="C742" s="60"/>
      <c r="D742" s="60"/>
      <c r="E742" s="60"/>
      <c r="F742" s="60"/>
      <c r="G742" s="62"/>
      <c r="H742" s="60"/>
    </row>
    <row r="743" ht="15.75" customHeight="1">
      <c r="A743" s="60"/>
      <c r="B743" s="60"/>
      <c r="C743" s="60"/>
      <c r="D743" s="60"/>
      <c r="E743" s="60"/>
      <c r="F743" s="60"/>
      <c r="G743" s="62"/>
      <c r="H743" s="60"/>
    </row>
    <row r="744" ht="15.75" customHeight="1">
      <c r="A744" s="60"/>
      <c r="B744" s="60"/>
      <c r="C744" s="60"/>
      <c r="D744" s="60"/>
      <c r="E744" s="60"/>
      <c r="F744" s="60"/>
      <c r="G744" s="62"/>
      <c r="H744" s="60"/>
    </row>
    <row r="745" ht="15.75" customHeight="1">
      <c r="A745" s="60"/>
      <c r="B745" s="60"/>
      <c r="C745" s="60"/>
      <c r="D745" s="60"/>
      <c r="E745" s="60"/>
      <c r="F745" s="60"/>
      <c r="G745" s="62"/>
      <c r="H745" s="60"/>
    </row>
    <row r="746" ht="15.75" customHeight="1">
      <c r="A746" s="60"/>
      <c r="B746" s="60"/>
      <c r="C746" s="60"/>
      <c r="D746" s="60"/>
      <c r="E746" s="60"/>
      <c r="F746" s="60"/>
      <c r="G746" s="62"/>
      <c r="H746" s="60"/>
    </row>
    <row r="747" ht="15.75" customHeight="1">
      <c r="A747" s="60"/>
      <c r="B747" s="60"/>
      <c r="C747" s="60"/>
      <c r="D747" s="60"/>
      <c r="E747" s="60"/>
      <c r="F747" s="60"/>
      <c r="G747" s="62"/>
      <c r="H747" s="60"/>
    </row>
    <row r="748" ht="15.75" customHeight="1">
      <c r="A748" s="60"/>
      <c r="B748" s="60"/>
      <c r="C748" s="60"/>
      <c r="D748" s="60"/>
      <c r="E748" s="60"/>
      <c r="F748" s="60"/>
      <c r="G748" s="62"/>
      <c r="H748" s="60"/>
    </row>
    <row r="749" ht="15.75" customHeight="1">
      <c r="A749" s="60"/>
      <c r="B749" s="60"/>
      <c r="C749" s="60"/>
      <c r="D749" s="60"/>
      <c r="E749" s="60"/>
      <c r="F749" s="60"/>
      <c r="G749" s="62"/>
      <c r="H749" s="60"/>
    </row>
    <row r="750" ht="15.75" customHeight="1">
      <c r="A750" s="60"/>
      <c r="B750" s="60"/>
      <c r="C750" s="60"/>
      <c r="D750" s="60"/>
      <c r="E750" s="60"/>
      <c r="F750" s="60"/>
      <c r="G750" s="62"/>
      <c r="H750" s="60"/>
    </row>
    <row r="751" ht="15.75" customHeight="1">
      <c r="A751" s="60"/>
      <c r="B751" s="60"/>
      <c r="C751" s="60"/>
      <c r="D751" s="60"/>
      <c r="E751" s="60"/>
      <c r="F751" s="60"/>
      <c r="G751" s="62"/>
      <c r="H751" s="60"/>
    </row>
    <row r="752" ht="15.75" customHeight="1">
      <c r="A752" s="60"/>
      <c r="B752" s="60"/>
      <c r="C752" s="60"/>
      <c r="D752" s="60"/>
      <c r="E752" s="60"/>
      <c r="F752" s="60"/>
      <c r="G752" s="62"/>
      <c r="H752" s="60"/>
    </row>
    <row r="753" ht="15.75" customHeight="1">
      <c r="A753" s="60"/>
      <c r="B753" s="60"/>
      <c r="C753" s="60"/>
      <c r="D753" s="60"/>
      <c r="E753" s="60"/>
      <c r="F753" s="60"/>
      <c r="G753" s="62"/>
      <c r="H753" s="60"/>
    </row>
    <row r="754" ht="15.75" customHeight="1">
      <c r="A754" s="60"/>
      <c r="B754" s="60"/>
      <c r="C754" s="60"/>
      <c r="D754" s="60"/>
      <c r="E754" s="60"/>
      <c r="F754" s="60"/>
      <c r="G754" s="62"/>
      <c r="H754" s="60"/>
    </row>
    <row r="755" ht="15.75" customHeight="1">
      <c r="A755" s="60"/>
      <c r="B755" s="60"/>
      <c r="C755" s="60"/>
      <c r="D755" s="60"/>
      <c r="E755" s="60"/>
      <c r="F755" s="60"/>
      <c r="G755" s="62"/>
      <c r="H755" s="60"/>
    </row>
    <row r="756" ht="15.75" customHeight="1">
      <c r="A756" s="60"/>
      <c r="B756" s="60"/>
      <c r="C756" s="60"/>
      <c r="D756" s="60"/>
      <c r="E756" s="60"/>
      <c r="F756" s="60"/>
      <c r="G756" s="62"/>
      <c r="H756" s="60"/>
    </row>
    <row r="757" ht="15.75" customHeight="1">
      <c r="A757" s="60"/>
      <c r="B757" s="60"/>
      <c r="C757" s="60"/>
      <c r="D757" s="60"/>
      <c r="E757" s="60"/>
      <c r="F757" s="60"/>
      <c r="G757" s="62"/>
      <c r="H757" s="60"/>
    </row>
    <row r="758" ht="15.75" customHeight="1">
      <c r="A758" s="60"/>
      <c r="B758" s="60"/>
      <c r="C758" s="60"/>
      <c r="D758" s="60"/>
      <c r="E758" s="60"/>
      <c r="F758" s="60"/>
      <c r="G758" s="62"/>
      <c r="H758" s="60"/>
    </row>
    <row r="759" ht="15.75" customHeight="1">
      <c r="A759" s="60"/>
      <c r="B759" s="60"/>
      <c r="C759" s="60"/>
      <c r="D759" s="60"/>
      <c r="E759" s="60"/>
      <c r="F759" s="60"/>
      <c r="G759" s="62"/>
      <c r="H759" s="60"/>
    </row>
    <row r="760" ht="15.75" customHeight="1">
      <c r="A760" s="60"/>
      <c r="B760" s="60"/>
      <c r="C760" s="60"/>
      <c r="D760" s="60"/>
      <c r="E760" s="60"/>
      <c r="F760" s="60"/>
      <c r="G760" s="62"/>
      <c r="H760" s="60"/>
    </row>
    <row r="761" ht="15.75" customHeight="1">
      <c r="A761" s="60"/>
      <c r="B761" s="60"/>
      <c r="C761" s="60"/>
      <c r="D761" s="60"/>
      <c r="E761" s="60"/>
      <c r="F761" s="60"/>
      <c r="G761" s="62"/>
      <c r="H761" s="60"/>
    </row>
    <row r="762" ht="15.75" customHeight="1">
      <c r="A762" s="60"/>
      <c r="B762" s="60"/>
      <c r="C762" s="60"/>
      <c r="D762" s="60"/>
      <c r="E762" s="60"/>
      <c r="F762" s="60"/>
      <c r="G762" s="62"/>
      <c r="H762" s="60"/>
    </row>
    <row r="763" ht="15.75" customHeight="1">
      <c r="A763" s="60"/>
      <c r="B763" s="60"/>
      <c r="C763" s="60"/>
      <c r="D763" s="60"/>
      <c r="E763" s="60"/>
      <c r="F763" s="60"/>
      <c r="G763" s="62"/>
      <c r="H763" s="60"/>
    </row>
    <row r="764" ht="15.75" customHeight="1">
      <c r="A764" s="60"/>
      <c r="B764" s="60"/>
      <c r="C764" s="60"/>
      <c r="D764" s="60"/>
      <c r="E764" s="60"/>
      <c r="F764" s="60"/>
      <c r="G764" s="62"/>
      <c r="H764" s="60"/>
    </row>
    <row r="765" ht="15.75" customHeight="1">
      <c r="A765" s="60"/>
      <c r="B765" s="60"/>
      <c r="C765" s="60"/>
      <c r="D765" s="60"/>
      <c r="E765" s="60"/>
      <c r="F765" s="60"/>
      <c r="G765" s="62"/>
      <c r="H765" s="60"/>
    </row>
    <row r="766" ht="15.75" customHeight="1">
      <c r="A766" s="60"/>
      <c r="B766" s="60"/>
      <c r="C766" s="60"/>
      <c r="D766" s="60"/>
      <c r="E766" s="60"/>
      <c r="F766" s="60"/>
      <c r="G766" s="62"/>
      <c r="H766" s="60"/>
    </row>
    <row r="767" ht="15.75" customHeight="1">
      <c r="A767" s="60"/>
      <c r="B767" s="60"/>
      <c r="C767" s="60"/>
      <c r="D767" s="60"/>
      <c r="E767" s="60"/>
      <c r="F767" s="60"/>
      <c r="G767" s="62"/>
      <c r="H767" s="60"/>
    </row>
    <row r="768" ht="15.75" customHeight="1">
      <c r="A768" s="60"/>
      <c r="B768" s="60"/>
      <c r="C768" s="60"/>
      <c r="D768" s="60"/>
      <c r="E768" s="60"/>
      <c r="F768" s="60"/>
      <c r="G768" s="62"/>
      <c r="H768" s="60"/>
    </row>
    <row r="769" ht="15.75" customHeight="1">
      <c r="A769" s="60"/>
      <c r="B769" s="60"/>
      <c r="C769" s="60"/>
      <c r="D769" s="60"/>
      <c r="E769" s="60"/>
      <c r="F769" s="60"/>
      <c r="G769" s="62"/>
      <c r="H769" s="60"/>
    </row>
    <row r="770" ht="15.75" customHeight="1">
      <c r="A770" s="60"/>
      <c r="B770" s="60"/>
      <c r="C770" s="60"/>
      <c r="D770" s="60"/>
      <c r="E770" s="60"/>
      <c r="F770" s="60"/>
      <c r="G770" s="62"/>
      <c r="H770" s="60"/>
    </row>
    <row r="771" ht="15.75" customHeight="1">
      <c r="A771" s="60"/>
      <c r="B771" s="60"/>
      <c r="C771" s="60"/>
      <c r="D771" s="60"/>
      <c r="E771" s="60"/>
      <c r="F771" s="60"/>
      <c r="G771" s="62"/>
      <c r="H771" s="60"/>
    </row>
    <row r="772" ht="15.75" customHeight="1">
      <c r="A772" s="60"/>
      <c r="B772" s="60"/>
      <c r="C772" s="60"/>
      <c r="D772" s="60"/>
      <c r="E772" s="60"/>
      <c r="F772" s="60"/>
      <c r="G772" s="62"/>
      <c r="H772" s="60"/>
    </row>
    <row r="773" ht="15.75" customHeight="1">
      <c r="A773" s="60"/>
      <c r="B773" s="60"/>
      <c r="C773" s="60"/>
      <c r="D773" s="60"/>
      <c r="E773" s="60"/>
      <c r="F773" s="60"/>
      <c r="G773" s="62"/>
      <c r="H773" s="60"/>
    </row>
    <row r="774" ht="15.75" customHeight="1">
      <c r="A774" s="60"/>
      <c r="B774" s="60"/>
      <c r="C774" s="60"/>
      <c r="D774" s="60"/>
      <c r="E774" s="60"/>
      <c r="F774" s="60"/>
      <c r="G774" s="62"/>
      <c r="H774" s="60"/>
    </row>
    <row r="775" ht="15.75" customHeight="1">
      <c r="A775" s="60"/>
      <c r="B775" s="60"/>
      <c r="C775" s="60"/>
      <c r="D775" s="60"/>
      <c r="E775" s="60"/>
      <c r="F775" s="60"/>
      <c r="G775" s="62"/>
      <c r="H775" s="60"/>
    </row>
    <row r="776" ht="15.75" customHeight="1">
      <c r="A776" s="60"/>
      <c r="B776" s="60"/>
      <c r="C776" s="60"/>
      <c r="D776" s="60"/>
      <c r="E776" s="60"/>
      <c r="F776" s="60"/>
      <c r="G776" s="62"/>
      <c r="H776" s="60"/>
    </row>
    <row r="777" ht="15.75" customHeight="1">
      <c r="A777" s="60"/>
      <c r="B777" s="60"/>
      <c r="C777" s="60"/>
      <c r="D777" s="60"/>
      <c r="E777" s="60"/>
      <c r="F777" s="60"/>
      <c r="G777" s="62"/>
      <c r="H777" s="60"/>
    </row>
    <row r="778" ht="15.75" customHeight="1">
      <c r="A778" s="60"/>
      <c r="B778" s="60"/>
      <c r="C778" s="60"/>
      <c r="D778" s="60"/>
      <c r="E778" s="60"/>
      <c r="F778" s="60"/>
      <c r="G778" s="62"/>
      <c r="H778" s="60"/>
    </row>
    <row r="779" ht="15.75" customHeight="1">
      <c r="A779" s="60"/>
      <c r="B779" s="60"/>
      <c r="C779" s="60"/>
      <c r="D779" s="60"/>
      <c r="E779" s="60"/>
      <c r="F779" s="60"/>
      <c r="G779" s="62"/>
      <c r="H779" s="60"/>
    </row>
    <row r="780" ht="15.75" customHeight="1">
      <c r="A780" s="60"/>
      <c r="B780" s="60"/>
      <c r="C780" s="60"/>
      <c r="D780" s="60"/>
      <c r="E780" s="60"/>
      <c r="F780" s="60"/>
      <c r="G780" s="62"/>
      <c r="H780" s="60"/>
    </row>
    <row r="781" ht="15.75" customHeight="1">
      <c r="A781" s="60"/>
      <c r="B781" s="60"/>
      <c r="C781" s="60"/>
      <c r="D781" s="60"/>
      <c r="E781" s="60"/>
      <c r="F781" s="60"/>
      <c r="G781" s="62"/>
      <c r="H781" s="60"/>
    </row>
    <row r="782" ht="15.75" customHeight="1">
      <c r="A782" s="60"/>
      <c r="B782" s="60"/>
      <c r="C782" s="60"/>
      <c r="D782" s="60"/>
      <c r="E782" s="60"/>
      <c r="F782" s="60"/>
      <c r="G782" s="62"/>
      <c r="H782" s="60"/>
    </row>
    <row r="783" ht="15.75" customHeight="1">
      <c r="A783" s="60"/>
      <c r="B783" s="60"/>
      <c r="C783" s="60"/>
      <c r="D783" s="60"/>
      <c r="E783" s="60"/>
      <c r="F783" s="60"/>
      <c r="G783" s="62"/>
      <c r="H783" s="60"/>
    </row>
    <row r="784" ht="15.75" customHeight="1">
      <c r="A784" s="60"/>
      <c r="B784" s="60"/>
      <c r="C784" s="60"/>
      <c r="D784" s="60"/>
      <c r="E784" s="60"/>
      <c r="F784" s="60"/>
      <c r="G784" s="62"/>
      <c r="H784" s="60"/>
    </row>
    <row r="785" ht="15.75" customHeight="1">
      <c r="A785" s="60"/>
      <c r="B785" s="60"/>
      <c r="C785" s="60"/>
      <c r="D785" s="60"/>
      <c r="E785" s="60"/>
      <c r="F785" s="60"/>
      <c r="G785" s="62"/>
      <c r="H785" s="60"/>
    </row>
    <row r="786" ht="15.75" customHeight="1">
      <c r="A786" s="60"/>
      <c r="B786" s="60"/>
      <c r="C786" s="60"/>
      <c r="D786" s="60"/>
      <c r="E786" s="60"/>
      <c r="F786" s="60"/>
      <c r="G786" s="62"/>
      <c r="H786" s="60"/>
    </row>
    <row r="787" ht="15.75" customHeight="1">
      <c r="A787" s="60"/>
      <c r="B787" s="60"/>
      <c r="C787" s="60"/>
      <c r="D787" s="60"/>
      <c r="E787" s="60"/>
      <c r="F787" s="60"/>
      <c r="G787" s="62"/>
      <c r="H787" s="60"/>
    </row>
    <row r="788" ht="15.75" customHeight="1">
      <c r="A788" s="60"/>
      <c r="B788" s="60"/>
      <c r="C788" s="60"/>
      <c r="D788" s="60"/>
      <c r="E788" s="60"/>
      <c r="F788" s="60"/>
      <c r="G788" s="62"/>
      <c r="H788" s="60"/>
    </row>
    <row r="789" ht="15.75" customHeight="1">
      <c r="A789" s="60"/>
      <c r="B789" s="60"/>
      <c r="C789" s="60"/>
      <c r="D789" s="60"/>
      <c r="E789" s="60"/>
      <c r="F789" s="60"/>
      <c r="G789" s="62"/>
      <c r="H789" s="60"/>
    </row>
    <row r="790" ht="15.75" customHeight="1">
      <c r="A790" s="60"/>
      <c r="B790" s="60"/>
      <c r="C790" s="60"/>
      <c r="D790" s="60"/>
      <c r="E790" s="60"/>
      <c r="F790" s="60"/>
      <c r="G790" s="62"/>
      <c r="H790" s="60"/>
    </row>
    <row r="791" ht="15.75" customHeight="1">
      <c r="A791" s="60"/>
      <c r="B791" s="60"/>
      <c r="C791" s="60"/>
      <c r="D791" s="60"/>
      <c r="E791" s="60"/>
      <c r="F791" s="60"/>
      <c r="G791" s="62"/>
      <c r="H791" s="60"/>
    </row>
    <row r="792" ht="15.75" customHeight="1">
      <c r="A792" s="60"/>
      <c r="B792" s="60"/>
      <c r="C792" s="60"/>
      <c r="D792" s="60"/>
      <c r="E792" s="60"/>
      <c r="F792" s="60"/>
      <c r="G792" s="62"/>
      <c r="H792" s="60"/>
    </row>
    <row r="793" ht="15.75" customHeight="1">
      <c r="A793" s="60"/>
      <c r="B793" s="60"/>
      <c r="C793" s="60"/>
      <c r="D793" s="60"/>
      <c r="E793" s="60"/>
      <c r="F793" s="60"/>
      <c r="G793" s="62"/>
      <c r="H793" s="60"/>
    </row>
    <row r="794" ht="15.75" customHeight="1">
      <c r="A794" s="60"/>
      <c r="B794" s="60"/>
      <c r="C794" s="60"/>
      <c r="D794" s="60"/>
      <c r="E794" s="60"/>
      <c r="F794" s="60"/>
      <c r="G794" s="62"/>
      <c r="H794" s="60"/>
    </row>
    <row r="795" ht="15.75" customHeight="1">
      <c r="A795" s="60"/>
      <c r="B795" s="60"/>
      <c r="C795" s="60"/>
      <c r="D795" s="60"/>
      <c r="E795" s="60"/>
      <c r="F795" s="60"/>
      <c r="G795" s="62"/>
      <c r="H795" s="60"/>
    </row>
    <row r="796" ht="15.75" customHeight="1">
      <c r="A796" s="60"/>
      <c r="B796" s="60"/>
      <c r="C796" s="60"/>
      <c r="D796" s="60"/>
      <c r="E796" s="60"/>
      <c r="F796" s="60"/>
      <c r="G796" s="62"/>
      <c r="H796" s="60"/>
    </row>
    <row r="797" ht="15.75" customHeight="1">
      <c r="A797" s="60"/>
      <c r="B797" s="60"/>
      <c r="C797" s="60"/>
      <c r="D797" s="60"/>
      <c r="E797" s="60"/>
      <c r="F797" s="60"/>
      <c r="G797" s="62"/>
      <c r="H797" s="60"/>
    </row>
    <row r="798" ht="15.75" customHeight="1">
      <c r="A798" s="60"/>
      <c r="B798" s="60"/>
      <c r="C798" s="60"/>
      <c r="D798" s="60"/>
      <c r="E798" s="60"/>
      <c r="F798" s="60"/>
      <c r="G798" s="62"/>
      <c r="H798" s="60"/>
    </row>
    <row r="799" ht="15.75" customHeight="1">
      <c r="A799" s="60"/>
      <c r="B799" s="60"/>
      <c r="C799" s="60"/>
      <c r="D799" s="60"/>
      <c r="E799" s="60"/>
      <c r="F799" s="60"/>
      <c r="G799" s="62"/>
      <c r="H799" s="60"/>
    </row>
    <row r="800" ht="15.75" customHeight="1">
      <c r="A800" s="60"/>
      <c r="B800" s="60"/>
      <c r="C800" s="60"/>
      <c r="D800" s="60"/>
      <c r="E800" s="60"/>
      <c r="F800" s="60"/>
      <c r="G800" s="62"/>
      <c r="H800" s="60"/>
    </row>
    <row r="801" ht="15.75" customHeight="1">
      <c r="A801" s="60"/>
      <c r="B801" s="60"/>
      <c r="C801" s="60"/>
      <c r="D801" s="60"/>
      <c r="E801" s="60"/>
      <c r="F801" s="60"/>
      <c r="G801" s="62"/>
      <c r="H801" s="60"/>
    </row>
    <row r="802" ht="15.75" customHeight="1">
      <c r="A802" s="60"/>
      <c r="B802" s="60"/>
      <c r="C802" s="60"/>
      <c r="D802" s="60"/>
      <c r="E802" s="60"/>
      <c r="F802" s="60"/>
      <c r="G802" s="62"/>
      <c r="H802" s="60"/>
    </row>
    <row r="803" ht="15.75" customHeight="1">
      <c r="A803" s="60"/>
      <c r="B803" s="60"/>
      <c r="C803" s="60"/>
      <c r="D803" s="60"/>
      <c r="E803" s="60"/>
      <c r="F803" s="60"/>
      <c r="G803" s="62"/>
      <c r="H803" s="60"/>
    </row>
    <row r="804" ht="15.75" customHeight="1">
      <c r="A804" s="60"/>
      <c r="B804" s="60"/>
      <c r="C804" s="60"/>
      <c r="D804" s="60"/>
      <c r="E804" s="60"/>
      <c r="F804" s="60"/>
      <c r="G804" s="62"/>
      <c r="H804" s="60"/>
    </row>
    <row r="805" ht="15.75" customHeight="1">
      <c r="A805" s="60"/>
      <c r="B805" s="60"/>
      <c r="C805" s="60"/>
      <c r="D805" s="60"/>
      <c r="E805" s="60"/>
      <c r="F805" s="60"/>
      <c r="G805" s="62"/>
      <c r="H805" s="60"/>
    </row>
    <row r="806" ht="15.75" customHeight="1">
      <c r="A806" s="60"/>
      <c r="B806" s="60"/>
      <c r="C806" s="60"/>
      <c r="D806" s="60"/>
      <c r="E806" s="60"/>
      <c r="F806" s="60"/>
      <c r="G806" s="62"/>
      <c r="H806" s="60"/>
    </row>
    <row r="807" ht="15.75" customHeight="1">
      <c r="A807" s="60"/>
      <c r="B807" s="60"/>
      <c r="C807" s="60"/>
      <c r="D807" s="60"/>
      <c r="E807" s="60"/>
      <c r="F807" s="60"/>
      <c r="G807" s="62"/>
      <c r="H807" s="60"/>
    </row>
    <row r="808" ht="15.75" customHeight="1">
      <c r="A808" s="60"/>
      <c r="B808" s="60"/>
      <c r="C808" s="60"/>
      <c r="D808" s="60"/>
      <c r="E808" s="60"/>
      <c r="F808" s="60"/>
      <c r="G808" s="62"/>
      <c r="H808" s="60"/>
    </row>
    <row r="809" ht="15.75" customHeight="1">
      <c r="A809" s="60"/>
      <c r="B809" s="60"/>
      <c r="C809" s="60"/>
      <c r="D809" s="60"/>
      <c r="E809" s="60"/>
      <c r="F809" s="60"/>
      <c r="G809" s="62"/>
      <c r="H809" s="60"/>
    </row>
    <row r="810" ht="15.75" customHeight="1">
      <c r="A810" s="60"/>
      <c r="B810" s="60"/>
      <c r="C810" s="60"/>
      <c r="D810" s="60"/>
      <c r="E810" s="60"/>
      <c r="F810" s="60"/>
      <c r="G810" s="62"/>
      <c r="H810" s="60"/>
    </row>
    <row r="811" ht="15.75" customHeight="1">
      <c r="A811" s="60"/>
      <c r="B811" s="60"/>
      <c r="C811" s="60"/>
      <c r="D811" s="60"/>
      <c r="E811" s="60"/>
      <c r="F811" s="60"/>
      <c r="G811" s="62"/>
      <c r="H811" s="60"/>
    </row>
    <row r="812" ht="15.75" customHeight="1">
      <c r="A812" s="60"/>
      <c r="B812" s="60"/>
      <c r="C812" s="60"/>
      <c r="D812" s="60"/>
      <c r="E812" s="60"/>
      <c r="F812" s="60"/>
      <c r="G812" s="62"/>
      <c r="H812" s="60"/>
    </row>
    <row r="813" ht="15.75" customHeight="1">
      <c r="A813" s="60"/>
      <c r="B813" s="60"/>
      <c r="C813" s="60"/>
      <c r="D813" s="60"/>
      <c r="E813" s="60"/>
      <c r="F813" s="60"/>
      <c r="G813" s="62"/>
      <c r="H813" s="60"/>
    </row>
    <row r="814" ht="15.75" customHeight="1">
      <c r="A814" s="60"/>
      <c r="B814" s="60"/>
      <c r="C814" s="60"/>
      <c r="D814" s="60"/>
      <c r="E814" s="60"/>
      <c r="F814" s="60"/>
      <c r="G814" s="62"/>
      <c r="H814" s="60"/>
    </row>
    <row r="815" ht="15.75" customHeight="1">
      <c r="A815" s="60"/>
      <c r="B815" s="60"/>
      <c r="C815" s="60"/>
      <c r="D815" s="60"/>
      <c r="E815" s="60"/>
      <c r="F815" s="60"/>
      <c r="G815" s="62"/>
      <c r="H815" s="60"/>
    </row>
    <row r="816" ht="15.75" customHeight="1">
      <c r="A816" s="60"/>
      <c r="B816" s="60"/>
      <c r="C816" s="60"/>
      <c r="D816" s="60"/>
      <c r="E816" s="60"/>
      <c r="F816" s="60"/>
      <c r="G816" s="62"/>
      <c r="H816" s="60"/>
    </row>
    <row r="817" ht="15.75" customHeight="1">
      <c r="A817" s="60"/>
      <c r="B817" s="60"/>
      <c r="C817" s="60"/>
      <c r="D817" s="60"/>
      <c r="E817" s="60"/>
      <c r="F817" s="60"/>
      <c r="G817" s="62"/>
      <c r="H817" s="60"/>
    </row>
    <row r="818" ht="15.75" customHeight="1">
      <c r="A818" s="60"/>
      <c r="B818" s="60"/>
      <c r="C818" s="60"/>
      <c r="D818" s="60"/>
      <c r="E818" s="60"/>
      <c r="F818" s="60"/>
      <c r="G818" s="62"/>
      <c r="H818" s="60"/>
    </row>
    <row r="819" ht="15.75" customHeight="1">
      <c r="A819" s="60"/>
      <c r="B819" s="60"/>
      <c r="C819" s="60"/>
      <c r="D819" s="60"/>
      <c r="E819" s="60"/>
      <c r="F819" s="60"/>
      <c r="G819" s="62"/>
      <c r="H819" s="60"/>
    </row>
    <row r="820" ht="15.75" customHeight="1">
      <c r="A820" s="60"/>
      <c r="B820" s="60"/>
      <c r="C820" s="60"/>
      <c r="D820" s="60"/>
      <c r="E820" s="60"/>
      <c r="F820" s="60"/>
      <c r="G820" s="62"/>
      <c r="H820" s="60"/>
    </row>
    <row r="821" ht="15.75" customHeight="1">
      <c r="A821" s="60"/>
      <c r="B821" s="60"/>
      <c r="C821" s="60"/>
      <c r="D821" s="60"/>
      <c r="E821" s="60"/>
      <c r="F821" s="60"/>
      <c r="G821" s="62"/>
      <c r="H821" s="60"/>
    </row>
    <row r="822" ht="15.75" customHeight="1">
      <c r="A822" s="60"/>
      <c r="B822" s="60"/>
      <c r="C822" s="60"/>
      <c r="D822" s="60"/>
      <c r="E822" s="60"/>
      <c r="F822" s="60"/>
      <c r="G822" s="62"/>
      <c r="H822" s="60"/>
    </row>
    <row r="823" ht="15.75" customHeight="1">
      <c r="A823" s="60"/>
      <c r="B823" s="60"/>
      <c r="C823" s="60"/>
      <c r="D823" s="60"/>
      <c r="E823" s="60"/>
      <c r="F823" s="60"/>
      <c r="G823" s="62"/>
      <c r="H823" s="60"/>
    </row>
    <row r="824" ht="15.75" customHeight="1">
      <c r="A824" s="60"/>
      <c r="B824" s="60"/>
      <c r="C824" s="60"/>
      <c r="D824" s="60"/>
      <c r="E824" s="60"/>
      <c r="F824" s="60"/>
      <c r="G824" s="62"/>
      <c r="H824" s="60"/>
    </row>
    <row r="825" ht="15.75" customHeight="1">
      <c r="A825" s="60"/>
      <c r="B825" s="60"/>
      <c r="C825" s="60"/>
      <c r="D825" s="60"/>
      <c r="E825" s="60"/>
      <c r="F825" s="60"/>
      <c r="G825" s="62"/>
      <c r="H825" s="60"/>
    </row>
    <row r="826" ht="15.75" customHeight="1">
      <c r="A826" s="60"/>
      <c r="B826" s="60"/>
      <c r="C826" s="60"/>
      <c r="D826" s="60"/>
      <c r="E826" s="60"/>
      <c r="F826" s="60"/>
      <c r="G826" s="62"/>
      <c r="H826" s="60"/>
    </row>
    <row r="827" ht="15.75" customHeight="1">
      <c r="A827" s="60"/>
      <c r="B827" s="60"/>
      <c r="C827" s="60"/>
      <c r="D827" s="60"/>
      <c r="E827" s="60"/>
      <c r="F827" s="60"/>
      <c r="G827" s="62"/>
      <c r="H827" s="60"/>
    </row>
    <row r="828" ht="15.75" customHeight="1">
      <c r="A828" s="60"/>
      <c r="B828" s="60"/>
      <c r="C828" s="60"/>
      <c r="D828" s="60"/>
      <c r="E828" s="60"/>
      <c r="F828" s="60"/>
      <c r="G828" s="62"/>
      <c r="H828" s="60"/>
    </row>
    <row r="829" ht="15.75" customHeight="1">
      <c r="A829" s="60"/>
      <c r="B829" s="60"/>
      <c r="C829" s="60"/>
      <c r="D829" s="60"/>
      <c r="E829" s="60"/>
      <c r="F829" s="60"/>
      <c r="G829" s="62"/>
      <c r="H829" s="60"/>
    </row>
    <row r="830" ht="15.75" customHeight="1">
      <c r="A830" s="60"/>
      <c r="B830" s="60"/>
      <c r="C830" s="60"/>
      <c r="D830" s="60"/>
      <c r="E830" s="60"/>
      <c r="F830" s="60"/>
      <c r="G830" s="62"/>
      <c r="H830" s="60"/>
    </row>
    <row r="831" ht="15.75" customHeight="1">
      <c r="A831" s="60"/>
      <c r="B831" s="60"/>
      <c r="C831" s="60"/>
      <c r="D831" s="60"/>
      <c r="E831" s="60"/>
      <c r="F831" s="60"/>
      <c r="G831" s="62"/>
      <c r="H831" s="60"/>
    </row>
    <row r="832" ht="15.75" customHeight="1">
      <c r="A832" s="60"/>
      <c r="B832" s="60"/>
      <c r="C832" s="60"/>
      <c r="D832" s="60"/>
      <c r="E832" s="60"/>
      <c r="F832" s="60"/>
      <c r="G832" s="62"/>
      <c r="H832" s="60"/>
    </row>
    <row r="833" ht="15.75" customHeight="1">
      <c r="A833" s="60"/>
      <c r="B833" s="60"/>
      <c r="C833" s="60"/>
      <c r="D833" s="60"/>
      <c r="E833" s="60"/>
      <c r="F833" s="60"/>
      <c r="G833" s="62"/>
      <c r="H833" s="60"/>
    </row>
    <row r="834" ht="15.75" customHeight="1">
      <c r="A834" s="60"/>
      <c r="B834" s="60"/>
      <c r="C834" s="60"/>
      <c r="D834" s="60"/>
      <c r="E834" s="60"/>
      <c r="F834" s="60"/>
      <c r="G834" s="62"/>
      <c r="H834" s="60"/>
    </row>
    <row r="835" ht="15.75" customHeight="1">
      <c r="A835" s="60"/>
      <c r="B835" s="60"/>
      <c r="C835" s="60"/>
      <c r="D835" s="60"/>
      <c r="E835" s="60"/>
      <c r="F835" s="60"/>
      <c r="G835" s="62"/>
      <c r="H835" s="60"/>
    </row>
    <row r="836" ht="15.75" customHeight="1">
      <c r="A836" s="60"/>
      <c r="B836" s="60"/>
      <c r="C836" s="60"/>
      <c r="D836" s="60"/>
      <c r="E836" s="60"/>
      <c r="F836" s="60"/>
      <c r="G836" s="62"/>
      <c r="H836" s="60"/>
    </row>
    <row r="837" ht="15.75" customHeight="1">
      <c r="A837" s="60"/>
      <c r="B837" s="60"/>
      <c r="C837" s="60"/>
      <c r="D837" s="60"/>
      <c r="E837" s="60"/>
      <c r="F837" s="60"/>
      <c r="G837" s="62"/>
      <c r="H837" s="60"/>
    </row>
    <row r="838" ht="15.75" customHeight="1">
      <c r="A838" s="60"/>
      <c r="B838" s="60"/>
      <c r="C838" s="60"/>
      <c r="D838" s="60"/>
      <c r="E838" s="60"/>
      <c r="F838" s="60"/>
      <c r="G838" s="62"/>
      <c r="H838" s="60"/>
    </row>
    <row r="839" ht="15.75" customHeight="1">
      <c r="A839" s="60"/>
      <c r="B839" s="60"/>
      <c r="C839" s="60"/>
      <c r="D839" s="60"/>
      <c r="E839" s="60"/>
      <c r="F839" s="60"/>
      <c r="G839" s="62"/>
      <c r="H839" s="60"/>
    </row>
    <row r="840" ht="15.75" customHeight="1">
      <c r="A840" s="60"/>
      <c r="B840" s="60"/>
      <c r="C840" s="60"/>
      <c r="D840" s="60"/>
      <c r="E840" s="60"/>
      <c r="F840" s="60"/>
      <c r="G840" s="62"/>
      <c r="H840" s="60"/>
    </row>
    <row r="841" ht="15.75" customHeight="1">
      <c r="A841" s="60"/>
      <c r="B841" s="60"/>
      <c r="C841" s="60"/>
      <c r="D841" s="60"/>
      <c r="E841" s="60"/>
      <c r="F841" s="60"/>
      <c r="G841" s="62"/>
      <c r="H841" s="60"/>
    </row>
    <row r="842" ht="15.75" customHeight="1">
      <c r="A842" s="60"/>
      <c r="B842" s="60"/>
      <c r="C842" s="60"/>
      <c r="D842" s="60"/>
      <c r="E842" s="60"/>
      <c r="F842" s="60"/>
      <c r="G842" s="62"/>
      <c r="H842" s="60"/>
    </row>
    <row r="843" ht="15.75" customHeight="1">
      <c r="A843" s="60"/>
      <c r="B843" s="60"/>
      <c r="C843" s="60"/>
      <c r="D843" s="60"/>
      <c r="E843" s="60"/>
      <c r="F843" s="60"/>
      <c r="G843" s="62"/>
      <c r="H843" s="60"/>
    </row>
    <row r="844" ht="15.75" customHeight="1">
      <c r="A844" s="60"/>
      <c r="B844" s="60"/>
      <c r="C844" s="60"/>
      <c r="D844" s="60"/>
      <c r="E844" s="60"/>
      <c r="F844" s="60"/>
      <c r="G844" s="62"/>
      <c r="H844" s="60"/>
    </row>
    <row r="845" ht="15.75" customHeight="1">
      <c r="A845" s="60"/>
      <c r="B845" s="60"/>
      <c r="C845" s="60"/>
      <c r="D845" s="60"/>
      <c r="E845" s="60"/>
      <c r="F845" s="60"/>
      <c r="G845" s="62"/>
      <c r="H845" s="60"/>
    </row>
    <row r="846" ht="15.75" customHeight="1">
      <c r="A846" s="60"/>
      <c r="B846" s="60"/>
      <c r="C846" s="60"/>
      <c r="D846" s="60"/>
      <c r="E846" s="60"/>
      <c r="F846" s="60"/>
      <c r="G846" s="62"/>
      <c r="H846" s="60"/>
    </row>
    <row r="847" ht="15.75" customHeight="1">
      <c r="A847" s="60"/>
      <c r="B847" s="60"/>
      <c r="C847" s="60"/>
      <c r="D847" s="60"/>
      <c r="E847" s="60"/>
      <c r="F847" s="60"/>
      <c r="G847" s="62"/>
      <c r="H847" s="60"/>
    </row>
    <row r="848" ht="15.75" customHeight="1">
      <c r="A848" s="60"/>
      <c r="B848" s="60"/>
      <c r="C848" s="60"/>
      <c r="D848" s="60"/>
      <c r="E848" s="60"/>
      <c r="F848" s="60"/>
      <c r="G848" s="62"/>
      <c r="H848" s="60"/>
    </row>
    <row r="849" ht="15.75" customHeight="1">
      <c r="A849" s="60"/>
      <c r="B849" s="60"/>
      <c r="C849" s="60"/>
      <c r="D849" s="60"/>
      <c r="E849" s="60"/>
      <c r="F849" s="60"/>
      <c r="G849" s="62"/>
      <c r="H849" s="60"/>
    </row>
    <row r="850" ht="15.75" customHeight="1">
      <c r="A850" s="60"/>
      <c r="B850" s="60"/>
      <c r="C850" s="60"/>
      <c r="D850" s="60"/>
      <c r="E850" s="60"/>
      <c r="F850" s="60"/>
      <c r="G850" s="62"/>
      <c r="H850" s="60"/>
    </row>
    <row r="851" ht="15.75" customHeight="1">
      <c r="A851" s="60"/>
      <c r="B851" s="60"/>
      <c r="C851" s="60"/>
      <c r="D851" s="60"/>
      <c r="E851" s="60"/>
      <c r="F851" s="60"/>
      <c r="G851" s="62"/>
      <c r="H851" s="60"/>
    </row>
    <row r="852" ht="15.75" customHeight="1">
      <c r="A852" s="60"/>
      <c r="B852" s="60"/>
      <c r="C852" s="60"/>
      <c r="D852" s="60"/>
      <c r="E852" s="60"/>
      <c r="F852" s="60"/>
      <c r="G852" s="62"/>
      <c r="H852" s="60"/>
    </row>
    <row r="853" ht="15.75" customHeight="1">
      <c r="A853" s="60"/>
      <c r="B853" s="60"/>
      <c r="C853" s="60"/>
      <c r="D853" s="60"/>
      <c r="E853" s="60"/>
      <c r="F853" s="60"/>
      <c r="G853" s="62"/>
      <c r="H853" s="60"/>
    </row>
    <row r="854" ht="15.75" customHeight="1">
      <c r="A854" s="60"/>
      <c r="B854" s="60"/>
      <c r="C854" s="60"/>
      <c r="D854" s="60"/>
      <c r="E854" s="60"/>
      <c r="F854" s="60"/>
      <c r="G854" s="62"/>
      <c r="H854" s="60"/>
    </row>
    <row r="855" ht="15.75" customHeight="1">
      <c r="A855" s="60"/>
      <c r="B855" s="60"/>
      <c r="C855" s="60"/>
      <c r="D855" s="60"/>
      <c r="E855" s="60"/>
      <c r="F855" s="60"/>
      <c r="G855" s="62"/>
      <c r="H855" s="60"/>
    </row>
    <row r="856" ht="15.75" customHeight="1">
      <c r="A856" s="60"/>
      <c r="B856" s="60"/>
      <c r="C856" s="60"/>
      <c r="D856" s="60"/>
      <c r="E856" s="60"/>
      <c r="F856" s="60"/>
      <c r="G856" s="62"/>
      <c r="H856" s="60"/>
    </row>
    <row r="857" ht="15.75" customHeight="1">
      <c r="A857" s="60"/>
      <c r="B857" s="60"/>
      <c r="C857" s="60"/>
      <c r="D857" s="60"/>
      <c r="E857" s="60"/>
      <c r="F857" s="60"/>
      <c r="G857" s="62"/>
      <c r="H857" s="60"/>
    </row>
    <row r="858" ht="15.75" customHeight="1">
      <c r="A858" s="60"/>
      <c r="B858" s="60"/>
      <c r="C858" s="60"/>
      <c r="D858" s="60"/>
      <c r="E858" s="60"/>
      <c r="F858" s="60"/>
      <c r="G858" s="62"/>
      <c r="H858" s="60"/>
    </row>
    <row r="859" ht="15.75" customHeight="1">
      <c r="A859" s="60"/>
      <c r="B859" s="60"/>
      <c r="C859" s="60"/>
      <c r="D859" s="60"/>
      <c r="E859" s="60"/>
      <c r="F859" s="60"/>
      <c r="G859" s="62"/>
      <c r="H859" s="60"/>
    </row>
    <row r="860" ht="15.75" customHeight="1">
      <c r="A860" s="60"/>
      <c r="B860" s="60"/>
      <c r="C860" s="60"/>
      <c r="D860" s="60"/>
      <c r="E860" s="60"/>
      <c r="F860" s="60"/>
      <c r="G860" s="62"/>
      <c r="H860" s="60"/>
    </row>
    <row r="861" ht="15.75" customHeight="1">
      <c r="A861" s="60"/>
      <c r="B861" s="60"/>
      <c r="C861" s="60"/>
      <c r="D861" s="60"/>
      <c r="E861" s="60"/>
      <c r="F861" s="60"/>
      <c r="G861" s="62"/>
      <c r="H861" s="60"/>
    </row>
    <row r="862" ht="15.75" customHeight="1">
      <c r="A862" s="60"/>
      <c r="B862" s="60"/>
      <c r="C862" s="60"/>
      <c r="D862" s="60"/>
      <c r="E862" s="60"/>
      <c r="F862" s="60"/>
      <c r="G862" s="62"/>
      <c r="H862" s="60"/>
    </row>
    <row r="863" ht="15.75" customHeight="1">
      <c r="A863" s="60"/>
      <c r="B863" s="60"/>
      <c r="C863" s="60"/>
      <c r="D863" s="60"/>
      <c r="E863" s="60"/>
      <c r="F863" s="60"/>
      <c r="G863" s="62"/>
      <c r="H863" s="60"/>
    </row>
    <row r="864" ht="15.75" customHeight="1">
      <c r="A864" s="60"/>
      <c r="B864" s="60"/>
      <c r="C864" s="60"/>
      <c r="D864" s="60"/>
      <c r="E864" s="60"/>
      <c r="F864" s="60"/>
      <c r="G864" s="62"/>
      <c r="H864" s="60"/>
    </row>
    <row r="865" ht="15.75" customHeight="1">
      <c r="A865" s="60"/>
      <c r="B865" s="60"/>
      <c r="C865" s="60"/>
      <c r="D865" s="60"/>
      <c r="E865" s="60"/>
      <c r="F865" s="60"/>
      <c r="G865" s="62"/>
      <c r="H865" s="60"/>
    </row>
    <row r="866" ht="15.75" customHeight="1">
      <c r="A866" s="60"/>
      <c r="B866" s="60"/>
      <c r="C866" s="60"/>
      <c r="D866" s="60"/>
      <c r="E866" s="60"/>
      <c r="F866" s="60"/>
      <c r="G866" s="62"/>
      <c r="H866" s="60"/>
    </row>
    <row r="867" ht="15.75" customHeight="1">
      <c r="A867" s="60"/>
      <c r="B867" s="60"/>
      <c r="C867" s="60"/>
      <c r="D867" s="60"/>
      <c r="E867" s="60"/>
      <c r="F867" s="60"/>
      <c r="G867" s="62"/>
      <c r="H867" s="60"/>
    </row>
    <row r="868" ht="15.75" customHeight="1">
      <c r="A868" s="60"/>
      <c r="B868" s="60"/>
      <c r="C868" s="60"/>
      <c r="D868" s="60"/>
      <c r="E868" s="60"/>
      <c r="F868" s="60"/>
      <c r="G868" s="62"/>
      <c r="H868" s="60"/>
    </row>
    <row r="869" ht="15.75" customHeight="1">
      <c r="A869" s="60"/>
      <c r="B869" s="60"/>
      <c r="C869" s="60"/>
      <c r="D869" s="60"/>
      <c r="E869" s="60"/>
      <c r="F869" s="60"/>
      <c r="G869" s="62"/>
      <c r="H869" s="60"/>
    </row>
    <row r="870" ht="15.75" customHeight="1">
      <c r="A870" s="60"/>
      <c r="B870" s="60"/>
      <c r="C870" s="60"/>
      <c r="D870" s="60"/>
      <c r="E870" s="60"/>
      <c r="F870" s="60"/>
      <c r="G870" s="62"/>
      <c r="H870" s="60"/>
    </row>
    <row r="871" ht="15.75" customHeight="1">
      <c r="A871" s="60"/>
      <c r="B871" s="60"/>
      <c r="C871" s="60"/>
      <c r="D871" s="60"/>
      <c r="E871" s="60"/>
      <c r="F871" s="60"/>
      <c r="G871" s="62"/>
      <c r="H871" s="60"/>
    </row>
    <row r="872" ht="15.75" customHeight="1">
      <c r="A872" s="60"/>
      <c r="B872" s="60"/>
      <c r="C872" s="60"/>
      <c r="D872" s="60"/>
      <c r="E872" s="60"/>
      <c r="F872" s="60"/>
      <c r="G872" s="62"/>
      <c r="H872" s="60"/>
    </row>
    <row r="873" ht="15.75" customHeight="1">
      <c r="A873" s="60"/>
      <c r="B873" s="60"/>
      <c r="C873" s="60"/>
      <c r="D873" s="60"/>
      <c r="E873" s="60"/>
      <c r="F873" s="60"/>
      <c r="G873" s="62"/>
      <c r="H873" s="60"/>
    </row>
    <row r="874" ht="15.75" customHeight="1">
      <c r="A874" s="60"/>
      <c r="B874" s="60"/>
      <c r="C874" s="60"/>
      <c r="D874" s="60"/>
      <c r="E874" s="60"/>
      <c r="F874" s="60"/>
      <c r="G874" s="62"/>
      <c r="H874" s="60"/>
    </row>
    <row r="875" ht="15.75" customHeight="1">
      <c r="A875" s="60"/>
      <c r="B875" s="60"/>
      <c r="C875" s="60"/>
      <c r="D875" s="60"/>
      <c r="E875" s="60"/>
      <c r="F875" s="60"/>
      <c r="G875" s="62"/>
      <c r="H875" s="60"/>
    </row>
    <row r="876" ht="15.75" customHeight="1">
      <c r="A876" s="60"/>
      <c r="B876" s="60"/>
      <c r="C876" s="60"/>
      <c r="D876" s="60"/>
      <c r="E876" s="60"/>
      <c r="F876" s="60"/>
      <c r="G876" s="62"/>
      <c r="H876" s="60"/>
    </row>
    <row r="877" ht="15.75" customHeight="1">
      <c r="A877" s="60"/>
      <c r="B877" s="60"/>
      <c r="C877" s="60"/>
      <c r="D877" s="60"/>
      <c r="E877" s="60"/>
      <c r="F877" s="60"/>
      <c r="G877" s="62"/>
      <c r="H877" s="60"/>
    </row>
    <row r="878" ht="15.75" customHeight="1">
      <c r="A878" s="60"/>
      <c r="B878" s="60"/>
      <c r="C878" s="60"/>
      <c r="D878" s="60"/>
      <c r="E878" s="60"/>
      <c r="F878" s="60"/>
      <c r="G878" s="62"/>
      <c r="H878" s="60"/>
    </row>
    <row r="879" ht="15.75" customHeight="1">
      <c r="A879" s="60"/>
      <c r="B879" s="60"/>
      <c r="C879" s="60"/>
      <c r="D879" s="60"/>
      <c r="E879" s="60"/>
      <c r="F879" s="60"/>
      <c r="G879" s="62"/>
      <c r="H879" s="60"/>
    </row>
    <row r="880" ht="15.75" customHeight="1">
      <c r="A880" s="60"/>
      <c r="B880" s="60"/>
      <c r="C880" s="60"/>
      <c r="D880" s="60"/>
      <c r="E880" s="60"/>
      <c r="F880" s="60"/>
      <c r="G880" s="62"/>
      <c r="H880" s="60"/>
    </row>
    <row r="881" ht="15.75" customHeight="1">
      <c r="A881" s="60"/>
      <c r="B881" s="60"/>
      <c r="C881" s="60"/>
      <c r="D881" s="60"/>
      <c r="E881" s="60"/>
      <c r="F881" s="60"/>
      <c r="G881" s="62"/>
      <c r="H881" s="60"/>
    </row>
    <row r="882" ht="15.75" customHeight="1">
      <c r="A882" s="60"/>
      <c r="B882" s="60"/>
      <c r="C882" s="60"/>
      <c r="D882" s="60"/>
      <c r="E882" s="60"/>
      <c r="F882" s="60"/>
      <c r="G882" s="62"/>
      <c r="H882" s="60"/>
    </row>
    <row r="883" ht="15.75" customHeight="1">
      <c r="A883" s="60"/>
      <c r="B883" s="60"/>
      <c r="C883" s="60"/>
      <c r="D883" s="60"/>
      <c r="E883" s="60"/>
      <c r="F883" s="60"/>
      <c r="G883" s="62"/>
      <c r="H883" s="60"/>
    </row>
    <row r="884" ht="15.75" customHeight="1">
      <c r="A884" s="60"/>
      <c r="B884" s="60"/>
      <c r="C884" s="60"/>
      <c r="D884" s="60"/>
      <c r="E884" s="60"/>
      <c r="F884" s="60"/>
      <c r="G884" s="62"/>
      <c r="H884" s="60"/>
    </row>
    <row r="885" ht="15.75" customHeight="1">
      <c r="A885" s="60"/>
      <c r="B885" s="60"/>
      <c r="C885" s="60"/>
      <c r="D885" s="60"/>
      <c r="E885" s="60"/>
      <c r="F885" s="60"/>
      <c r="G885" s="62"/>
      <c r="H885" s="60"/>
    </row>
    <row r="886" ht="15.75" customHeight="1">
      <c r="A886" s="60"/>
      <c r="B886" s="60"/>
      <c r="C886" s="60"/>
      <c r="D886" s="60"/>
      <c r="E886" s="60"/>
      <c r="F886" s="60"/>
      <c r="G886" s="62"/>
      <c r="H886" s="60"/>
    </row>
    <row r="887" ht="15.75" customHeight="1">
      <c r="A887" s="60"/>
      <c r="B887" s="60"/>
      <c r="C887" s="60"/>
      <c r="D887" s="60"/>
      <c r="E887" s="60"/>
      <c r="F887" s="60"/>
      <c r="G887" s="62"/>
      <c r="H887" s="60"/>
    </row>
    <row r="888" ht="15.75" customHeight="1">
      <c r="A888" s="60"/>
      <c r="B888" s="60"/>
      <c r="C888" s="60"/>
      <c r="D888" s="60"/>
      <c r="E888" s="60"/>
      <c r="F888" s="60"/>
      <c r="G888" s="62"/>
      <c r="H888" s="60"/>
    </row>
    <row r="889" ht="15.75" customHeight="1">
      <c r="A889" s="60"/>
      <c r="B889" s="60"/>
      <c r="C889" s="60"/>
      <c r="D889" s="60"/>
      <c r="E889" s="60"/>
      <c r="F889" s="60"/>
      <c r="G889" s="62"/>
      <c r="H889" s="60"/>
    </row>
    <row r="890" ht="15.75" customHeight="1">
      <c r="A890" s="60"/>
      <c r="B890" s="60"/>
      <c r="C890" s="60"/>
      <c r="D890" s="60"/>
      <c r="E890" s="60"/>
      <c r="F890" s="60"/>
      <c r="G890" s="62"/>
      <c r="H890" s="60"/>
    </row>
    <row r="891" ht="15.75" customHeight="1">
      <c r="A891" s="60"/>
      <c r="B891" s="60"/>
      <c r="C891" s="60"/>
      <c r="D891" s="60"/>
      <c r="E891" s="60"/>
      <c r="F891" s="60"/>
      <c r="G891" s="62"/>
      <c r="H891" s="60"/>
    </row>
    <row r="892" ht="15.75" customHeight="1">
      <c r="A892" s="60"/>
      <c r="B892" s="60"/>
      <c r="C892" s="60"/>
      <c r="D892" s="60"/>
      <c r="E892" s="60"/>
      <c r="F892" s="60"/>
      <c r="G892" s="62"/>
      <c r="H892" s="60"/>
    </row>
    <row r="893" ht="15.75" customHeight="1">
      <c r="A893" s="60"/>
      <c r="B893" s="60"/>
      <c r="C893" s="60"/>
      <c r="D893" s="60"/>
      <c r="E893" s="60"/>
      <c r="F893" s="60"/>
      <c r="G893" s="62"/>
      <c r="H893" s="60"/>
    </row>
    <row r="894" ht="15.75" customHeight="1">
      <c r="A894" s="60"/>
      <c r="B894" s="60"/>
      <c r="C894" s="60"/>
      <c r="D894" s="60"/>
      <c r="E894" s="60"/>
      <c r="F894" s="60"/>
      <c r="G894" s="62"/>
      <c r="H894" s="60"/>
    </row>
    <row r="895" ht="15.75" customHeight="1">
      <c r="A895" s="60"/>
      <c r="B895" s="60"/>
      <c r="C895" s="60"/>
      <c r="D895" s="60"/>
      <c r="E895" s="60"/>
      <c r="F895" s="60"/>
      <c r="G895" s="62"/>
      <c r="H895" s="60"/>
    </row>
    <row r="896" ht="15.75" customHeight="1">
      <c r="A896" s="60"/>
      <c r="B896" s="60"/>
      <c r="C896" s="60"/>
      <c r="D896" s="60"/>
      <c r="E896" s="60"/>
      <c r="F896" s="60"/>
      <c r="G896" s="62"/>
      <c r="H896" s="60"/>
    </row>
    <row r="897" ht="15.75" customHeight="1">
      <c r="A897" s="60"/>
      <c r="B897" s="60"/>
      <c r="C897" s="60"/>
      <c r="D897" s="60"/>
      <c r="E897" s="60"/>
      <c r="F897" s="60"/>
      <c r="G897" s="62"/>
      <c r="H897" s="60"/>
    </row>
    <row r="898" ht="15.75" customHeight="1">
      <c r="A898" s="60"/>
      <c r="B898" s="60"/>
      <c r="C898" s="60"/>
      <c r="D898" s="60"/>
      <c r="E898" s="60"/>
      <c r="F898" s="60"/>
      <c r="G898" s="62"/>
      <c r="H898" s="60"/>
    </row>
    <row r="899" ht="15.75" customHeight="1">
      <c r="A899" s="60"/>
      <c r="B899" s="60"/>
      <c r="C899" s="60"/>
      <c r="D899" s="60"/>
      <c r="E899" s="60"/>
      <c r="F899" s="60"/>
      <c r="G899" s="62"/>
      <c r="H899" s="60"/>
    </row>
    <row r="900" ht="15.75" customHeight="1">
      <c r="A900" s="60"/>
      <c r="B900" s="60"/>
      <c r="C900" s="60"/>
      <c r="D900" s="60"/>
      <c r="E900" s="60"/>
      <c r="F900" s="60"/>
      <c r="G900" s="62"/>
      <c r="H900" s="60"/>
    </row>
    <row r="901" ht="15.75" customHeight="1">
      <c r="A901" s="60"/>
      <c r="B901" s="60"/>
      <c r="C901" s="60"/>
      <c r="D901" s="60"/>
      <c r="E901" s="60"/>
      <c r="F901" s="60"/>
      <c r="G901" s="62"/>
      <c r="H901" s="60"/>
    </row>
    <row r="902" ht="15.75" customHeight="1">
      <c r="A902" s="60"/>
      <c r="B902" s="60"/>
      <c r="C902" s="60"/>
      <c r="D902" s="60"/>
      <c r="E902" s="60"/>
      <c r="F902" s="60"/>
      <c r="G902" s="62"/>
      <c r="H902" s="60"/>
    </row>
    <row r="903" ht="15.75" customHeight="1">
      <c r="A903" s="60"/>
      <c r="B903" s="60"/>
      <c r="C903" s="60"/>
      <c r="D903" s="60"/>
      <c r="E903" s="60"/>
      <c r="F903" s="60"/>
      <c r="G903" s="62"/>
      <c r="H903" s="60"/>
    </row>
    <row r="904" ht="15.75" customHeight="1">
      <c r="A904" s="60"/>
      <c r="B904" s="60"/>
      <c r="C904" s="60"/>
      <c r="D904" s="60"/>
      <c r="E904" s="60"/>
      <c r="F904" s="60"/>
      <c r="G904" s="62"/>
      <c r="H904" s="60"/>
    </row>
    <row r="905" ht="15.75" customHeight="1">
      <c r="A905" s="60"/>
      <c r="B905" s="60"/>
      <c r="C905" s="60"/>
      <c r="D905" s="60"/>
      <c r="E905" s="60"/>
      <c r="F905" s="60"/>
      <c r="G905" s="62"/>
      <c r="H905" s="60"/>
    </row>
    <row r="906" ht="15.75" customHeight="1">
      <c r="A906" s="60"/>
      <c r="B906" s="60"/>
      <c r="C906" s="60"/>
      <c r="D906" s="60"/>
      <c r="E906" s="60"/>
      <c r="F906" s="60"/>
      <c r="G906" s="62"/>
      <c r="H906" s="60"/>
    </row>
    <row r="907" ht="15.75" customHeight="1">
      <c r="A907" s="60"/>
      <c r="B907" s="60"/>
      <c r="C907" s="60"/>
      <c r="D907" s="60"/>
      <c r="E907" s="60"/>
      <c r="F907" s="60"/>
      <c r="G907" s="62"/>
      <c r="H907" s="60"/>
    </row>
    <row r="908" ht="15.75" customHeight="1">
      <c r="A908" s="60"/>
      <c r="B908" s="60"/>
      <c r="C908" s="60"/>
      <c r="D908" s="60"/>
      <c r="E908" s="60"/>
      <c r="F908" s="60"/>
      <c r="G908" s="62"/>
      <c r="H908" s="60"/>
    </row>
    <row r="909" ht="15.75" customHeight="1">
      <c r="A909" s="60"/>
      <c r="B909" s="60"/>
      <c r="C909" s="60"/>
      <c r="D909" s="60"/>
      <c r="E909" s="60"/>
      <c r="F909" s="60"/>
      <c r="G909" s="62"/>
      <c r="H909" s="60"/>
    </row>
    <row r="910" ht="15.75" customHeight="1">
      <c r="A910" s="60"/>
      <c r="B910" s="60"/>
      <c r="C910" s="60"/>
      <c r="D910" s="60"/>
      <c r="E910" s="60"/>
      <c r="F910" s="60"/>
      <c r="G910" s="62"/>
      <c r="H910" s="60"/>
    </row>
    <row r="911" ht="15.75" customHeight="1">
      <c r="A911" s="60"/>
      <c r="B911" s="60"/>
      <c r="C911" s="60"/>
      <c r="D911" s="60"/>
      <c r="E911" s="60"/>
      <c r="F911" s="60"/>
      <c r="G911" s="62"/>
      <c r="H911" s="60"/>
    </row>
    <row r="912" ht="15.75" customHeight="1">
      <c r="A912" s="60"/>
      <c r="B912" s="60"/>
      <c r="C912" s="60"/>
      <c r="D912" s="60"/>
      <c r="E912" s="60"/>
      <c r="F912" s="60"/>
      <c r="G912" s="62"/>
      <c r="H912" s="60"/>
    </row>
    <row r="913" ht="15.75" customHeight="1">
      <c r="A913" s="60"/>
      <c r="B913" s="60"/>
      <c r="C913" s="60"/>
      <c r="D913" s="60"/>
      <c r="E913" s="60"/>
      <c r="F913" s="60"/>
      <c r="G913" s="62"/>
      <c r="H913" s="60"/>
    </row>
    <row r="914" ht="15.75" customHeight="1">
      <c r="A914" s="60"/>
      <c r="B914" s="60"/>
      <c r="C914" s="60"/>
      <c r="D914" s="60"/>
      <c r="E914" s="60"/>
      <c r="F914" s="60"/>
      <c r="G914" s="62"/>
      <c r="H914" s="60"/>
    </row>
    <row r="915" ht="15.75" customHeight="1">
      <c r="A915" s="60"/>
      <c r="B915" s="60"/>
      <c r="C915" s="60"/>
      <c r="D915" s="60"/>
      <c r="E915" s="60"/>
      <c r="F915" s="60"/>
      <c r="G915" s="62"/>
      <c r="H915" s="60"/>
    </row>
    <row r="916" ht="15.75" customHeight="1">
      <c r="A916" s="60"/>
      <c r="B916" s="60"/>
      <c r="C916" s="60"/>
      <c r="D916" s="60"/>
      <c r="E916" s="60"/>
      <c r="F916" s="60"/>
      <c r="G916" s="62"/>
      <c r="H916" s="60"/>
    </row>
    <row r="917" ht="15.75" customHeight="1">
      <c r="A917" s="60"/>
      <c r="B917" s="60"/>
      <c r="C917" s="60"/>
      <c r="D917" s="60"/>
      <c r="E917" s="60"/>
      <c r="F917" s="60"/>
      <c r="G917" s="62"/>
      <c r="H917" s="60"/>
    </row>
    <row r="918" ht="15.75" customHeight="1">
      <c r="A918" s="60"/>
      <c r="B918" s="60"/>
      <c r="C918" s="60"/>
      <c r="D918" s="60"/>
      <c r="E918" s="60"/>
      <c r="F918" s="60"/>
      <c r="G918" s="62"/>
      <c r="H918" s="60"/>
    </row>
    <row r="919" ht="15.75" customHeight="1">
      <c r="A919" s="60"/>
      <c r="B919" s="60"/>
      <c r="C919" s="60"/>
      <c r="D919" s="60"/>
      <c r="E919" s="60"/>
      <c r="F919" s="60"/>
      <c r="G919" s="62"/>
      <c r="H919" s="60"/>
    </row>
    <row r="920" ht="15.75" customHeight="1">
      <c r="A920" s="60"/>
      <c r="B920" s="60"/>
      <c r="C920" s="60"/>
      <c r="D920" s="60"/>
      <c r="E920" s="60"/>
      <c r="F920" s="60"/>
      <c r="G920" s="62"/>
      <c r="H920" s="60"/>
    </row>
    <row r="921" ht="15.75" customHeight="1">
      <c r="A921" s="60"/>
      <c r="B921" s="60"/>
      <c r="C921" s="60"/>
      <c r="D921" s="60"/>
      <c r="E921" s="60"/>
      <c r="F921" s="60"/>
      <c r="G921" s="62"/>
      <c r="H921" s="60"/>
    </row>
    <row r="922" ht="15.75" customHeight="1">
      <c r="A922" s="60"/>
      <c r="B922" s="60"/>
      <c r="C922" s="60"/>
      <c r="D922" s="60"/>
      <c r="E922" s="60"/>
      <c r="F922" s="60"/>
      <c r="G922" s="62"/>
      <c r="H922" s="60"/>
    </row>
    <row r="923" ht="15.75" customHeight="1">
      <c r="A923" s="60"/>
      <c r="B923" s="60"/>
      <c r="C923" s="60"/>
      <c r="D923" s="60"/>
      <c r="E923" s="60"/>
      <c r="F923" s="60"/>
      <c r="G923" s="62"/>
      <c r="H923" s="60"/>
    </row>
    <row r="924" ht="15.75" customHeight="1">
      <c r="A924" s="60"/>
      <c r="B924" s="60"/>
      <c r="C924" s="60"/>
      <c r="D924" s="60"/>
      <c r="E924" s="60"/>
      <c r="F924" s="60"/>
      <c r="G924" s="62"/>
      <c r="H924" s="60"/>
    </row>
    <row r="925" ht="15.75" customHeight="1">
      <c r="A925" s="60"/>
      <c r="B925" s="60"/>
      <c r="C925" s="60"/>
      <c r="D925" s="60"/>
      <c r="E925" s="60"/>
      <c r="F925" s="60"/>
      <c r="G925" s="62"/>
      <c r="H925" s="60"/>
    </row>
    <row r="926" ht="15.75" customHeight="1">
      <c r="A926" s="60"/>
      <c r="B926" s="60"/>
      <c r="C926" s="60"/>
      <c r="D926" s="60"/>
      <c r="E926" s="60"/>
      <c r="F926" s="60"/>
      <c r="G926" s="62"/>
      <c r="H926" s="60"/>
    </row>
    <row r="927" ht="15.75" customHeight="1">
      <c r="A927" s="60"/>
      <c r="B927" s="60"/>
      <c r="C927" s="60"/>
      <c r="D927" s="60"/>
      <c r="E927" s="60"/>
      <c r="F927" s="60"/>
      <c r="G927" s="62"/>
      <c r="H927" s="60"/>
    </row>
    <row r="928" ht="15.75" customHeight="1">
      <c r="A928" s="60"/>
      <c r="B928" s="60"/>
      <c r="C928" s="60"/>
      <c r="D928" s="60"/>
      <c r="E928" s="60"/>
      <c r="F928" s="60"/>
      <c r="G928" s="62"/>
      <c r="H928" s="60"/>
    </row>
    <row r="929" ht="15.75" customHeight="1">
      <c r="A929" s="60"/>
      <c r="B929" s="60"/>
      <c r="C929" s="60"/>
      <c r="D929" s="60"/>
      <c r="E929" s="60"/>
      <c r="F929" s="60"/>
      <c r="G929" s="62"/>
      <c r="H929" s="60"/>
    </row>
    <row r="930" ht="15.75" customHeight="1">
      <c r="A930" s="60"/>
      <c r="B930" s="60"/>
      <c r="C930" s="60"/>
      <c r="D930" s="60"/>
      <c r="E930" s="60"/>
      <c r="F930" s="60"/>
      <c r="G930" s="62"/>
      <c r="H930" s="60"/>
    </row>
    <row r="931" ht="15.75" customHeight="1">
      <c r="A931" s="60"/>
      <c r="B931" s="60"/>
      <c r="C931" s="60"/>
      <c r="D931" s="60"/>
      <c r="E931" s="60"/>
      <c r="F931" s="60"/>
      <c r="G931" s="62"/>
      <c r="H931" s="60"/>
    </row>
    <row r="932" ht="15.75" customHeight="1">
      <c r="A932" s="60"/>
      <c r="B932" s="60"/>
      <c r="C932" s="60"/>
      <c r="D932" s="60"/>
      <c r="E932" s="60"/>
      <c r="F932" s="60"/>
      <c r="G932" s="62"/>
      <c r="H932" s="60"/>
    </row>
    <row r="933" ht="15.75" customHeight="1">
      <c r="A933" s="60"/>
      <c r="B933" s="60"/>
      <c r="C933" s="60"/>
      <c r="D933" s="60"/>
      <c r="E933" s="60"/>
      <c r="F933" s="60"/>
      <c r="G933" s="62"/>
      <c r="H933" s="60"/>
    </row>
    <row r="934" ht="15.75" customHeight="1">
      <c r="A934" s="60"/>
      <c r="B934" s="60"/>
      <c r="C934" s="60"/>
      <c r="D934" s="60"/>
      <c r="E934" s="60"/>
      <c r="F934" s="60"/>
      <c r="G934" s="62"/>
      <c r="H934" s="60"/>
    </row>
    <row r="935" ht="15.75" customHeight="1">
      <c r="A935" s="60"/>
      <c r="B935" s="60"/>
      <c r="C935" s="60"/>
      <c r="D935" s="60"/>
      <c r="E935" s="60"/>
      <c r="F935" s="60"/>
      <c r="G935" s="62"/>
      <c r="H935" s="60"/>
    </row>
    <row r="936" ht="15.75" customHeight="1">
      <c r="A936" s="60"/>
      <c r="B936" s="60"/>
      <c r="C936" s="60"/>
      <c r="D936" s="60"/>
      <c r="E936" s="60"/>
      <c r="F936" s="60"/>
      <c r="G936" s="62"/>
      <c r="H936" s="60"/>
    </row>
    <row r="937" ht="15.75" customHeight="1">
      <c r="A937" s="60"/>
      <c r="B937" s="60"/>
      <c r="C937" s="60"/>
      <c r="D937" s="60"/>
      <c r="E937" s="60"/>
      <c r="F937" s="60"/>
      <c r="G937" s="62"/>
      <c r="H937" s="60"/>
    </row>
    <row r="938" ht="15.75" customHeight="1">
      <c r="A938" s="60"/>
      <c r="B938" s="60"/>
      <c r="C938" s="60"/>
      <c r="D938" s="60"/>
      <c r="E938" s="60"/>
      <c r="F938" s="60"/>
      <c r="G938" s="62"/>
      <c r="H938" s="60"/>
    </row>
    <row r="939" ht="15.75" customHeight="1">
      <c r="A939" s="60"/>
      <c r="B939" s="60"/>
      <c r="C939" s="60"/>
      <c r="D939" s="60"/>
      <c r="E939" s="60"/>
      <c r="F939" s="60"/>
      <c r="G939" s="62"/>
      <c r="H939" s="60"/>
    </row>
    <row r="940" ht="15.75" customHeight="1">
      <c r="A940" s="60"/>
      <c r="B940" s="60"/>
      <c r="C940" s="60"/>
      <c r="D940" s="60"/>
      <c r="E940" s="60"/>
      <c r="F940" s="60"/>
      <c r="G940" s="62"/>
      <c r="H940" s="60"/>
    </row>
    <row r="941" ht="15.75" customHeight="1">
      <c r="A941" s="60"/>
      <c r="B941" s="60"/>
      <c r="C941" s="60"/>
      <c r="D941" s="60"/>
      <c r="E941" s="60"/>
      <c r="F941" s="60"/>
      <c r="G941" s="62"/>
      <c r="H941" s="60"/>
    </row>
    <row r="942" ht="15.75" customHeight="1">
      <c r="A942" s="60"/>
      <c r="B942" s="60"/>
      <c r="C942" s="60"/>
      <c r="D942" s="60"/>
      <c r="E942" s="60"/>
      <c r="F942" s="60"/>
      <c r="G942" s="62"/>
      <c r="H942" s="60"/>
    </row>
    <row r="943" ht="15.75" customHeight="1">
      <c r="A943" s="60"/>
      <c r="B943" s="60"/>
      <c r="C943" s="60"/>
      <c r="D943" s="60"/>
      <c r="E943" s="60"/>
      <c r="F943" s="60"/>
      <c r="G943" s="62"/>
      <c r="H943" s="60"/>
    </row>
    <row r="944" ht="15.75" customHeight="1">
      <c r="A944" s="60"/>
      <c r="B944" s="60"/>
      <c r="C944" s="60"/>
      <c r="D944" s="60"/>
      <c r="E944" s="60"/>
      <c r="F944" s="60"/>
      <c r="G944" s="62"/>
      <c r="H944" s="60"/>
    </row>
    <row r="945" ht="15.75" customHeight="1">
      <c r="A945" s="60"/>
      <c r="B945" s="60"/>
      <c r="C945" s="60"/>
      <c r="D945" s="60"/>
      <c r="E945" s="60"/>
      <c r="F945" s="60"/>
      <c r="G945" s="62"/>
      <c r="H945" s="60"/>
    </row>
    <row r="946" ht="15.75" customHeight="1">
      <c r="A946" s="60"/>
      <c r="B946" s="60"/>
      <c r="C946" s="60"/>
      <c r="D946" s="60"/>
      <c r="E946" s="60"/>
      <c r="F946" s="60"/>
      <c r="G946" s="62"/>
      <c r="H946" s="60"/>
    </row>
    <row r="947" ht="15.75" customHeight="1">
      <c r="A947" s="60"/>
      <c r="B947" s="60"/>
      <c r="C947" s="60"/>
      <c r="D947" s="60"/>
      <c r="E947" s="60"/>
      <c r="F947" s="60"/>
      <c r="G947" s="62"/>
      <c r="H947" s="60"/>
    </row>
    <row r="948" ht="15.75" customHeight="1">
      <c r="A948" s="60"/>
      <c r="B948" s="60"/>
      <c r="C948" s="60"/>
      <c r="D948" s="60"/>
      <c r="E948" s="60"/>
      <c r="F948" s="60"/>
      <c r="G948" s="62"/>
      <c r="H948" s="60"/>
    </row>
    <row r="949" ht="15.75" customHeight="1">
      <c r="A949" s="60"/>
      <c r="B949" s="60"/>
      <c r="C949" s="60"/>
      <c r="D949" s="60"/>
      <c r="E949" s="60"/>
      <c r="F949" s="60"/>
      <c r="G949" s="62"/>
      <c r="H949" s="60"/>
    </row>
    <row r="950" ht="15.75" customHeight="1">
      <c r="A950" s="60"/>
      <c r="B950" s="60"/>
      <c r="C950" s="60"/>
      <c r="D950" s="60"/>
      <c r="E950" s="60"/>
      <c r="F950" s="60"/>
      <c r="G950" s="62"/>
      <c r="H950" s="60"/>
    </row>
    <row r="951" ht="15.75" customHeight="1">
      <c r="A951" s="60"/>
      <c r="B951" s="60"/>
      <c r="C951" s="60"/>
      <c r="D951" s="60"/>
      <c r="E951" s="60"/>
      <c r="F951" s="60"/>
      <c r="G951" s="62"/>
      <c r="H951" s="60"/>
    </row>
    <row r="952" ht="15.75" customHeight="1">
      <c r="A952" s="60"/>
      <c r="B952" s="60"/>
      <c r="C952" s="60"/>
      <c r="D952" s="60"/>
      <c r="E952" s="60"/>
      <c r="F952" s="60"/>
      <c r="G952" s="62"/>
      <c r="H952" s="60"/>
    </row>
    <row r="953" ht="15.75" customHeight="1">
      <c r="A953" s="60"/>
      <c r="B953" s="60"/>
      <c r="C953" s="60"/>
      <c r="D953" s="60"/>
      <c r="E953" s="60"/>
      <c r="F953" s="60"/>
      <c r="G953" s="62"/>
      <c r="H953" s="60"/>
    </row>
    <row r="954" ht="15.75" customHeight="1">
      <c r="A954" s="60"/>
      <c r="B954" s="60"/>
      <c r="C954" s="60"/>
      <c r="D954" s="60"/>
      <c r="E954" s="60"/>
      <c r="F954" s="60"/>
      <c r="G954" s="62"/>
      <c r="H954" s="60"/>
    </row>
    <row r="955" ht="15.75" customHeight="1">
      <c r="A955" s="60"/>
      <c r="B955" s="60"/>
      <c r="C955" s="60"/>
      <c r="D955" s="60"/>
      <c r="E955" s="60"/>
      <c r="F955" s="60"/>
      <c r="G955" s="62"/>
      <c r="H955" s="60"/>
    </row>
    <row r="956" ht="15.75" customHeight="1">
      <c r="A956" s="60"/>
      <c r="B956" s="60"/>
      <c r="C956" s="60"/>
      <c r="D956" s="60"/>
      <c r="E956" s="60"/>
      <c r="F956" s="60"/>
      <c r="G956" s="62"/>
      <c r="H956" s="60"/>
    </row>
    <row r="957" ht="15.75" customHeight="1">
      <c r="A957" s="60"/>
      <c r="B957" s="60"/>
      <c r="C957" s="60"/>
      <c r="D957" s="60"/>
      <c r="E957" s="60"/>
      <c r="F957" s="60"/>
      <c r="G957" s="62"/>
      <c r="H957" s="60"/>
    </row>
    <row r="958" ht="15.75" customHeight="1">
      <c r="A958" s="60"/>
      <c r="B958" s="60"/>
      <c r="C958" s="60"/>
      <c r="D958" s="60"/>
      <c r="E958" s="60"/>
      <c r="F958" s="60"/>
      <c r="G958" s="62"/>
      <c r="H958" s="60"/>
    </row>
    <row r="959" ht="15.75" customHeight="1">
      <c r="A959" s="60"/>
      <c r="B959" s="60"/>
      <c r="C959" s="60"/>
      <c r="D959" s="60"/>
      <c r="E959" s="60"/>
      <c r="F959" s="60"/>
      <c r="G959" s="62"/>
      <c r="H959" s="60"/>
    </row>
    <row r="960" ht="15.75" customHeight="1">
      <c r="A960" s="60"/>
      <c r="B960" s="60"/>
      <c r="C960" s="60"/>
      <c r="D960" s="60"/>
      <c r="E960" s="60"/>
      <c r="F960" s="60"/>
      <c r="G960" s="62"/>
      <c r="H960" s="60"/>
    </row>
    <row r="961" ht="15.75" customHeight="1">
      <c r="A961" s="60"/>
      <c r="B961" s="60"/>
      <c r="C961" s="60"/>
      <c r="D961" s="60"/>
      <c r="E961" s="60"/>
      <c r="F961" s="60"/>
      <c r="G961" s="62"/>
      <c r="H961" s="60"/>
    </row>
    <row r="962" ht="15.75" customHeight="1">
      <c r="A962" s="60"/>
      <c r="B962" s="60"/>
      <c r="C962" s="60"/>
      <c r="D962" s="60"/>
      <c r="E962" s="60"/>
      <c r="F962" s="60"/>
      <c r="G962" s="62"/>
      <c r="H962" s="60"/>
    </row>
    <row r="963" ht="15.75" customHeight="1">
      <c r="A963" s="60"/>
      <c r="B963" s="60"/>
      <c r="C963" s="60"/>
      <c r="D963" s="60"/>
      <c r="E963" s="60"/>
      <c r="F963" s="60"/>
      <c r="G963" s="62"/>
      <c r="H963" s="60"/>
    </row>
    <row r="964" ht="15.75" customHeight="1">
      <c r="A964" s="60"/>
      <c r="B964" s="60"/>
      <c r="C964" s="60"/>
      <c r="D964" s="60"/>
      <c r="E964" s="60"/>
      <c r="F964" s="60"/>
      <c r="G964" s="62"/>
      <c r="H964" s="60"/>
    </row>
    <row r="965" ht="15.75" customHeight="1">
      <c r="A965" s="60"/>
      <c r="B965" s="60"/>
      <c r="C965" s="60"/>
      <c r="D965" s="60"/>
      <c r="E965" s="60"/>
      <c r="F965" s="60"/>
      <c r="G965" s="62"/>
      <c r="H965" s="60"/>
    </row>
    <row r="966" ht="15.75" customHeight="1">
      <c r="A966" s="60"/>
      <c r="B966" s="60"/>
      <c r="C966" s="60"/>
      <c r="D966" s="60"/>
      <c r="E966" s="60"/>
      <c r="F966" s="60"/>
      <c r="G966" s="62"/>
      <c r="H966" s="60"/>
    </row>
    <row r="967" ht="15.75" customHeight="1">
      <c r="A967" s="60"/>
      <c r="B967" s="60"/>
      <c r="C967" s="60"/>
      <c r="D967" s="60"/>
      <c r="E967" s="60"/>
      <c r="F967" s="60"/>
      <c r="G967" s="62"/>
      <c r="H967" s="60"/>
    </row>
    <row r="968" ht="15.75" customHeight="1">
      <c r="A968" s="60"/>
      <c r="B968" s="60"/>
      <c r="C968" s="60"/>
      <c r="D968" s="60"/>
      <c r="E968" s="60"/>
      <c r="F968" s="60"/>
      <c r="G968" s="62"/>
      <c r="H968" s="60"/>
    </row>
    <row r="969" ht="15.75" customHeight="1">
      <c r="A969" s="60"/>
      <c r="B969" s="60"/>
      <c r="C969" s="60"/>
      <c r="D969" s="60"/>
      <c r="E969" s="60"/>
      <c r="F969" s="60"/>
      <c r="G969" s="62"/>
      <c r="H969" s="60"/>
    </row>
    <row r="970" ht="15.75" customHeight="1">
      <c r="A970" s="60"/>
      <c r="B970" s="60"/>
      <c r="C970" s="60"/>
      <c r="D970" s="60"/>
      <c r="E970" s="60"/>
      <c r="F970" s="60"/>
      <c r="G970" s="62"/>
      <c r="H970" s="60"/>
    </row>
    <row r="971" ht="15.75" customHeight="1">
      <c r="A971" s="60"/>
      <c r="B971" s="60"/>
      <c r="C971" s="60"/>
      <c r="D971" s="60"/>
      <c r="E971" s="60"/>
      <c r="F971" s="60"/>
      <c r="G971" s="62"/>
      <c r="H971" s="60"/>
    </row>
    <row r="972" ht="15.75" customHeight="1">
      <c r="A972" s="60"/>
      <c r="B972" s="60"/>
      <c r="C972" s="60"/>
      <c r="D972" s="60"/>
      <c r="E972" s="60"/>
      <c r="F972" s="60"/>
      <c r="G972" s="62"/>
      <c r="H972" s="60"/>
    </row>
    <row r="973" ht="15.75" customHeight="1">
      <c r="A973" s="60"/>
      <c r="B973" s="60"/>
      <c r="C973" s="60"/>
      <c r="D973" s="60"/>
      <c r="E973" s="60"/>
      <c r="F973" s="60"/>
      <c r="G973" s="62"/>
      <c r="H973" s="60"/>
    </row>
    <row r="974" ht="15.75" customHeight="1">
      <c r="A974" s="60"/>
      <c r="B974" s="60"/>
      <c r="C974" s="60"/>
      <c r="D974" s="60"/>
      <c r="E974" s="60"/>
      <c r="F974" s="60"/>
      <c r="G974" s="62"/>
      <c r="H974" s="60"/>
    </row>
    <row r="975" ht="15.75" customHeight="1">
      <c r="A975" s="60"/>
      <c r="B975" s="60"/>
      <c r="C975" s="60"/>
      <c r="D975" s="60"/>
      <c r="E975" s="60"/>
      <c r="F975" s="60"/>
      <c r="G975" s="62"/>
      <c r="H975" s="60"/>
    </row>
    <row r="976" ht="15.75" customHeight="1">
      <c r="A976" s="60"/>
      <c r="B976" s="60"/>
      <c r="C976" s="60"/>
      <c r="D976" s="60"/>
      <c r="E976" s="60"/>
      <c r="F976" s="60"/>
      <c r="G976" s="62"/>
      <c r="H976" s="60"/>
    </row>
    <row r="977" ht="15.75" customHeight="1">
      <c r="A977" s="60"/>
      <c r="B977" s="60"/>
      <c r="C977" s="60"/>
      <c r="D977" s="60"/>
      <c r="E977" s="60"/>
      <c r="F977" s="60"/>
      <c r="G977" s="62"/>
      <c r="H977" s="60"/>
    </row>
    <row r="978" ht="15.75" customHeight="1">
      <c r="A978" s="60"/>
      <c r="B978" s="60"/>
      <c r="C978" s="60"/>
      <c r="D978" s="60"/>
      <c r="E978" s="60"/>
      <c r="F978" s="60"/>
      <c r="G978" s="62"/>
      <c r="H978" s="60"/>
    </row>
    <row r="979" ht="15.75" customHeight="1">
      <c r="A979" s="60"/>
      <c r="B979" s="60"/>
      <c r="C979" s="60"/>
      <c r="D979" s="60"/>
      <c r="E979" s="60"/>
      <c r="F979" s="60"/>
      <c r="G979" s="62"/>
      <c r="H979" s="60"/>
    </row>
    <row r="980" ht="15.75" customHeight="1">
      <c r="A980" s="60"/>
      <c r="B980" s="60"/>
      <c r="C980" s="60"/>
      <c r="D980" s="60"/>
      <c r="E980" s="60"/>
      <c r="F980" s="60"/>
      <c r="G980" s="62"/>
      <c r="H980" s="60"/>
    </row>
    <row r="981" ht="15.75" customHeight="1">
      <c r="A981" s="60"/>
      <c r="B981" s="60"/>
      <c r="C981" s="60"/>
      <c r="D981" s="60"/>
      <c r="E981" s="60"/>
      <c r="F981" s="60"/>
      <c r="G981" s="62"/>
      <c r="H981" s="60"/>
    </row>
    <row r="982" ht="15.75" customHeight="1">
      <c r="A982" s="60"/>
      <c r="B982" s="60"/>
      <c r="C982" s="60"/>
      <c r="D982" s="60"/>
      <c r="E982" s="60"/>
      <c r="F982" s="60"/>
      <c r="G982" s="62"/>
      <c r="H982" s="60"/>
    </row>
    <row r="983" ht="15.75" customHeight="1">
      <c r="A983" s="60"/>
      <c r="B983" s="60"/>
      <c r="C983" s="60"/>
      <c r="D983" s="60"/>
      <c r="E983" s="60"/>
      <c r="F983" s="60"/>
      <c r="G983" s="62"/>
      <c r="H983" s="60"/>
    </row>
    <row r="984" ht="15.75" customHeight="1">
      <c r="A984" s="60"/>
      <c r="B984" s="60"/>
      <c r="C984" s="60"/>
      <c r="D984" s="60"/>
      <c r="E984" s="60"/>
      <c r="F984" s="60"/>
      <c r="G984" s="62"/>
      <c r="H984" s="60"/>
    </row>
    <row r="985" ht="15.75" customHeight="1">
      <c r="A985" s="60"/>
      <c r="B985" s="60"/>
      <c r="C985" s="60"/>
      <c r="D985" s="60"/>
      <c r="E985" s="60"/>
      <c r="F985" s="60"/>
      <c r="G985" s="62"/>
      <c r="H985" s="60"/>
    </row>
    <row r="986" ht="15.75" customHeight="1">
      <c r="A986" s="60"/>
      <c r="B986" s="60"/>
      <c r="C986" s="60"/>
      <c r="D986" s="60"/>
      <c r="E986" s="60"/>
      <c r="F986" s="60"/>
      <c r="G986" s="62"/>
      <c r="H986" s="60"/>
    </row>
    <row r="987" ht="15.75" customHeight="1">
      <c r="A987" s="60"/>
      <c r="B987" s="60"/>
      <c r="C987" s="60"/>
      <c r="D987" s="60"/>
      <c r="E987" s="60"/>
      <c r="F987" s="60"/>
      <c r="G987" s="62"/>
      <c r="H987" s="60"/>
    </row>
    <row r="988" ht="15.75" customHeight="1">
      <c r="A988" s="60"/>
      <c r="B988" s="60"/>
      <c r="C988" s="60"/>
      <c r="D988" s="60"/>
      <c r="E988" s="60"/>
      <c r="F988" s="60"/>
      <c r="G988" s="62"/>
      <c r="H988" s="60"/>
    </row>
    <row r="989" ht="15.75" customHeight="1">
      <c r="A989" s="60"/>
      <c r="B989" s="60"/>
      <c r="C989" s="60"/>
      <c r="D989" s="60"/>
      <c r="E989" s="60"/>
      <c r="F989" s="60"/>
      <c r="G989" s="62"/>
      <c r="H989" s="60"/>
    </row>
    <row r="990" ht="15.75" customHeight="1">
      <c r="A990" s="60"/>
      <c r="B990" s="60"/>
      <c r="C990" s="60"/>
      <c r="D990" s="60"/>
      <c r="E990" s="60"/>
      <c r="F990" s="60"/>
      <c r="G990" s="62"/>
      <c r="H990" s="60"/>
    </row>
    <row r="991" ht="15.75" customHeight="1">
      <c r="A991" s="60"/>
      <c r="B991" s="60"/>
      <c r="C991" s="60"/>
      <c r="D991" s="60"/>
      <c r="E991" s="60"/>
      <c r="F991" s="60"/>
      <c r="G991" s="62"/>
      <c r="H991" s="60"/>
    </row>
    <row r="992" ht="15.75" customHeight="1">
      <c r="A992" s="60"/>
      <c r="B992" s="60"/>
      <c r="C992" s="60"/>
      <c r="D992" s="60"/>
      <c r="E992" s="60"/>
      <c r="F992" s="60"/>
      <c r="G992" s="62"/>
      <c r="H992" s="60"/>
    </row>
    <row r="993" ht="15.75" customHeight="1">
      <c r="A993" s="60"/>
      <c r="B993" s="60"/>
      <c r="C993" s="60"/>
      <c r="D993" s="60"/>
      <c r="E993" s="60"/>
      <c r="F993" s="60"/>
      <c r="G993" s="62"/>
      <c r="H993" s="60"/>
    </row>
    <row r="994" ht="15.75" customHeight="1">
      <c r="A994" s="60"/>
      <c r="B994" s="60"/>
      <c r="C994" s="60"/>
      <c r="D994" s="60"/>
      <c r="E994" s="60"/>
      <c r="F994" s="60"/>
      <c r="G994" s="62"/>
      <c r="H994" s="60"/>
    </row>
    <row r="995" ht="15.75" customHeight="1">
      <c r="A995" s="60"/>
      <c r="B995" s="60"/>
      <c r="C995" s="60"/>
      <c r="D995" s="60"/>
      <c r="E995" s="60"/>
      <c r="F995" s="60"/>
      <c r="G995" s="62"/>
      <c r="H995" s="60"/>
    </row>
    <row r="996" ht="15.75" customHeight="1">
      <c r="A996" s="60"/>
      <c r="B996" s="60"/>
      <c r="C996" s="60"/>
      <c r="D996" s="60"/>
      <c r="E996" s="60"/>
      <c r="F996" s="60"/>
      <c r="G996" s="62"/>
      <c r="H996" s="60"/>
    </row>
    <row r="997" ht="15.75" customHeight="1">
      <c r="A997" s="60"/>
      <c r="B997" s="60"/>
      <c r="C997" s="60"/>
      <c r="D997" s="60"/>
      <c r="E997" s="60"/>
      <c r="F997" s="60"/>
      <c r="G997" s="62"/>
      <c r="H997" s="60"/>
    </row>
    <row r="998" ht="15.75" customHeight="1">
      <c r="A998" s="60"/>
      <c r="B998" s="60"/>
      <c r="C998" s="60"/>
      <c r="D998" s="60"/>
      <c r="E998" s="60"/>
      <c r="F998" s="60"/>
      <c r="G998" s="62"/>
      <c r="H998" s="60"/>
    </row>
    <row r="999" ht="15.75" customHeight="1">
      <c r="A999" s="60"/>
      <c r="B999" s="60"/>
      <c r="C999" s="60"/>
      <c r="D999" s="60"/>
      <c r="E999" s="60"/>
      <c r="F999" s="60"/>
      <c r="G999" s="62"/>
      <c r="H999" s="60"/>
    </row>
    <row r="1000" ht="15.75" customHeight="1">
      <c r="A1000" s="60"/>
      <c r="B1000" s="60"/>
      <c r="C1000" s="60"/>
      <c r="D1000" s="60"/>
      <c r="E1000" s="60"/>
      <c r="F1000" s="60"/>
      <c r="G1000" s="62"/>
      <c r="H1000" s="6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7.13"/>
    <col customWidth="1" min="2" max="6" width="12.63"/>
  </cols>
  <sheetData>
    <row r="1" ht="15.75" customHeight="1">
      <c r="A1" s="63" t="s">
        <v>171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8" t="s">
        <v>172</v>
      </c>
      <c r="B21" s="18"/>
      <c r="C21" s="18"/>
      <c r="D21" s="18"/>
      <c r="E21" s="18"/>
      <c r="F21" s="18"/>
      <c r="G21" s="18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31" t="s">
        <v>1</v>
      </c>
      <c r="B22" s="64">
        <f>C32/A32</f>
        <v>0.1591599213</v>
      </c>
      <c r="C22" s="18"/>
      <c r="D22" s="18"/>
      <c r="E22" s="18"/>
      <c r="F22" s="18"/>
      <c r="G22" s="18"/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2" t="str">
        <f>"Cities under the " &amp; A22 &amp; " Region"</f>
        <v>Cities under the North Region</v>
      </c>
      <c r="B23" s="65"/>
      <c r="C23" s="18"/>
      <c r="D23" s="18"/>
      <c r="E23" s="18"/>
      <c r="F23" s="18"/>
      <c r="G23" s="18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31" t="str">
        <f>IFERROR(__xludf.DUMMYFUNCTION("unique(FILTER('Sales Data'!$D$2:$D$193,'Sales Data'!$C$2:$C$193=$A$22))"),"Delhi")</f>
        <v>Delhi</v>
      </c>
      <c r="B24" s="66">
        <f t="shared" ref="B24:B27" si="1">C33/A33</f>
        <v>0.1883679378</v>
      </c>
      <c r="C24" s="18"/>
      <c r="D24" s="18"/>
      <c r="E24" s="18"/>
      <c r="F24" s="18"/>
      <c r="G24" s="18"/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31" t="str">
        <f>IFERROR(__xludf.DUMMYFUNCTION("""COMPUTED_VALUE"""),"Chandigarh")</f>
        <v>Chandigarh</v>
      </c>
      <c r="B25" s="66">
        <f t="shared" si="1"/>
        <v>0.1965744788</v>
      </c>
      <c r="C25" s="18"/>
      <c r="D25" s="18"/>
      <c r="E25" s="18"/>
      <c r="F25" s="18"/>
      <c r="G25" s="18"/>
      <c r="H25" s="19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31" t="str">
        <f>IFERROR(__xludf.DUMMYFUNCTION("""COMPUTED_VALUE"""),"Lucknow")</f>
        <v>Lucknow</v>
      </c>
      <c r="B26" s="66">
        <f t="shared" si="1"/>
        <v>0.161596224</v>
      </c>
      <c r="C26" s="18"/>
      <c r="D26" s="18"/>
      <c r="E26" s="18"/>
      <c r="F26" s="18"/>
      <c r="G26" s="18"/>
      <c r="H26" s="19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31" t="str">
        <f>IFERROR(__xludf.DUMMYFUNCTION("""COMPUTED_VALUE"""),"Dehradun")</f>
        <v>Dehradun</v>
      </c>
      <c r="B27" s="66">
        <f t="shared" si="1"/>
        <v>0.04912849364</v>
      </c>
      <c r="C27" s="18"/>
      <c r="D27" s="18"/>
      <c r="E27" s="18"/>
      <c r="F27" s="18"/>
      <c r="G27" s="18"/>
      <c r="H27" s="1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33">
        <f>SUMIFS('Sales Data'!$F:$F,'Sales Data'!$C:$C,$A$22)</f>
        <v>1221457</v>
      </c>
      <c r="B32" s="33">
        <f>SUMIFS('Sales Data'!$G:$G,'Sales Data'!$C:$C,$A$22)</f>
        <v>1415864</v>
      </c>
      <c r="C32" s="33">
        <f t="shared" ref="C32:C36" si="2">B32-A32</f>
        <v>194407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>
        <f>SUMIFS('Sales Data'!$F:$F,'Sales Data'!$D:$D,A24)</f>
        <v>339166</v>
      </c>
      <c r="B33" s="20">
        <f>SUMIFS('Sales Data'!$G:$G,'Sales Data'!$D:$D,A24)</f>
        <v>403054</v>
      </c>
      <c r="C33" s="20">
        <f t="shared" si="2"/>
        <v>63888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>
        <f>SUMIFS('Sales Data'!$F:$F,'Sales Data'!$D:$D,A25)</f>
        <v>414769</v>
      </c>
      <c r="B34" s="20">
        <f>SUMIFS('Sales Data'!$G:$G,'Sales Data'!$D:$D,A25)</f>
        <v>496302</v>
      </c>
      <c r="C34" s="20">
        <f t="shared" si="2"/>
        <v>81533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>
        <f>SUMIFS('Sales Data'!$F:$F,'Sales Data'!$D:$D,A26)</f>
        <v>279660</v>
      </c>
      <c r="B35" s="20">
        <f>SUMIFS('Sales Data'!$G:$G,'Sales Data'!$D:$D,A26)</f>
        <v>324852</v>
      </c>
      <c r="C35" s="20">
        <f t="shared" si="2"/>
        <v>45192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>
        <f>SUMIFS('Sales Data'!$F:$F,'Sales Data'!$D:$D,A27)</f>
        <v>226447</v>
      </c>
      <c r="B36" s="20">
        <f>SUMIFS('Sales Data'!$G:$G,'Sales Data'!$D:$D,A27)</f>
        <v>237572</v>
      </c>
      <c r="C36" s="20">
        <f t="shared" si="2"/>
        <v>11125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13" t="s">
        <v>173</v>
      </c>
      <c r="B40" s="67">
        <f>SUM('Cost Benefit Analysis'!B10:G10)</f>
        <v>5280837.467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13" t="s">
        <v>174</v>
      </c>
      <c r="B41" s="67">
        <v>2.4457643652E7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33"/>
      <c r="B42" s="33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33" t="s">
        <v>175</v>
      </c>
      <c r="B43" s="34">
        <f>SUM('Sales Data'!F:F)</f>
        <v>4860873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33" t="s">
        <v>176</v>
      </c>
      <c r="B44" s="34">
        <f>SUM('Sales Data'!G:G)</f>
        <v>5589372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33" t="s">
        <v>177</v>
      </c>
      <c r="B45" s="34">
        <f>B44-B43</f>
        <v>728499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33" t="s">
        <v>178</v>
      </c>
      <c r="B46" s="68">
        <f>B45/B43</f>
        <v>0.1498699925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 t="str">
        <f>'Cost Benefit Analysis'!B12</f>
        <v/>
      </c>
      <c r="C48" s="20" t="str">
        <f>'Cost Benefit Analysis'!C12</f>
        <v/>
      </c>
      <c r="D48" s="20" t="str">
        <f>'Cost Benefit Analysis'!D12</f>
        <v/>
      </c>
      <c r="E48" s="20" t="str">
        <f>'Cost Benefit Analysis'!E12</f>
        <v/>
      </c>
      <c r="F48" s="20" t="str">
        <f>'Cost Benefit Analysis'!F12</f>
        <v/>
      </c>
      <c r="G48" s="20" t="str">
        <f>'Cost Benefit Analysis'!G12</f>
        <v/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 t="s">
        <v>52</v>
      </c>
      <c r="C49" s="20" t="s">
        <v>54</v>
      </c>
      <c r="D49" s="20" t="s">
        <v>56</v>
      </c>
      <c r="E49" s="20" t="s">
        <v>58</v>
      </c>
      <c r="F49" s="20" t="s">
        <v>60</v>
      </c>
      <c r="G49" s="20" t="s">
        <v>62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 t="s">
        <v>179</v>
      </c>
      <c r="B50" s="69">
        <f>'Cost Benefit Analysis'!B10</f>
        <v>-8258997.654</v>
      </c>
      <c r="C50" s="20">
        <f>'Cost Benefit Analysis'!C10</f>
        <v>1771096.575</v>
      </c>
      <c r="D50" s="20">
        <f>'Cost Benefit Analysis'!D10</f>
        <v>2679842.763</v>
      </c>
      <c r="E50" s="20">
        <f>'Cost Benefit Analysis'!E10</f>
        <v>2853786.809</v>
      </c>
      <c r="F50" s="20">
        <f>'Cost Benefit Analysis'!F10</f>
        <v>2791893.084</v>
      </c>
      <c r="G50" s="20">
        <f>'Cost Benefit Analysis'!G10</f>
        <v>3443215.891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H2"/>
    <mergeCell ref="A21:H21"/>
    <mergeCell ref="B22:H22"/>
    <mergeCell ref="B23:H23"/>
    <mergeCell ref="B24:H24"/>
    <mergeCell ref="B25:H25"/>
    <mergeCell ref="B26:H26"/>
    <mergeCell ref="B27:H27"/>
  </mergeCells>
  <dataValidations>
    <dataValidation type="list" allowBlank="1" showErrorMessage="1" sqref="A22">
      <formula1>'Sales Data'!$C$2:$C$193</formula1>
    </dataValidation>
  </dataValidations>
  <drawing r:id="rId1"/>
</worksheet>
</file>