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pivotTables/pivotTable1.xml" ContentType="application/vnd.openxmlformats-officedocument.spreadsheetml.pivotTable+xml"/>
  <Override PartName="/xl/tables/table5.xml" ContentType="application/vnd.openxmlformats-officedocument.spreadsheetml.table+xml"/>
  <Override PartName="/xl/comments4.xml" ContentType="application/vnd.openxmlformats-officedocument.spreadsheetml.comments+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omments5.xml" ContentType="application/vnd.openxmlformats-officedocument.spreadsheetml.comments+xml"/>
  <Override PartName="/xl/pivotTables/pivotTable2.xml" ContentType="application/vnd.openxmlformats-officedocument.spreadsheetml.pivot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comments6.xml" ContentType="application/vnd.openxmlformats-officedocument.spreadsheetml.comments+xml"/>
  <Override PartName="/xl/comments7.xml" ContentType="application/vnd.openxmlformats-officedocument.spreadsheetml.comments+xml"/>
  <Override PartName="/xl/tables/table35.xml" ContentType="application/vnd.openxmlformats-officedocument.spreadsheetml.table+xml"/>
  <Override PartName="/xl/comments8.xml" ContentType="application/vnd.openxmlformats-officedocument.spreadsheetml.comments+xml"/>
  <Override PartName="/xl/drawings/drawing4.xml" ContentType="application/vnd.openxmlformats-officedocument.drawing+xml"/>
  <Override PartName="/xl/tables/table36.xml" ContentType="application/vnd.openxmlformats-officedocument.spreadsheetml.table+xml"/>
  <Override PartName="/xl/comments9.xml" ContentType="application/vnd.openxmlformats-officedocument.spreadsheetml.comments+xml"/>
  <Override PartName="/xl/tables/table37.xml" ContentType="application/vnd.openxmlformats-officedocument.spreadsheetml.table+xml"/>
  <Override PartName="/xl/comments10.xml" ContentType="application/vnd.openxmlformats-officedocument.spreadsheetml.comments+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2000091298\Downloads\"/>
    </mc:Choice>
  </mc:AlternateContent>
  <xr:revisionPtr revIDLastSave="0" documentId="13_ncr:20001_{02845267-7711-4C0B-B5C1-46055103D448}" xr6:coauthVersionLast="47" xr6:coauthVersionMax="47" xr10:uidLastSave="{00000000-0000-0000-0000-000000000000}"/>
  <bookViews>
    <workbookView xWindow="-120" yWindow="-120" windowWidth="20730" windowHeight="11160" tabRatio="500" activeTab="12" xr2:uid="{00000000-000D-0000-FFFF-FFFF00000000}"/>
  </bookViews>
  <sheets>
    <sheet name="JHora" sheetId="1" r:id="rId1"/>
    <sheet name="Basics" sheetId="2" r:id="rId2"/>
    <sheet name="Charts" sheetId="3" r:id="rId3"/>
    <sheet name="Sp.Nakshatra" sheetId="4" r:id="rId4"/>
    <sheet name="Ayush" sheetId="5" r:id="rId5"/>
    <sheet name="Shadbala" sheetId="6" r:id="rId6"/>
    <sheet name="Vimshottari" sheetId="7" r:id="rId7"/>
    <sheet name="Vimshottari@Date" sheetId="8" r:id="rId8"/>
    <sheet name="Yuti Yoga" sheetId="9" r:id="rId9"/>
    <sheet name="Udu" sheetId="10" r:id="rId10"/>
    <sheet name="KalaChakra Dasa" sheetId="11" r:id="rId11"/>
    <sheet name="Ashtakavarga" sheetId="12" r:id="rId12"/>
    <sheet name="DATA" sheetId="13" r:id="rId13"/>
    <sheet name="Tattva" sheetId="14" r:id="rId14"/>
    <sheet name="NarayanaDasa" sheetId="15" r:id="rId15"/>
    <sheet name="Sarvotabhadra" sheetId="16" r:id="rId16"/>
    <sheet name="Sahamas" sheetId="17" r:id="rId17"/>
    <sheet name="NavaTara" sheetId="18" r:id="rId18"/>
    <sheet name="Shata Patha Chakra" sheetId="19" r:id="rId19"/>
    <sheet name="Kalachakra" sheetId="20" r:id="rId20"/>
    <sheet name="Lagna" sheetId="21" r:id="rId21"/>
    <sheet name="MatchMaking" sheetId="22" r:id="rId22"/>
    <sheet name="Murhurtha Rulers" sheetId="23" r:id="rId23"/>
    <sheet name="Navanayaka" sheetId="24" r:id="rId24"/>
    <sheet name="Progressions" sheetId="25" r:id="rId25"/>
    <sheet name="WorkSheet" sheetId="26" r:id="rId26"/>
    <sheet name="Rudra" sheetId="27" r:id="rId27"/>
    <sheet name="PanchaPakshi" sheetId="28" r:id="rId28"/>
    <sheet name="RashiNxPada" sheetId="29" r:id="rId29"/>
  </sheets>
  <externalReferences>
    <externalReference r:id="rId30"/>
  </externalReferences>
  <definedNames>
    <definedName name="_xlnm._FilterDatabase" localSheetId="11">Ashtakavarga!$A$14:$V$280</definedName>
    <definedName name="_xlnm._FilterDatabase" localSheetId="0" hidden="1">JHora!$A$1:$C$109</definedName>
    <definedName name="_xlnm._FilterDatabase" localSheetId="16">Sahamas!$A$1:$L$58</definedName>
    <definedName name="_xlnm._FilterDatabase" localSheetId="7" hidden="1">'Vimshottari@Date'!$A$10:$K$330</definedName>
    <definedName name="Age">Progressions!$B$4</definedName>
    <definedName name="Ahargana">DATA!$C$29</definedName>
    <definedName name="AharganaBase">DATA!$B$29</definedName>
    <definedName name="AharganaBaseDate">DATA!$B$29</definedName>
    <definedName name="AllPAV">Ashtakavarga!$A$151:$R$262</definedName>
    <definedName name="antartattva">#N/A</definedName>
    <definedName name="AshtottariDasa">#N/A</definedName>
    <definedName name="AshtottariNaxRulers">DATA!$K$215:$K$242</definedName>
    <definedName name="AshtottariNaxYears">DATA!$L$215:$L$242</definedName>
    <definedName name="AshtStarDeg">#N/A</definedName>
    <definedName name="Avastha">#N/A</definedName>
    <definedName name="Balance1">Vimshottari!$B$237</definedName>
    <definedName name="BAV">Ashtakavarga!$B$16:$P$24</definedName>
    <definedName name="BhavaCusp">Sahamas!#REF!</definedName>
    <definedName name="BhavaInfo">DATA!$A$31:$D$44</definedName>
    <definedName name="BorderDegrees">DATA!$A$821:$B$858</definedName>
    <definedName name="Chart">Basics!$A$58:$M$67</definedName>
    <definedName name="ChartInfo">Basics!$A$7:$K$50</definedName>
    <definedName name="D150EnglishNames">DATA!$V$215:$V$364</definedName>
    <definedName name="D150InequalDegrees">DATA!$W$215:$W$364</definedName>
    <definedName name="D20Deities">DATA!$B$215:$C$254</definedName>
    <definedName name="D24Deities">DATA!$AF$214:$AF$226</definedName>
    <definedName name="D27Deities">DATA!$D$215:$E$241</definedName>
    <definedName name="D60Dieties">DATA!$X$214:$AA$274</definedName>
    <definedName name="DasaSpans">Udu!$C$30:$AW$58</definedName>
    <definedName name="DasaYears">Vimshottari!$A$2:$C$10</definedName>
    <definedName name="Date">Basics!$G$2</definedName>
    <definedName name="DayBirth">Basics!$B$53</definedName>
    <definedName name="DaysInYear">Basics!$B$3</definedName>
    <definedName name="DinaMaana">Basics!$D$48</definedName>
    <definedName name="DivCharts">NarayanaDasa!$A$18:$Q$30</definedName>
    <definedName name="DoB">Basics!$E$2</definedName>
    <definedName name="DTattvaUnit">Tattva!$I$5</definedName>
    <definedName name="Excel_BuiltIn__FilterDatabase_11">Basics!$A$50:$IU$50</definedName>
    <definedName name="Excel_BuiltIn__FilterDatabase_2">"$#REF!.$A$99:$M$179"</definedName>
    <definedName name="Excel_BuiltIn__FilterDatabase_4">"$#REF!.$A$1:$P$62"</definedName>
    <definedName name="Excel_BuiltIn__FilterDatabase_5">"$#REF!.$A$9:$S$19"</definedName>
    <definedName name="Excel_BuiltIn__FilterDatabase_9">"$#REF!.$A$1:$D$30"</definedName>
    <definedName name="FinancialRelations">DATA!$A$520:$E$529</definedName>
    <definedName name="FirstDasaYrs1">Vimshottari!$E$236</definedName>
    <definedName name="FourthLord">Sahamas!$D$5</definedName>
    <definedName name="GhatakaChakra">DATA!$A$369:$H$382</definedName>
    <definedName name="GowriPanchanga">DATA!$A$673:$J$687</definedName>
    <definedName name="GrahaOrder">DATA!$A$484:$A$492</definedName>
    <definedName name="GrahaShayanadiGunanka">DATA!$R$3:$R$11</definedName>
    <definedName name="GrahaWeekdayOrder">DATA!$Q$3:$Q$11</definedName>
    <definedName name="Gunachakra">DATA!$A$661:$F$670</definedName>
    <definedName name="HindiName">#N/A</definedName>
    <definedName name="Hora">'Murhurtha Rulers'!$I$16</definedName>
    <definedName name="HoraLagna">Basics!$G$20</definedName>
    <definedName name="JanmaGhatika">Basics!$D$50</definedName>
    <definedName name="JupDeb">DATA!$J$7</definedName>
    <definedName name="JupEx">DATA!$H$7</definedName>
    <definedName name="Jupiter">Basics!$G$12</definedName>
    <definedName name="JupiterHouse">Ashtakavarga!$C$8</definedName>
    <definedName name="Kalachakra">'KalaChakra Dasa'!$A$1:$H$25</definedName>
    <definedName name="KalachakraTbl">KC[]</definedName>
    <definedName name="Ketu">Basics!$G$16</definedName>
    <definedName name="KetuDeb">DATA!$J$11</definedName>
    <definedName name="KetuEx">DATA!$H$11</definedName>
    <definedName name="Lagna">Basics!$G$7</definedName>
    <definedName name="Lagnahouse">Ashtakavarga!$C$11</definedName>
    <definedName name="LagnaLord">Sahamas!$D$2</definedName>
    <definedName name="LagnaLordD">Sahamas!$H$2</definedName>
    <definedName name="LL">Sahamas!$H$2</definedName>
    <definedName name="Lord2h">Sahamas!$F$1</definedName>
    <definedName name="LordsInHouses">DATA!$A$861:$N$874</definedName>
    <definedName name="MahaDasaTable">Udu!$A$65:$G$95</definedName>
    <definedName name="Mandi">DATA!$A$507:$C$515</definedName>
    <definedName name="Mars">Basics!$G$10</definedName>
    <definedName name="MarsDeb">DATA!$J$5</definedName>
    <definedName name="MarsEx">DATA!$H$5</definedName>
    <definedName name="MarsHouse">Ashtakavarga!$C$6</definedName>
    <definedName name="MercDeb">DATA!$J$6</definedName>
    <definedName name="MercEx">DATA!$H$6</definedName>
    <definedName name="Mercury">Basics!$G$11</definedName>
    <definedName name="MercuryHouse">Ashtakavarga!$C$7</definedName>
    <definedName name="Moon">Basics!$G$9</definedName>
    <definedName name="MoonDeb">DATA!$J$4</definedName>
    <definedName name="MoonDeg">Basics!$G$9</definedName>
    <definedName name="MoonEx">DATA!$H$4</definedName>
    <definedName name="MoonHouse">Ashtakavarga!$C$5</definedName>
    <definedName name="MoonPeriod">DATA!$L$4</definedName>
    <definedName name="NakshatraInfo">DATA!$48:$75</definedName>
    <definedName name="NakshatraSpan">Udu!$C$30:$C$58</definedName>
    <definedName name="NakshatraTbl">DATA!$B$48:$AF$75</definedName>
    <definedName name="NaxDeg28">DATA!$N$215:$N$242</definedName>
    <definedName name="NaxNames28">DATA!$M$215:$M$242</definedName>
    <definedName name="NDasaC">NarayanaDasa!$C$3:$E$14</definedName>
    <definedName name="NDasaSeq">NarayanaDasa!$B$3:$S$14</definedName>
    <definedName name="NDDaysInYEar">NarayanaDasa!$D$16</definedName>
    <definedName name="NDDoB">NarayanaDasa!$C$16</definedName>
    <definedName name="NDTable">NarayanaDasa!$A$2:$T$14</definedName>
    <definedName name="Pachakaadi">DATA!$A$553:$I$561</definedName>
    <definedName name="palbhaa">Lagna!$J$3</definedName>
    <definedName name="PanchangaVaara">Basics!$B$46</definedName>
    <definedName name="PanchangaYoga">DATA!$A$99:$B$125</definedName>
    <definedName name="PlanetData">DATA!$2:$11</definedName>
    <definedName name="PlanetDataSeq">Vimshottari!$A$1:$A$10</definedName>
    <definedName name="_xlnm.Print_Area" localSheetId="1">Basics!$A$1:$AC$53</definedName>
    <definedName name="PunyaSaham">Sahamas!$I$14</definedName>
    <definedName name="PushyaDegree">DATA!$U$55</definedName>
    <definedName name="RaashiMaan2">Lagna!$K$10</definedName>
    <definedName name="RaashiMaana">Lagna!$G$16:$J$29</definedName>
    <definedName name="RaashiMaana1">Lagna!$K$9</definedName>
    <definedName name="Raashimaana3">Lagna!$K$11</definedName>
    <definedName name="Rahu">Basics!$G$15</definedName>
    <definedName name="RahuDeb">DATA!$J$10</definedName>
    <definedName name="RahuEx">DATA!$H$10</definedName>
    <definedName name="RahuHouse">Ashtakavarga!$C$12</definedName>
    <definedName name="RasiDeg">DATA!$B$16:$C$27</definedName>
    <definedName name="RasiInfo">DATA!$A$16:$J$27</definedName>
    <definedName name="RasiNarayan">NarayanaDasa!$A$39:$E$63</definedName>
    <definedName name="RasiTbl">"$#REF!.$A$42:$A$53"</definedName>
    <definedName name="RasiTbl_11">DATA!$A$16:$A$27</definedName>
    <definedName name="RasiTbl_3">DATA!$A$16:$A$27</definedName>
    <definedName name="RatriMaana">Basics!$D$49</definedName>
    <definedName name="RsInfo">DATA!$B$15:$J$27</definedName>
    <definedName name="RsTbl">DATA!$B$16:$B$27</definedName>
    <definedName name="SamvatsaraTable">DATA!$A$599:$F$659</definedName>
    <definedName name="SatDeb">DATA!$J$9</definedName>
    <definedName name="SatEx">DATA!$H$9</definedName>
    <definedName name="Saturn">Basics!$G$14</definedName>
    <definedName name="SaturnHouse">Ashtakavarga!$C$10</definedName>
    <definedName name="SecondLord">Sahamas!$D$3</definedName>
    <definedName name="ShayanaadiAvastha">DATA!$O$215:$O$226</definedName>
    <definedName name="ShodhanaMinimum">Ashtakavarga!$P$40</definedName>
    <definedName name="SignSym">NarayanaDasa!$C$3:$C$14</definedName>
    <definedName name="StarDeg">DATA!$F$46</definedName>
    <definedName name="Start1">NarayanaDasa!$C$39</definedName>
    <definedName name="Sun">Basics!$G$8</definedName>
    <definedName name="SunDeb">DATA!$J$3</definedName>
    <definedName name="SunDeg">Basics!$G$8</definedName>
    <definedName name="SunEx">DATA!$H$3</definedName>
    <definedName name="SunHouse">Ashtakavarga!$C$4</definedName>
    <definedName name="SunRise">Basics!$B$44</definedName>
    <definedName name="SunSet">Basics!$B$45</definedName>
    <definedName name="tattvatable">#N/A</definedName>
    <definedName name="Test_10">"$#REF!.$A$2:$J$138"</definedName>
    <definedName name="ThirdLord">Sahamas!$D$4</definedName>
    <definedName name="Tithi">DATA!$B$484:$B$491</definedName>
    <definedName name="ToB">Basics!$H$2</definedName>
    <definedName name="triṁśāṁśa_phala">DATA!$A$706:$F$713</definedName>
    <definedName name="UseRetrograde">#N/A</definedName>
    <definedName name="Vaara">#N/A</definedName>
    <definedName name="VaaraOrder">#N/A</definedName>
    <definedName name="VenuDeb">DATA!$J$8</definedName>
    <definedName name="Venus">Basics!$G$13</definedName>
    <definedName name="VenusEx">DATA!$H$8</definedName>
    <definedName name="VenusHouse">Ashtakavarga!$C$9</definedName>
    <definedName name="VimAD">Vimshottari!$G$20:$I$30</definedName>
    <definedName name="VimAntarDasa">Vimshottari!$G$20:$I$29</definedName>
    <definedName name="VimFactor">Vimshottari!$G$231</definedName>
    <definedName name="VimFrac">DATA!$A$494:$R$504</definedName>
    <definedName name="VimMahaDasa">Vimshottari!$C$20:$E$30</definedName>
    <definedName name="VimMD">Vimshottari!$C$20:$E$30</definedName>
    <definedName name="VimPAD">Vimshottari!$P$20:$R$30</definedName>
    <definedName name="VimPD">Vimshottari!$J$20:$L$30</definedName>
    <definedName name="VimSD">Vimshottari!$M$20:$O$30</definedName>
    <definedName name="Vimshopaaka">DATA!$A$533:$E$549</definedName>
    <definedName name="VimshottariDAP">Vimshottari!$A$64:$G$145</definedName>
    <definedName name="VimshottariDasa">Vimshottari!$A$20:$E$30</definedName>
    <definedName name="VimshottariMD">Vimshottari!$D$21:$E$29</definedName>
    <definedName name="VimTotal">DATA!$B$13</definedName>
    <definedName name="Year">Udu!$A$59</definedName>
    <definedName name="YogiDeg">Basics!$G$37</definedName>
    <definedName name="अकथह">DATA!$A$170:$E$179</definedName>
  </definedNames>
  <calcPr calcId="191029" iterateDelta="1E-4"/>
  <pivotCaches>
    <pivotCache cacheId="0" r:id="rId31"/>
    <pivotCache cacheId="1" r:id="rId32"/>
  </pivotCaches>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B40" i="28" l="1"/>
  <c r="B42" i="28" s="1"/>
  <c r="B43" i="28" s="1"/>
  <c r="B39" i="28"/>
  <c r="R3" i="28"/>
  <c r="S3" i="28" s="1"/>
  <c r="T3" i="28" s="1"/>
  <c r="U3" i="28" s="1"/>
  <c r="W3" i="28" s="1"/>
  <c r="X3" i="28" s="1"/>
  <c r="Y3" i="28" s="1"/>
  <c r="Z3" i="28" s="1"/>
  <c r="AA3" i="28" s="1"/>
  <c r="Q3" i="28"/>
  <c r="C3" i="28"/>
  <c r="D3" i="28" s="1"/>
  <c r="E3" i="28" s="1"/>
  <c r="F3" i="28" s="1"/>
  <c r="G3" i="28" s="1"/>
  <c r="I3" i="28" s="1"/>
  <c r="J3" i="28" s="1"/>
  <c r="K3" i="28" s="1"/>
  <c r="L3" i="28" s="1"/>
  <c r="M3" i="28" s="1"/>
  <c r="I1" i="28"/>
  <c r="F1" i="28"/>
  <c r="H86" i="26"/>
  <c r="G86" i="26"/>
  <c r="F86" i="26"/>
  <c r="E86" i="26"/>
  <c r="J86" i="26" s="1"/>
  <c r="D86" i="26"/>
  <c r="I86" i="26" s="1"/>
  <c r="C86" i="26"/>
  <c r="H85" i="26"/>
  <c r="G85" i="26"/>
  <c r="F85" i="26"/>
  <c r="E85" i="26"/>
  <c r="J85" i="26" s="1"/>
  <c r="D85" i="26"/>
  <c r="I85" i="26" s="1"/>
  <c r="C85" i="26"/>
  <c r="H84" i="26"/>
  <c r="G84" i="26"/>
  <c r="F84" i="26"/>
  <c r="E84" i="26"/>
  <c r="J84" i="26" s="1"/>
  <c r="D84" i="26"/>
  <c r="I84" i="26" s="1"/>
  <c r="C84" i="26"/>
  <c r="H83" i="26"/>
  <c r="G83" i="26"/>
  <c r="F83" i="26"/>
  <c r="E83" i="26"/>
  <c r="J83" i="26" s="1"/>
  <c r="D83" i="26"/>
  <c r="I83" i="26" s="1"/>
  <c r="C83" i="26"/>
  <c r="H82" i="26"/>
  <c r="G82" i="26"/>
  <c r="F82" i="26"/>
  <c r="E82" i="26"/>
  <c r="J82" i="26" s="1"/>
  <c r="D82" i="26"/>
  <c r="I82" i="26" s="1"/>
  <c r="C82" i="26"/>
  <c r="H81" i="26"/>
  <c r="G81" i="26"/>
  <c r="F81" i="26"/>
  <c r="E81" i="26"/>
  <c r="J81" i="26" s="1"/>
  <c r="D81" i="26"/>
  <c r="I81" i="26" s="1"/>
  <c r="C81" i="26"/>
  <c r="H80" i="26"/>
  <c r="G80" i="26"/>
  <c r="F80" i="26"/>
  <c r="E80" i="26"/>
  <c r="J80" i="26" s="1"/>
  <c r="D80" i="26"/>
  <c r="I80" i="26" s="1"/>
  <c r="C80" i="26"/>
  <c r="H79" i="26"/>
  <c r="G79" i="26"/>
  <c r="F79" i="26"/>
  <c r="E79" i="26"/>
  <c r="J79" i="26" s="1"/>
  <c r="D79" i="26"/>
  <c r="I79" i="26" s="1"/>
  <c r="C79" i="26"/>
  <c r="H78" i="26"/>
  <c r="G78" i="26"/>
  <c r="F78" i="26"/>
  <c r="E78" i="26"/>
  <c r="J78" i="26" s="1"/>
  <c r="D78" i="26"/>
  <c r="I78" i="26" s="1"/>
  <c r="C78" i="26"/>
  <c r="H77" i="26"/>
  <c r="G77" i="26"/>
  <c r="F77" i="26"/>
  <c r="E77" i="26"/>
  <c r="J77" i="26" s="1"/>
  <c r="D77" i="26"/>
  <c r="I77" i="26" s="1"/>
  <c r="C77" i="26"/>
  <c r="H76" i="26"/>
  <c r="G76" i="26"/>
  <c r="F76" i="26"/>
  <c r="E76" i="26"/>
  <c r="J76" i="26" s="1"/>
  <c r="D76" i="26"/>
  <c r="I76" i="26" s="1"/>
  <c r="C76" i="26"/>
  <c r="H75" i="26"/>
  <c r="G75" i="26"/>
  <c r="F75" i="26"/>
  <c r="E75" i="26"/>
  <c r="J75" i="26" s="1"/>
  <c r="D75" i="26"/>
  <c r="I75" i="26" s="1"/>
  <c r="C75" i="26"/>
  <c r="H74" i="26"/>
  <c r="G74" i="26"/>
  <c r="F74" i="26"/>
  <c r="E74" i="26"/>
  <c r="J74" i="26" s="1"/>
  <c r="D74" i="26"/>
  <c r="I74" i="26" s="1"/>
  <c r="C74" i="26"/>
  <c r="H73" i="26"/>
  <c r="G73" i="26"/>
  <c r="F73" i="26"/>
  <c r="E73" i="26"/>
  <c r="J73" i="26" s="1"/>
  <c r="D73" i="26"/>
  <c r="I73" i="26" s="1"/>
  <c r="C73" i="26"/>
  <c r="H72" i="26"/>
  <c r="G72" i="26"/>
  <c r="F72" i="26"/>
  <c r="E72" i="26"/>
  <c r="J72" i="26" s="1"/>
  <c r="D72" i="26"/>
  <c r="I72" i="26" s="1"/>
  <c r="C72" i="26"/>
  <c r="H71" i="26"/>
  <c r="G71" i="26"/>
  <c r="F71" i="26"/>
  <c r="E71" i="26"/>
  <c r="J71" i="26" s="1"/>
  <c r="D71" i="26"/>
  <c r="I71" i="26" s="1"/>
  <c r="C71" i="26"/>
  <c r="H70" i="26"/>
  <c r="G70" i="26"/>
  <c r="F70" i="26"/>
  <c r="E70" i="26"/>
  <c r="J70" i="26" s="1"/>
  <c r="D70" i="26"/>
  <c r="I70" i="26" s="1"/>
  <c r="C70" i="26"/>
  <c r="H69" i="26"/>
  <c r="G69" i="26"/>
  <c r="F69" i="26"/>
  <c r="E69" i="26"/>
  <c r="J69" i="26" s="1"/>
  <c r="D69" i="26"/>
  <c r="I69" i="26" s="1"/>
  <c r="C69" i="26"/>
  <c r="B64" i="26"/>
  <c r="C64" i="26" s="1"/>
  <c r="B63" i="26"/>
  <c r="C63" i="26" s="1"/>
  <c r="C62" i="26"/>
  <c r="B62" i="26"/>
  <c r="B61" i="26"/>
  <c r="C61" i="26" s="1"/>
  <c r="B60" i="26"/>
  <c r="B59" i="26"/>
  <c r="C59" i="26" s="1"/>
  <c r="B58" i="26"/>
  <c r="C58" i="26" s="1"/>
  <c r="B57" i="26"/>
  <c r="C57" i="26" s="1"/>
  <c r="B56" i="26"/>
  <c r="C56" i="26" s="1"/>
  <c r="D54" i="26"/>
  <c r="E56" i="26" s="1"/>
  <c r="B51" i="26"/>
  <c r="E50" i="26"/>
  <c r="B50" i="26"/>
  <c r="B49" i="26"/>
  <c r="E49" i="26" s="1"/>
  <c r="B48" i="26"/>
  <c r="E48" i="26" s="1"/>
  <c r="E47" i="26"/>
  <c r="B47" i="26"/>
  <c r="B46" i="26"/>
  <c r="E46" i="26" s="1"/>
  <c r="B45" i="26"/>
  <c r="E44" i="26"/>
  <c r="B44" i="26"/>
  <c r="B43" i="26"/>
  <c r="E43" i="26" s="1"/>
  <c r="B38" i="26"/>
  <c r="E38" i="26" s="1"/>
  <c r="E37" i="26"/>
  <c r="B37" i="26"/>
  <c r="E36" i="26"/>
  <c r="B36" i="26"/>
  <c r="B35" i="26"/>
  <c r="B34" i="26"/>
  <c r="B33" i="26"/>
  <c r="E33" i="26" s="1"/>
  <c r="B32" i="26"/>
  <c r="E32" i="26" s="1"/>
  <c r="B31" i="26"/>
  <c r="C30" i="26"/>
  <c r="B30" i="26"/>
  <c r="E30" i="26" s="1"/>
  <c r="C28" i="26"/>
  <c r="B28" i="26"/>
  <c r="J25" i="26"/>
  <c r="H24" i="26"/>
  <c r="H22" i="26"/>
  <c r="H21" i="26"/>
  <c r="H20" i="26"/>
  <c r="H19" i="26"/>
  <c r="H18" i="26"/>
  <c r="H17" i="26"/>
  <c r="H16" i="26"/>
  <c r="H15" i="26"/>
  <c r="H14" i="26"/>
  <c r="H13" i="26"/>
  <c r="H12" i="26"/>
  <c r="H11" i="26"/>
  <c r="H10" i="26"/>
  <c r="H9" i="26"/>
  <c r="C60" i="26" s="1"/>
  <c r="H8" i="26"/>
  <c r="H7" i="26"/>
  <c r="H6" i="26"/>
  <c r="E31" i="26" s="1"/>
  <c r="H5" i="26"/>
  <c r="B3" i="25"/>
  <c r="D22" i="24"/>
  <c r="D21" i="24"/>
  <c r="D20" i="24"/>
  <c r="D19" i="24"/>
  <c r="D18" i="24"/>
  <c r="D17" i="24"/>
  <c r="D16" i="24"/>
  <c r="D15" i="24"/>
  <c r="D14" i="24"/>
  <c r="E11" i="24"/>
  <c r="D11" i="24"/>
  <c r="E10" i="24"/>
  <c r="D10" i="24"/>
  <c r="E9" i="24"/>
  <c r="D9" i="24"/>
  <c r="E8" i="24"/>
  <c r="D8" i="24"/>
  <c r="E7" i="24"/>
  <c r="D7" i="24"/>
  <c r="E6" i="24"/>
  <c r="D6" i="24"/>
  <c r="E5" i="24"/>
  <c r="D5" i="24"/>
  <c r="E4" i="24"/>
  <c r="D4" i="24"/>
  <c r="E3" i="24"/>
  <c r="D3" i="24"/>
  <c r="F1" i="24"/>
  <c r="N23" i="23"/>
  <c r="N24" i="23" s="1"/>
  <c r="N25" i="23" s="1"/>
  <c r="N26" i="23" s="1"/>
  <c r="N27" i="23" s="1"/>
  <c r="N28" i="23" s="1"/>
  <c r="N29" i="23" s="1"/>
  <c r="N30" i="23" s="1"/>
  <c r="N31" i="23" s="1"/>
  <c r="N32" i="23" s="1"/>
  <c r="N33" i="23" s="1"/>
  <c r="N34" i="23" s="1"/>
  <c r="E17" i="23"/>
  <c r="E18" i="23" s="1"/>
  <c r="E19" i="23" s="1"/>
  <c r="E20" i="23" s="1"/>
  <c r="E21" i="23" s="1"/>
  <c r="E22" i="23" s="1"/>
  <c r="E23" i="23" s="1"/>
  <c r="E24" i="23" s="1"/>
  <c r="E25" i="23" s="1"/>
  <c r="E26" i="23" s="1"/>
  <c r="E27" i="23" s="1"/>
  <c r="E28" i="23" s="1"/>
  <c r="E29" i="23" s="1"/>
  <c r="E30" i="23" s="1"/>
  <c r="E31" i="23" s="1"/>
  <c r="E32" i="23" s="1"/>
  <c r="I14" i="23"/>
  <c r="I15" i="23" s="1"/>
  <c r="N12" i="23"/>
  <c r="N13" i="23" s="1"/>
  <c r="N14" i="23" s="1"/>
  <c r="N15" i="23" s="1"/>
  <c r="N16" i="23" s="1"/>
  <c r="N17" i="23" s="1"/>
  <c r="N18" i="23" s="1"/>
  <c r="N19" i="23" s="1"/>
  <c r="N20" i="23" s="1"/>
  <c r="N21" i="23" s="1"/>
  <c r="N10" i="23"/>
  <c r="N11" i="23" s="1"/>
  <c r="H8" i="23"/>
  <c r="D6" i="23"/>
  <c r="D7" i="23" s="1"/>
  <c r="D8" i="23" s="1"/>
  <c r="D9" i="23" s="1"/>
  <c r="D10" i="23" s="1"/>
  <c r="D11" i="23" s="1"/>
  <c r="D12" i="23" s="1"/>
  <c r="D13" i="23" s="1"/>
  <c r="D14" i="23" s="1"/>
  <c r="D15" i="23" s="1"/>
  <c r="D16" i="23" s="1"/>
  <c r="D17" i="23" s="1"/>
  <c r="D18" i="23" s="1"/>
  <c r="D19" i="23" s="1"/>
  <c r="D20" i="23" s="1"/>
  <c r="D21" i="23" s="1"/>
  <c r="D22" i="23" s="1"/>
  <c r="D23" i="23" s="1"/>
  <c r="D24" i="23" s="1"/>
  <c r="D25" i="23" s="1"/>
  <c r="D26" i="23" s="1"/>
  <c r="D27" i="23" s="1"/>
  <c r="D28" i="23" s="1"/>
  <c r="D29" i="23" s="1"/>
  <c r="D30" i="23" s="1"/>
  <c r="D31" i="23" s="1"/>
  <c r="D32" i="23" s="1"/>
  <c r="E5" i="23"/>
  <c r="E6" i="23" s="1"/>
  <c r="E7" i="23" s="1"/>
  <c r="E8" i="23" s="1"/>
  <c r="E9" i="23" s="1"/>
  <c r="E10" i="23" s="1"/>
  <c r="E11" i="23" s="1"/>
  <c r="E12" i="23" s="1"/>
  <c r="E13" i="23" s="1"/>
  <c r="E14" i="23" s="1"/>
  <c r="E15" i="23" s="1"/>
  <c r="E16" i="23" s="1"/>
  <c r="E3" i="23"/>
  <c r="E4" i="23" s="1"/>
  <c r="D3" i="23"/>
  <c r="D4" i="23" s="1"/>
  <c r="D5" i="23" s="1"/>
  <c r="E2" i="23"/>
  <c r="U29" i="21"/>
  <c r="P29" i="21"/>
  <c r="U28" i="21"/>
  <c r="O28" i="21"/>
  <c r="N28" i="21"/>
  <c r="U27" i="21"/>
  <c r="O27" i="21"/>
  <c r="N27" i="21"/>
  <c r="U26" i="21"/>
  <c r="N26" i="21"/>
  <c r="O26" i="21" s="1"/>
  <c r="U25" i="21"/>
  <c r="Q25" i="21"/>
  <c r="O25" i="21"/>
  <c r="N25" i="21"/>
  <c r="U24" i="21"/>
  <c r="N24" i="21"/>
  <c r="O24" i="21" s="1"/>
  <c r="U23" i="21"/>
  <c r="Q23" i="21"/>
  <c r="O23" i="21"/>
  <c r="N23" i="21"/>
  <c r="U22" i="21"/>
  <c r="S22" i="21"/>
  <c r="R22" i="21"/>
  <c r="Q22" i="21"/>
  <c r="N22" i="21"/>
  <c r="O22" i="21" s="1"/>
  <c r="U21" i="21"/>
  <c r="Q21" i="21"/>
  <c r="O21" i="21"/>
  <c r="N21" i="21"/>
  <c r="U20" i="21"/>
  <c r="R20" i="21"/>
  <c r="S20" i="21" s="1"/>
  <c r="Q20" i="21"/>
  <c r="O20" i="21"/>
  <c r="N20" i="21"/>
  <c r="U19" i="21"/>
  <c r="S19" i="21"/>
  <c r="R19" i="21"/>
  <c r="O19" i="21"/>
  <c r="N19" i="21"/>
  <c r="U18" i="21"/>
  <c r="S18" i="21"/>
  <c r="R18" i="21"/>
  <c r="N18" i="21"/>
  <c r="Y17" i="21"/>
  <c r="U17" i="21"/>
  <c r="S17" i="21"/>
  <c r="R17" i="21"/>
  <c r="N17" i="21"/>
  <c r="O17" i="21" s="1"/>
  <c r="Y14" i="21"/>
  <c r="W12" i="21"/>
  <c r="Y12" i="21" s="1"/>
  <c r="Y11" i="21"/>
  <c r="W11" i="21"/>
  <c r="N11" i="21"/>
  <c r="Y18" i="21" s="1"/>
  <c r="M11" i="21"/>
  <c r="B11" i="21"/>
  <c r="W10" i="21"/>
  <c r="Y10" i="21" s="1"/>
  <c r="N10" i="21"/>
  <c r="M10" i="21"/>
  <c r="B10" i="21"/>
  <c r="N9" i="21"/>
  <c r="Y13" i="21" s="1"/>
  <c r="M9" i="21"/>
  <c r="B7" i="21"/>
  <c r="B5" i="21"/>
  <c r="B4" i="21"/>
  <c r="J3" i="21"/>
  <c r="H5" i="21" s="1"/>
  <c r="J5" i="21" s="1"/>
  <c r="B3" i="21"/>
  <c r="M88" i="19"/>
  <c r="J88" i="19"/>
  <c r="I88" i="19"/>
  <c r="E88" i="19"/>
  <c r="B88" i="19"/>
  <c r="A88" i="19"/>
  <c r="J87" i="19"/>
  <c r="G87" i="19"/>
  <c r="F87" i="19"/>
  <c r="B87" i="19"/>
  <c r="L86" i="19"/>
  <c r="K86" i="19"/>
  <c r="G86" i="19"/>
  <c r="D86" i="19"/>
  <c r="C86" i="19"/>
  <c r="L85" i="19"/>
  <c r="I85" i="19"/>
  <c r="H85" i="19"/>
  <c r="D85" i="19"/>
  <c r="A85" i="19"/>
  <c r="M84" i="19"/>
  <c r="F84" i="19"/>
  <c r="E84" i="19"/>
  <c r="K83" i="19"/>
  <c r="J83" i="19"/>
  <c r="C83" i="19"/>
  <c r="B83" i="19"/>
  <c r="H82" i="19"/>
  <c r="H97" i="19" s="1"/>
  <c r="G82" i="19"/>
  <c r="G97" i="19" s="1"/>
  <c r="M81" i="19"/>
  <c r="L81" i="19"/>
  <c r="E81" i="19"/>
  <c r="D81" i="19"/>
  <c r="J80" i="19"/>
  <c r="I80" i="19"/>
  <c r="B80" i="19"/>
  <c r="A80" i="19"/>
  <c r="G79" i="19"/>
  <c r="F79" i="19"/>
  <c r="L78" i="19"/>
  <c r="K78" i="19"/>
  <c r="D78" i="19"/>
  <c r="C78" i="19"/>
  <c r="I77" i="19"/>
  <c r="H77" i="19"/>
  <c r="A77" i="19"/>
  <c r="M76" i="19"/>
  <c r="F76" i="19"/>
  <c r="E76" i="19"/>
  <c r="K75" i="19"/>
  <c r="J75" i="19"/>
  <c r="C75" i="19"/>
  <c r="B75" i="19"/>
  <c r="M59" i="19"/>
  <c r="L59" i="19"/>
  <c r="K59" i="19"/>
  <c r="J59" i="19"/>
  <c r="I59" i="19"/>
  <c r="H59" i="19"/>
  <c r="F59" i="19"/>
  <c r="E59" i="19"/>
  <c r="D59" i="19"/>
  <c r="C59" i="19"/>
  <c r="B59" i="19"/>
  <c r="A59" i="19"/>
  <c r="M58" i="19"/>
  <c r="L58" i="19"/>
  <c r="L88" i="19" s="1"/>
  <c r="K58" i="19"/>
  <c r="K88" i="19" s="1"/>
  <c r="J58" i="19"/>
  <c r="I58" i="19"/>
  <c r="H58" i="19"/>
  <c r="H88" i="19" s="1"/>
  <c r="G58" i="19"/>
  <c r="G88" i="19" s="1"/>
  <c r="F58" i="19"/>
  <c r="F88" i="19" s="1"/>
  <c r="E58" i="19"/>
  <c r="D58" i="19"/>
  <c r="D88" i="19" s="1"/>
  <c r="C58" i="19"/>
  <c r="C88" i="19" s="1"/>
  <c r="B58" i="19"/>
  <c r="A58" i="19"/>
  <c r="M57" i="19"/>
  <c r="M87" i="19" s="1"/>
  <c r="L57" i="19"/>
  <c r="L87" i="19" s="1"/>
  <c r="K57" i="19"/>
  <c r="K87" i="19" s="1"/>
  <c r="J57" i="19"/>
  <c r="I57" i="19"/>
  <c r="I87" i="19" s="1"/>
  <c r="H57" i="19"/>
  <c r="H87" i="19" s="1"/>
  <c r="G57" i="19"/>
  <c r="F57" i="19"/>
  <c r="E57" i="19"/>
  <c r="E87" i="19" s="1"/>
  <c r="D57" i="19"/>
  <c r="D87" i="19" s="1"/>
  <c r="C57" i="19"/>
  <c r="C87" i="19" s="1"/>
  <c r="B57" i="19"/>
  <c r="A57" i="19"/>
  <c r="A87" i="19" s="1"/>
  <c r="M56" i="19"/>
  <c r="M86" i="19" s="1"/>
  <c r="L56" i="19"/>
  <c r="K56" i="19"/>
  <c r="J56" i="19"/>
  <c r="J86" i="19" s="1"/>
  <c r="I56" i="19"/>
  <c r="I86" i="19" s="1"/>
  <c r="H56" i="19"/>
  <c r="H86" i="19" s="1"/>
  <c r="G56" i="19"/>
  <c r="F56" i="19"/>
  <c r="F86" i="19" s="1"/>
  <c r="E56" i="19"/>
  <c r="E86" i="19" s="1"/>
  <c r="D56" i="19"/>
  <c r="C56" i="19"/>
  <c r="B56" i="19"/>
  <c r="B86" i="19" s="1"/>
  <c r="A56" i="19"/>
  <c r="A86" i="19" s="1"/>
  <c r="M55" i="19"/>
  <c r="M85" i="19" s="1"/>
  <c r="L55" i="19"/>
  <c r="K55" i="19"/>
  <c r="K85" i="19" s="1"/>
  <c r="J55" i="19"/>
  <c r="J85" i="19" s="1"/>
  <c r="I55" i="19"/>
  <c r="H55" i="19"/>
  <c r="G55" i="19"/>
  <c r="G85" i="19" s="1"/>
  <c r="F55" i="19"/>
  <c r="F85" i="19" s="1"/>
  <c r="E55" i="19"/>
  <c r="E85" i="19" s="1"/>
  <c r="D55" i="19"/>
  <c r="C55" i="19"/>
  <c r="C85" i="19" s="1"/>
  <c r="B55" i="19"/>
  <c r="B85" i="19" s="1"/>
  <c r="A55" i="19"/>
  <c r="M54" i="19"/>
  <c r="L54" i="19"/>
  <c r="L84" i="19" s="1"/>
  <c r="K54" i="19"/>
  <c r="K84" i="19" s="1"/>
  <c r="J54" i="19"/>
  <c r="J84" i="19" s="1"/>
  <c r="I54" i="19"/>
  <c r="I84" i="19" s="1"/>
  <c r="H54" i="19"/>
  <c r="H84" i="19" s="1"/>
  <c r="G54" i="19"/>
  <c r="G84" i="19" s="1"/>
  <c r="F54" i="19"/>
  <c r="E54" i="19"/>
  <c r="D54" i="19"/>
  <c r="D84" i="19" s="1"/>
  <c r="C54" i="19"/>
  <c r="C84" i="19" s="1"/>
  <c r="B54" i="19"/>
  <c r="B84" i="19" s="1"/>
  <c r="A54" i="19"/>
  <c r="A84" i="19" s="1"/>
  <c r="M53" i="19"/>
  <c r="M83" i="19" s="1"/>
  <c r="L53" i="19"/>
  <c r="L83" i="19" s="1"/>
  <c r="K53" i="19"/>
  <c r="J53" i="19"/>
  <c r="I53" i="19"/>
  <c r="I83" i="19" s="1"/>
  <c r="H53" i="19"/>
  <c r="H83" i="19" s="1"/>
  <c r="G53" i="19"/>
  <c r="G83" i="19" s="1"/>
  <c r="F53" i="19"/>
  <c r="F83" i="19" s="1"/>
  <c r="E53" i="19"/>
  <c r="E83" i="19" s="1"/>
  <c r="D53" i="19"/>
  <c r="D83" i="19" s="1"/>
  <c r="C53" i="19"/>
  <c r="B53" i="19"/>
  <c r="A53" i="19"/>
  <c r="A83" i="19" s="1"/>
  <c r="M52" i="19"/>
  <c r="M82" i="19" s="1"/>
  <c r="M97" i="19" s="1"/>
  <c r="L52" i="19"/>
  <c r="L82" i="19" s="1"/>
  <c r="L97" i="19" s="1"/>
  <c r="K52" i="19"/>
  <c r="K82" i="19" s="1"/>
  <c r="K97" i="19" s="1"/>
  <c r="J52" i="19"/>
  <c r="J82" i="19" s="1"/>
  <c r="J97" i="19" s="1"/>
  <c r="I52" i="19"/>
  <c r="I82" i="19" s="1"/>
  <c r="I97" i="19" s="1"/>
  <c r="H52" i="19"/>
  <c r="G52" i="19"/>
  <c r="F52" i="19"/>
  <c r="F82" i="19" s="1"/>
  <c r="F97" i="19" s="1"/>
  <c r="E52" i="19"/>
  <c r="E82" i="19" s="1"/>
  <c r="E97" i="19" s="1"/>
  <c r="D52" i="19"/>
  <c r="D82" i="19" s="1"/>
  <c r="D97" i="19" s="1"/>
  <c r="C52" i="19"/>
  <c r="C82" i="19" s="1"/>
  <c r="C97" i="19" s="1"/>
  <c r="B52" i="19"/>
  <c r="B82" i="19" s="1"/>
  <c r="B97" i="19" s="1"/>
  <c r="A52" i="19"/>
  <c r="A82" i="19" s="1"/>
  <c r="A97" i="19" s="1"/>
  <c r="M51" i="19"/>
  <c r="L51" i="19"/>
  <c r="K51" i="19"/>
  <c r="K81" i="19" s="1"/>
  <c r="J51" i="19"/>
  <c r="J81" i="19" s="1"/>
  <c r="I51" i="19"/>
  <c r="I81" i="19" s="1"/>
  <c r="H51" i="19"/>
  <c r="H81" i="19" s="1"/>
  <c r="G51" i="19"/>
  <c r="G81" i="19" s="1"/>
  <c r="F51" i="19"/>
  <c r="F81" i="19" s="1"/>
  <c r="E51" i="19"/>
  <c r="D51" i="19"/>
  <c r="C51" i="19"/>
  <c r="C81" i="19" s="1"/>
  <c r="B51" i="19"/>
  <c r="B81" i="19" s="1"/>
  <c r="A51" i="19"/>
  <c r="A81" i="19" s="1"/>
  <c r="M50" i="19"/>
  <c r="M80" i="19" s="1"/>
  <c r="L50" i="19"/>
  <c r="L80" i="19" s="1"/>
  <c r="K50" i="19"/>
  <c r="K80" i="19" s="1"/>
  <c r="J50" i="19"/>
  <c r="I50" i="19"/>
  <c r="H50" i="19"/>
  <c r="H80" i="19" s="1"/>
  <c r="G50" i="19"/>
  <c r="G80" i="19" s="1"/>
  <c r="F50" i="19"/>
  <c r="F80" i="19" s="1"/>
  <c r="E50" i="19"/>
  <c r="E80" i="19" s="1"/>
  <c r="D50" i="19"/>
  <c r="D80" i="19" s="1"/>
  <c r="C50" i="19"/>
  <c r="C80" i="19" s="1"/>
  <c r="B50" i="19"/>
  <c r="A50" i="19"/>
  <c r="M49" i="19"/>
  <c r="M79" i="19" s="1"/>
  <c r="L49" i="19"/>
  <c r="L79" i="19" s="1"/>
  <c r="K49" i="19"/>
  <c r="K79" i="19" s="1"/>
  <c r="J49" i="19"/>
  <c r="J79" i="19" s="1"/>
  <c r="I49" i="19"/>
  <c r="I79" i="19" s="1"/>
  <c r="H49" i="19"/>
  <c r="H79" i="19" s="1"/>
  <c r="G49" i="19"/>
  <c r="F49" i="19"/>
  <c r="E49" i="19"/>
  <c r="E79" i="19" s="1"/>
  <c r="D49" i="19"/>
  <c r="D79" i="19" s="1"/>
  <c r="C49" i="19"/>
  <c r="C79" i="19" s="1"/>
  <c r="B49" i="19"/>
  <c r="B79" i="19" s="1"/>
  <c r="A49" i="19"/>
  <c r="A79" i="19" s="1"/>
  <c r="M48" i="19"/>
  <c r="M78" i="19" s="1"/>
  <c r="L48" i="19"/>
  <c r="K48" i="19"/>
  <c r="J48" i="19"/>
  <c r="J78" i="19" s="1"/>
  <c r="I48" i="19"/>
  <c r="I78" i="19" s="1"/>
  <c r="H48" i="19"/>
  <c r="H78" i="19" s="1"/>
  <c r="G48" i="19"/>
  <c r="G78" i="19" s="1"/>
  <c r="F48" i="19"/>
  <c r="F78" i="19" s="1"/>
  <c r="E48" i="19"/>
  <c r="E78" i="19" s="1"/>
  <c r="D48" i="19"/>
  <c r="C48" i="19"/>
  <c r="B48" i="19"/>
  <c r="B78" i="19" s="1"/>
  <c r="A48" i="19"/>
  <c r="A78" i="19" s="1"/>
  <c r="M47" i="19"/>
  <c r="M77" i="19" s="1"/>
  <c r="L47" i="19"/>
  <c r="L77" i="19" s="1"/>
  <c r="K47" i="19"/>
  <c r="K77" i="19" s="1"/>
  <c r="J47" i="19"/>
  <c r="J77" i="19" s="1"/>
  <c r="I47" i="19"/>
  <c r="H47" i="19"/>
  <c r="G47" i="19"/>
  <c r="G77" i="19" s="1"/>
  <c r="F47" i="19"/>
  <c r="F77" i="19" s="1"/>
  <c r="E47" i="19"/>
  <c r="E77" i="19" s="1"/>
  <c r="D47" i="19"/>
  <c r="D77" i="19" s="1"/>
  <c r="C47" i="19"/>
  <c r="C77" i="19" s="1"/>
  <c r="B47" i="19"/>
  <c r="B77" i="19" s="1"/>
  <c r="A47" i="19"/>
  <c r="M46" i="19"/>
  <c r="L46" i="19"/>
  <c r="L76" i="19" s="1"/>
  <c r="K46" i="19"/>
  <c r="K76" i="19" s="1"/>
  <c r="J46" i="19"/>
  <c r="J76" i="19" s="1"/>
  <c r="I46" i="19"/>
  <c r="I76" i="19" s="1"/>
  <c r="H46" i="19"/>
  <c r="H76" i="19" s="1"/>
  <c r="G46" i="19"/>
  <c r="G76" i="19" s="1"/>
  <c r="F46" i="19"/>
  <c r="E46" i="19"/>
  <c r="D46" i="19"/>
  <c r="D76" i="19" s="1"/>
  <c r="C46" i="19"/>
  <c r="C76" i="19" s="1"/>
  <c r="B46" i="19"/>
  <c r="B76" i="19" s="1"/>
  <c r="A46" i="19"/>
  <c r="A76" i="19" s="1"/>
  <c r="M45" i="19"/>
  <c r="M75" i="19" s="1"/>
  <c r="L45" i="19"/>
  <c r="L75" i="19" s="1"/>
  <c r="K45" i="19"/>
  <c r="J45" i="19"/>
  <c r="I45" i="19"/>
  <c r="I75" i="19" s="1"/>
  <c r="H45" i="19"/>
  <c r="H75" i="19" s="1"/>
  <c r="G45" i="19"/>
  <c r="G75" i="19" s="1"/>
  <c r="F45" i="19"/>
  <c r="F75" i="19" s="1"/>
  <c r="E45" i="19"/>
  <c r="E75" i="19" s="1"/>
  <c r="D45" i="19"/>
  <c r="D75" i="19" s="1"/>
  <c r="C45" i="19"/>
  <c r="B45" i="19"/>
  <c r="A45" i="19"/>
  <c r="A75" i="19" s="1"/>
  <c r="R12" i="18"/>
  <c r="P12" i="18" s="1"/>
  <c r="N12" i="18" s="1"/>
  <c r="L12" i="18" s="1"/>
  <c r="J12" i="18" s="1"/>
  <c r="H12" i="18" s="1"/>
  <c r="F12" i="18" s="1"/>
  <c r="D12" i="18" s="1"/>
  <c r="Q12" i="18"/>
  <c r="O12" i="18" s="1"/>
  <c r="M12" i="18" s="1"/>
  <c r="K12" i="18" s="1"/>
  <c r="I12" i="18" s="1"/>
  <c r="G12" i="18" s="1"/>
  <c r="E12" i="18" s="1"/>
  <c r="C12" i="18" s="1"/>
  <c r="O6" i="18"/>
  <c r="P7" i="18" s="1"/>
  <c r="Q8" i="18" s="1"/>
  <c r="R9" i="18" s="1"/>
  <c r="S10" i="18" s="1"/>
  <c r="T11" i="18" s="1"/>
  <c r="N5" i="18"/>
  <c r="M4" i="18"/>
  <c r="J4" i="18"/>
  <c r="I5" i="18" s="1"/>
  <c r="H6" i="18" s="1"/>
  <c r="G7" i="18" s="1"/>
  <c r="F8" i="18" s="1"/>
  <c r="E9" i="18" s="1"/>
  <c r="D10" i="18" s="1"/>
  <c r="C11" i="18" s="1"/>
  <c r="K58" i="17"/>
  <c r="I58" i="17"/>
  <c r="L58" i="17" s="1"/>
  <c r="L57" i="17"/>
  <c r="K57" i="17"/>
  <c r="J57" i="17"/>
  <c r="I57" i="17"/>
  <c r="K56" i="17"/>
  <c r="J56" i="17"/>
  <c r="I56" i="17"/>
  <c r="L56" i="17" s="1"/>
  <c r="L55" i="17"/>
  <c r="K55" i="17"/>
  <c r="J55" i="17"/>
  <c r="I55" i="17"/>
  <c r="I54" i="17"/>
  <c r="L54" i="17" s="1"/>
  <c r="L53" i="17"/>
  <c r="K53" i="17"/>
  <c r="J53" i="17"/>
  <c r="I53" i="17"/>
  <c r="K52" i="17"/>
  <c r="I52" i="17"/>
  <c r="L52" i="17" s="1"/>
  <c r="H362" i="15"/>
  <c r="B362" i="15"/>
  <c r="H360" i="15"/>
  <c r="B360" i="15"/>
  <c r="H358" i="15"/>
  <c r="B358" i="15"/>
  <c r="I356" i="15"/>
  <c r="H356" i="15"/>
  <c r="B356" i="15"/>
  <c r="B354" i="15"/>
  <c r="B352" i="15"/>
  <c r="I350" i="15"/>
  <c r="B350" i="15"/>
  <c r="I348" i="15"/>
  <c r="J348" i="15" s="1"/>
  <c r="K348" i="15" s="1"/>
  <c r="B348" i="15"/>
  <c r="J346" i="15"/>
  <c r="I346" i="15"/>
  <c r="H346" i="15"/>
  <c r="B346" i="15"/>
  <c r="I344" i="15"/>
  <c r="H344" i="15"/>
  <c r="B344" i="15"/>
  <c r="H342" i="15"/>
  <c r="I342" i="15" s="1"/>
  <c r="B342" i="15"/>
  <c r="I340" i="15"/>
  <c r="H340" i="15"/>
  <c r="B340" i="15"/>
  <c r="I337" i="15"/>
  <c r="H337" i="15"/>
  <c r="F337" i="15"/>
  <c r="D336" i="15"/>
  <c r="A330" i="15"/>
  <c r="H328" i="15"/>
  <c r="A328" i="15"/>
  <c r="A326" i="15"/>
  <c r="H324" i="15"/>
  <c r="B324" i="15"/>
  <c r="A324" i="15"/>
  <c r="B322" i="15"/>
  <c r="A322" i="15"/>
  <c r="A320" i="15"/>
  <c r="N318" i="15"/>
  <c r="O318" i="15" s="1"/>
  <c r="P318" i="15" s="1"/>
  <c r="Q318" i="15" s="1"/>
  <c r="R318" i="15" s="1"/>
  <c r="S318" i="15" s="1"/>
  <c r="I318" i="15"/>
  <c r="J318" i="15" s="1"/>
  <c r="K318" i="15" s="1"/>
  <c r="L318" i="15" s="1"/>
  <c r="M318" i="15" s="1"/>
  <c r="A318" i="15"/>
  <c r="H316" i="15"/>
  <c r="B316" i="15"/>
  <c r="A316" i="15"/>
  <c r="B314" i="15"/>
  <c r="A314" i="15"/>
  <c r="H314" i="15" s="1"/>
  <c r="I312" i="15"/>
  <c r="H312" i="15"/>
  <c r="B312" i="15"/>
  <c r="A312" i="15"/>
  <c r="H310" i="15"/>
  <c r="A310" i="15"/>
  <c r="B310" i="15" s="1"/>
  <c r="A308" i="15"/>
  <c r="D304" i="15"/>
  <c r="B299" i="15"/>
  <c r="A299" i="15"/>
  <c r="H299" i="15" s="1"/>
  <c r="H297" i="15"/>
  <c r="A297" i="15"/>
  <c r="I295" i="15"/>
  <c r="H295" i="15"/>
  <c r="D295" i="15"/>
  <c r="B295" i="15"/>
  <c r="A295" i="15"/>
  <c r="H293" i="15"/>
  <c r="D293" i="15"/>
  <c r="A293" i="15"/>
  <c r="B293" i="15" s="1"/>
  <c r="A291" i="15"/>
  <c r="D289" i="15"/>
  <c r="B289" i="15"/>
  <c r="A289" i="15"/>
  <c r="C289" i="15" s="1"/>
  <c r="I287" i="15"/>
  <c r="J287" i="15" s="1"/>
  <c r="K287" i="15" s="1"/>
  <c r="L287" i="15" s="1"/>
  <c r="M287" i="15" s="1"/>
  <c r="N287" i="15" s="1"/>
  <c r="O287" i="15" s="1"/>
  <c r="P287" i="15" s="1"/>
  <c r="Q287" i="15" s="1"/>
  <c r="R287" i="15" s="1"/>
  <c r="S287" i="15" s="1"/>
  <c r="A287" i="15"/>
  <c r="C287" i="15" s="1"/>
  <c r="H285" i="15"/>
  <c r="C285" i="15"/>
  <c r="B285" i="15"/>
  <c r="A285" i="15"/>
  <c r="A283" i="15"/>
  <c r="A281" i="15"/>
  <c r="H279" i="15"/>
  <c r="C279" i="15"/>
  <c r="A279" i="15"/>
  <c r="H277" i="15"/>
  <c r="B277" i="15"/>
  <c r="A277" i="15"/>
  <c r="C277" i="15" s="1"/>
  <c r="D273" i="15"/>
  <c r="H267" i="15"/>
  <c r="B267" i="15"/>
  <c r="A267" i="15"/>
  <c r="A265" i="15"/>
  <c r="H263" i="15"/>
  <c r="B263" i="15"/>
  <c r="A263" i="15"/>
  <c r="H261" i="15"/>
  <c r="B261" i="15"/>
  <c r="A261" i="15"/>
  <c r="A259" i="15"/>
  <c r="A257" i="15"/>
  <c r="N255" i="15"/>
  <c r="O255" i="15" s="1"/>
  <c r="P255" i="15" s="1"/>
  <c r="Q255" i="15" s="1"/>
  <c r="R255" i="15" s="1"/>
  <c r="S255" i="15" s="1"/>
  <c r="K255" i="15"/>
  <c r="L255" i="15" s="1"/>
  <c r="M255" i="15" s="1"/>
  <c r="J255" i="15"/>
  <c r="I255" i="15"/>
  <c r="A255" i="15"/>
  <c r="H253" i="15"/>
  <c r="B253" i="15"/>
  <c r="A253" i="15"/>
  <c r="B251" i="15"/>
  <c r="A251" i="15"/>
  <c r="H251" i="15" s="1"/>
  <c r="A249" i="15"/>
  <c r="A247" i="15"/>
  <c r="H245" i="15"/>
  <c r="A245" i="15"/>
  <c r="D241" i="15"/>
  <c r="C253" i="15" s="1"/>
  <c r="H232" i="15"/>
  <c r="A232" i="15"/>
  <c r="H230" i="15"/>
  <c r="B230" i="15"/>
  <c r="H228" i="15"/>
  <c r="I228" i="15" s="1"/>
  <c r="B228" i="15"/>
  <c r="H226" i="15"/>
  <c r="B226" i="15"/>
  <c r="I224" i="15"/>
  <c r="J224" i="15" s="1"/>
  <c r="B224" i="15"/>
  <c r="J222" i="15"/>
  <c r="I222" i="15"/>
  <c r="B222" i="15"/>
  <c r="L220" i="15"/>
  <c r="M220" i="15" s="1"/>
  <c r="N220" i="15" s="1"/>
  <c r="O220" i="15" s="1"/>
  <c r="P220" i="15" s="1"/>
  <c r="Q220" i="15" s="1"/>
  <c r="R220" i="15" s="1"/>
  <c r="S220" i="15" s="1"/>
  <c r="J220" i="15"/>
  <c r="K220" i="15" s="1"/>
  <c r="I220" i="15"/>
  <c r="J218" i="15"/>
  <c r="K218" i="15" s="1"/>
  <c r="L218" i="15" s="1"/>
  <c r="M218" i="15" s="1"/>
  <c r="N218" i="15" s="1"/>
  <c r="O218" i="15" s="1"/>
  <c r="P218" i="15" s="1"/>
  <c r="Q218" i="15" s="1"/>
  <c r="R218" i="15" s="1"/>
  <c r="S218" i="15" s="1"/>
  <c r="I218" i="15"/>
  <c r="K216" i="15"/>
  <c r="L216" i="15" s="1"/>
  <c r="M216" i="15" s="1"/>
  <c r="N216" i="15" s="1"/>
  <c r="O216" i="15" s="1"/>
  <c r="P216" i="15" s="1"/>
  <c r="Q216" i="15" s="1"/>
  <c r="R216" i="15" s="1"/>
  <c r="S216" i="15" s="1"/>
  <c r="J216" i="15"/>
  <c r="I216" i="15"/>
  <c r="I214" i="15"/>
  <c r="J214" i="15" s="1"/>
  <c r="K214" i="15" s="1"/>
  <c r="L214" i="15" s="1"/>
  <c r="M214" i="15" s="1"/>
  <c r="N214" i="15" s="1"/>
  <c r="O214" i="15" s="1"/>
  <c r="P214" i="15" s="1"/>
  <c r="Q214" i="15" s="1"/>
  <c r="R214" i="15" s="1"/>
  <c r="S214" i="15" s="1"/>
  <c r="H212" i="15"/>
  <c r="B212" i="15"/>
  <c r="A210" i="15"/>
  <c r="D206" i="15"/>
  <c r="C197" i="15"/>
  <c r="A197" i="15"/>
  <c r="H195" i="15"/>
  <c r="B195" i="15"/>
  <c r="A195" i="15"/>
  <c r="A193" i="15"/>
  <c r="H191" i="15"/>
  <c r="D191" i="15"/>
  <c r="E191" i="15" s="1"/>
  <c r="A191" i="15"/>
  <c r="B191" i="15" s="1"/>
  <c r="D189" i="15"/>
  <c r="B189" i="15"/>
  <c r="A189" i="15"/>
  <c r="B187" i="15"/>
  <c r="A187" i="15"/>
  <c r="I185" i="15"/>
  <c r="B185" i="15"/>
  <c r="A185" i="15"/>
  <c r="D185" i="15" s="1"/>
  <c r="A183" i="15"/>
  <c r="H181" i="15"/>
  <c r="A181" i="15"/>
  <c r="B181" i="15" s="1"/>
  <c r="H179" i="15"/>
  <c r="D179" i="15"/>
  <c r="C179" i="15"/>
  <c r="B179" i="15"/>
  <c r="A179" i="15"/>
  <c r="A177" i="15"/>
  <c r="H177" i="15" s="1"/>
  <c r="H176" i="15"/>
  <c r="A175" i="15"/>
  <c r="D171" i="15"/>
  <c r="C191" i="15" s="1"/>
  <c r="A161" i="15"/>
  <c r="H159" i="15"/>
  <c r="A159" i="15"/>
  <c r="C159" i="15" s="1"/>
  <c r="H157" i="15"/>
  <c r="D157" i="15"/>
  <c r="E157" i="15" s="1"/>
  <c r="C157" i="15"/>
  <c r="B157" i="15"/>
  <c r="A157" i="15"/>
  <c r="C155" i="15"/>
  <c r="B155" i="15"/>
  <c r="A155" i="15"/>
  <c r="A153" i="15"/>
  <c r="C153" i="15" s="1"/>
  <c r="C151" i="15"/>
  <c r="B151" i="15"/>
  <c r="A151" i="15"/>
  <c r="A149" i="15"/>
  <c r="C149" i="15" s="1"/>
  <c r="C147" i="15"/>
  <c r="B147" i="15"/>
  <c r="A147" i="15"/>
  <c r="A145" i="15"/>
  <c r="H143" i="15"/>
  <c r="A143" i="15"/>
  <c r="C143" i="15" s="1"/>
  <c r="H141" i="15"/>
  <c r="D141" i="15"/>
  <c r="E141" i="15" s="1"/>
  <c r="C141" i="15"/>
  <c r="B141" i="15"/>
  <c r="A141" i="15"/>
  <c r="C139" i="15"/>
  <c r="B139" i="15"/>
  <c r="A139" i="15"/>
  <c r="H139" i="15" s="1"/>
  <c r="D135" i="15"/>
  <c r="B128" i="15"/>
  <c r="A128" i="15"/>
  <c r="H128" i="15" s="1"/>
  <c r="B126" i="15"/>
  <c r="A126" i="15"/>
  <c r="H124" i="15"/>
  <c r="A124" i="15"/>
  <c r="H122" i="15"/>
  <c r="B122" i="15"/>
  <c r="A122" i="15"/>
  <c r="B120" i="15"/>
  <c r="A120" i="15"/>
  <c r="I118" i="15"/>
  <c r="B118" i="15"/>
  <c r="A118" i="15"/>
  <c r="B116" i="15"/>
  <c r="A116" i="15"/>
  <c r="I114" i="15"/>
  <c r="B114" i="15"/>
  <c r="A114" i="15"/>
  <c r="B112" i="15"/>
  <c r="A112" i="15"/>
  <c r="H110" i="15"/>
  <c r="A110" i="15"/>
  <c r="H108" i="15"/>
  <c r="B108" i="15"/>
  <c r="A108" i="15"/>
  <c r="B106" i="15"/>
  <c r="A106" i="15"/>
  <c r="H106" i="15" s="1"/>
  <c r="D102" i="15"/>
  <c r="A96" i="15"/>
  <c r="I94" i="15"/>
  <c r="J94" i="15" s="1"/>
  <c r="H94" i="15"/>
  <c r="B94" i="15"/>
  <c r="A94" i="15"/>
  <c r="A92" i="15"/>
  <c r="H90" i="15"/>
  <c r="B90" i="15"/>
  <c r="A90" i="15"/>
  <c r="B88" i="15"/>
  <c r="A88" i="15"/>
  <c r="B86" i="15"/>
  <c r="A86" i="15"/>
  <c r="I84" i="15"/>
  <c r="J84" i="15" s="1"/>
  <c r="K84" i="15" s="1"/>
  <c r="B84" i="15"/>
  <c r="A84" i="15"/>
  <c r="A82" i="15"/>
  <c r="B82" i="15" s="1"/>
  <c r="K80" i="15"/>
  <c r="L80" i="15" s="1"/>
  <c r="M80" i="15" s="1"/>
  <c r="N80" i="15" s="1"/>
  <c r="O80" i="15" s="1"/>
  <c r="P80" i="15" s="1"/>
  <c r="Q80" i="15" s="1"/>
  <c r="R80" i="15" s="1"/>
  <c r="S80" i="15" s="1"/>
  <c r="J80" i="15"/>
  <c r="I80" i="15"/>
  <c r="A80" i="15"/>
  <c r="L78" i="15"/>
  <c r="M78" i="15" s="1"/>
  <c r="N78" i="15" s="1"/>
  <c r="O78" i="15" s="1"/>
  <c r="P78" i="15" s="1"/>
  <c r="Q78" i="15" s="1"/>
  <c r="R78" i="15" s="1"/>
  <c r="S78" i="15" s="1"/>
  <c r="K78" i="15"/>
  <c r="J78" i="15"/>
  <c r="I78" i="15"/>
  <c r="A78" i="15"/>
  <c r="A76" i="15"/>
  <c r="B76" i="15" s="1"/>
  <c r="A74" i="15"/>
  <c r="H74" i="15" s="1"/>
  <c r="D70" i="15"/>
  <c r="H61" i="15"/>
  <c r="A61" i="15"/>
  <c r="H59" i="15"/>
  <c r="B59" i="15"/>
  <c r="A59" i="15"/>
  <c r="A57" i="15"/>
  <c r="H55" i="15"/>
  <c r="B55" i="15"/>
  <c r="A55" i="15"/>
  <c r="I53" i="15"/>
  <c r="B53" i="15"/>
  <c r="A53" i="15"/>
  <c r="A51" i="15"/>
  <c r="B49" i="15"/>
  <c r="A49" i="15"/>
  <c r="I47" i="15"/>
  <c r="B47" i="15"/>
  <c r="A47" i="15"/>
  <c r="A45" i="15"/>
  <c r="H43" i="15"/>
  <c r="A43" i="15"/>
  <c r="B43" i="15" s="1"/>
  <c r="B41" i="15"/>
  <c r="A41" i="15"/>
  <c r="H41" i="15" s="1"/>
  <c r="A39" i="15"/>
  <c r="H39" i="15" s="1"/>
  <c r="H36" i="15"/>
  <c r="F36" i="15"/>
  <c r="D35" i="15"/>
  <c r="D16" i="15"/>
  <c r="M76" i="14"/>
  <c r="J76" i="14"/>
  <c r="G76" i="14"/>
  <c r="D76" i="14"/>
  <c r="M75" i="14"/>
  <c r="J75" i="14"/>
  <c r="G75" i="14"/>
  <c r="D75" i="14"/>
  <c r="M74" i="14"/>
  <c r="J74" i="14"/>
  <c r="G74" i="14"/>
  <c r="D74" i="14"/>
  <c r="M73" i="14"/>
  <c r="J73" i="14"/>
  <c r="G73" i="14"/>
  <c r="D73" i="14"/>
  <c r="M72" i="14"/>
  <c r="J72" i="14"/>
  <c r="G72" i="14"/>
  <c r="D72" i="14"/>
  <c r="M71" i="14"/>
  <c r="J71" i="14"/>
  <c r="G71" i="14"/>
  <c r="D71" i="14"/>
  <c r="M70" i="14"/>
  <c r="J70" i="14"/>
  <c r="G70" i="14"/>
  <c r="D70" i="14"/>
  <c r="M69" i="14"/>
  <c r="J69" i="14"/>
  <c r="G69" i="14"/>
  <c r="D69" i="14"/>
  <c r="M68" i="14"/>
  <c r="J68" i="14"/>
  <c r="G68" i="14"/>
  <c r="D68" i="14"/>
  <c r="M67" i="14"/>
  <c r="J67" i="14"/>
  <c r="G67" i="14"/>
  <c r="D67" i="14"/>
  <c r="M66" i="14"/>
  <c r="J66" i="14"/>
  <c r="G66" i="14"/>
  <c r="D66" i="14"/>
  <c r="M65" i="14"/>
  <c r="J65" i="14"/>
  <c r="G65" i="14"/>
  <c r="D65" i="14"/>
  <c r="M64" i="14"/>
  <c r="J64" i="14"/>
  <c r="G64" i="14"/>
  <c r="D64" i="14"/>
  <c r="M63" i="14"/>
  <c r="J63" i="14"/>
  <c r="G63" i="14"/>
  <c r="D63" i="14"/>
  <c r="M62" i="14"/>
  <c r="J62" i="14"/>
  <c r="G62" i="14"/>
  <c r="D62" i="14"/>
  <c r="M61" i="14"/>
  <c r="J61" i="14"/>
  <c r="G61" i="14"/>
  <c r="D61" i="14"/>
  <c r="M60" i="14"/>
  <c r="J60" i="14"/>
  <c r="G60" i="14"/>
  <c r="D60" i="14"/>
  <c r="M59" i="14"/>
  <c r="J59" i="14"/>
  <c r="G59" i="14"/>
  <c r="D59" i="14"/>
  <c r="M58" i="14"/>
  <c r="J58" i="14"/>
  <c r="G58" i="14"/>
  <c r="D58" i="14"/>
  <c r="M57" i="14"/>
  <c r="J57" i="14"/>
  <c r="G57" i="14"/>
  <c r="D57" i="14"/>
  <c r="M56" i="14"/>
  <c r="J56" i="14"/>
  <c r="G56" i="14"/>
  <c r="D56" i="14"/>
  <c r="M55" i="14"/>
  <c r="J55" i="14"/>
  <c r="G55" i="14"/>
  <c r="D55" i="14"/>
  <c r="M54" i="14"/>
  <c r="J54" i="14"/>
  <c r="G54" i="14"/>
  <c r="D54" i="14"/>
  <c r="M53" i="14"/>
  <c r="J53" i="14"/>
  <c r="G53" i="14"/>
  <c r="D53" i="14"/>
  <c r="M52" i="14"/>
  <c r="J52" i="14"/>
  <c r="G52" i="14"/>
  <c r="D52" i="14"/>
  <c r="M51" i="14"/>
  <c r="J51" i="14"/>
  <c r="G51" i="14"/>
  <c r="D51" i="14"/>
  <c r="M50" i="14"/>
  <c r="J50" i="14"/>
  <c r="G50" i="14"/>
  <c r="D50" i="14"/>
  <c r="M49" i="14"/>
  <c r="J49" i="14"/>
  <c r="G49" i="14"/>
  <c r="D49" i="14"/>
  <c r="M48" i="14"/>
  <c r="J48" i="14"/>
  <c r="G48" i="14"/>
  <c r="D48" i="14"/>
  <c r="M47" i="14"/>
  <c r="J47" i="14"/>
  <c r="G47" i="14"/>
  <c r="D47" i="14"/>
  <c r="M41" i="14"/>
  <c r="J41" i="14"/>
  <c r="G41" i="14"/>
  <c r="D41" i="14"/>
  <c r="M40" i="14"/>
  <c r="J40" i="14"/>
  <c r="G40" i="14"/>
  <c r="D40" i="14"/>
  <c r="M39" i="14"/>
  <c r="J39" i="14"/>
  <c r="G39" i="14"/>
  <c r="D39" i="14"/>
  <c r="A39" i="14"/>
  <c r="M38" i="14"/>
  <c r="J38" i="14"/>
  <c r="G38" i="14"/>
  <c r="D38" i="14"/>
  <c r="M37" i="14"/>
  <c r="J37" i="14"/>
  <c r="G37" i="14"/>
  <c r="D37" i="14"/>
  <c r="M36" i="14"/>
  <c r="J36" i="14"/>
  <c r="G36" i="14"/>
  <c r="D36" i="14"/>
  <c r="M35" i="14"/>
  <c r="J35" i="14"/>
  <c r="G35" i="14"/>
  <c r="D35" i="14"/>
  <c r="M34" i="14"/>
  <c r="J34" i="14"/>
  <c r="G34" i="14"/>
  <c r="D34" i="14"/>
  <c r="M33" i="14"/>
  <c r="J33" i="14"/>
  <c r="G33" i="14"/>
  <c r="D33" i="14"/>
  <c r="M32" i="14"/>
  <c r="J32" i="14"/>
  <c r="G32" i="14"/>
  <c r="D32" i="14"/>
  <c r="M31" i="14"/>
  <c r="J31" i="14"/>
  <c r="G31" i="14"/>
  <c r="D31" i="14"/>
  <c r="M30" i="14"/>
  <c r="J30" i="14"/>
  <c r="G30" i="14"/>
  <c r="D30" i="14"/>
  <c r="M29" i="14"/>
  <c r="J29" i="14"/>
  <c r="G29" i="14"/>
  <c r="D29" i="14"/>
  <c r="M28" i="14"/>
  <c r="J28" i="14"/>
  <c r="G28" i="14"/>
  <c r="D28" i="14"/>
  <c r="M27" i="14"/>
  <c r="J27" i="14"/>
  <c r="G27" i="14"/>
  <c r="D27" i="14"/>
  <c r="M26" i="14"/>
  <c r="J26" i="14"/>
  <c r="G26" i="14"/>
  <c r="D26" i="14"/>
  <c r="M25" i="14"/>
  <c r="J25" i="14"/>
  <c r="G25" i="14"/>
  <c r="D25" i="14"/>
  <c r="M24" i="14"/>
  <c r="J24" i="14"/>
  <c r="G24" i="14"/>
  <c r="D24" i="14"/>
  <c r="M23" i="14"/>
  <c r="J23" i="14"/>
  <c r="G23" i="14"/>
  <c r="D23" i="14"/>
  <c r="A23" i="14"/>
  <c r="A37" i="14" s="1"/>
  <c r="A21" i="14" s="1"/>
  <c r="A35" i="14" s="1"/>
  <c r="A19" i="14" s="1"/>
  <c r="M22" i="14"/>
  <c r="J22" i="14"/>
  <c r="G22" i="14"/>
  <c r="D22" i="14"/>
  <c r="M21" i="14"/>
  <c r="J21" i="14"/>
  <c r="G21" i="14"/>
  <c r="D21" i="14"/>
  <c r="B21" i="14"/>
  <c r="B22" i="14" s="1"/>
  <c r="B23" i="14" s="1"/>
  <c r="B24" i="14" s="1"/>
  <c r="B25" i="14" s="1"/>
  <c r="B26" i="14" s="1"/>
  <c r="B27" i="14" s="1"/>
  <c r="M20" i="14"/>
  <c r="J20" i="14"/>
  <c r="G20" i="14"/>
  <c r="D20" i="14"/>
  <c r="M19" i="14"/>
  <c r="J19" i="14"/>
  <c r="G19" i="14"/>
  <c r="D19" i="14"/>
  <c r="M18" i="14"/>
  <c r="J18" i="14"/>
  <c r="G18" i="14"/>
  <c r="D18" i="14"/>
  <c r="M17" i="14"/>
  <c r="J17" i="14"/>
  <c r="G17" i="14"/>
  <c r="D17" i="14"/>
  <c r="M16" i="14"/>
  <c r="J16" i="14"/>
  <c r="G16" i="14"/>
  <c r="D16" i="14"/>
  <c r="M15" i="14"/>
  <c r="J15" i="14"/>
  <c r="G15" i="14"/>
  <c r="D15" i="14"/>
  <c r="M14" i="14"/>
  <c r="J14" i="14"/>
  <c r="G14" i="14"/>
  <c r="D14" i="14"/>
  <c r="M13" i="14"/>
  <c r="J13" i="14"/>
  <c r="G13" i="14"/>
  <c r="D13" i="14"/>
  <c r="B13" i="14"/>
  <c r="B14" i="14" s="1"/>
  <c r="B15" i="14" s="1"/>
  <c r="B16" i="14" s="1"/>
  <c r="B17" i="14" s="1"/>
  <c r="B18" i="14" s="1"/>
  <c r="B19" i="14" s="1"/>
  <c r="B20" i="14" s="1"/>
  <c r="M12" i="14"/>
  <c r="J12" i="14"/>
  <c r="G12" i="14"/>
  <c r="D12" i="14"/>
  <c r="T11" i="14"/>
  <c r="U9" i="14"/>
  <c r="T9" i="14"/>
  <c r="Q9" i="14"/>
  <c r="P9" i="14"/>
  <c r="N9" i="14"/>
  <c r="M9" i="14"/>
  <c r="U8" i="14"/>
  <c r="T8" i="14"/>
  <c r="Q8" i="14"/>
  <c r="P8" i="14"/>
  <c r="N8" i="14"/>
  <c r="M8" i="14"/>
  <c r="U7" i="14"/>
  <c r="T7" i="14"/>
  <c r="Q7" i="14"/>
  <c r="P7" i="14"/>
  <c r="N7" i="14"/>
  <c r="M7" i="14"/>
  <c r="U6" i="14"/>
  <c r="T6" i="14"/>
  <c r="Q6" i="14"/>
  <c r="P6" i="14"/>
  <c r="N6" i="14"/>
  <c r="M6" i="14"/>
  <c r="U5" i="14"/>
  <c r="T5" i="14"/>
  <c r="Q5" i="14"/>
  <c r="P5" i="14"/>
  <c r="N5" i="14"/>
  <c r="M5" i="14"/>
  <c r="U4" i="14"/>
  <c r="T4" i="14"/>
  <c r="Q4" i="14"/>
  <c r="P4" i="14"/>
  <c r="N4" i="14"/>
  <c r="M4" i="14"/>
  <c r="U3" i="14"/>
  <c r="T3" i="14"/>
  <c r="Q3" i="14"/>
  <c r="P3" i="14"/>
  <c r="N3" i="14"/>
  <c r="M3" i="14"/>
  <c r="I3" i="14"/>
  <c r="A771" i="13"/>
  <c r="A772" i="13" s="1"/>
  <c r="A773" i="13" s="1"/>
  <c r="A774" i="13" s="1"/>
  <c r="A775" i="13" s="1"/>
  <c r="A776" i="13" s="1"/>
  <c r="A777" i="13" s="1"/>
  <c r="A778" i="13" s="1"/>
  <c r="A779" i="13" s="1"/>
  <c r="A780" i="13" s="1"/>
  <c r="A781" i="13" s="1"/>
  <c r="A782" i="13" s="1"/>
  <c r="A783" i="13" s="1"/>
  <c r="A784" i="13" s="1"/>
  <c r="A785" i="13" s="1"/>
  <c r="A786" i="13" s="1"/>
  <c r="A787" i="13" s="1"/>
  <c r="A788" i="13" s="1"/>
  <c r="A789" i="13" s="1"/>
  <c r="A790" i="13" s="1"/>
  <c r="A791" i="13" s="1"/>
  <c r="A792" i="13" s="1"/>
  <c r="A793" i="13" s="1"/>
  <c r="A794" i="13" s="1"/>
  <c r="A795" i="13" s="1"/>
  <c r="A796" i="13" s="1"/>
  <c r="A797" i="13" s="1"/>
  <c r="A798" i="13" s="1"/>
  <c r="A799" i="13" s="1"/>
  <c r="A800" i="13" s="1"/>
  <c r="A801" i="13" s="1"/>
  <c r="A802" i="13" s="1"/>
  <c r="A803" i="13" s="1"/>
  <c r="A804" i="13" s="1"/>
  <c r="A805" i="13" s="1"/>
  <c r="A806" i="13" s="1"/>
  <c r="A807" i="13" s="1"/>
  <c r="A808" i="13" s="1"/>
  <c r="A809" i="13" s="1"/>
  <c r="A810" i="13" s="1"/>
  <c r="A811" i="13" s="1"/>
  <c r="A812" i="13" s="1"/>
  <c r="A813" i="13" s="1"/>
  <c r="A814" i="13" s="1"/>
  <c r="A815" i="13" s="1"/>
  <c r="A816" i="13" s="1"/>
  <c r="A817" i="13" s="1"/>
  <c r="A818" i="13" s="1"/>
  <c r="C757" i="13"/>
  <c r="C760" i="13" s="1"/>
  <c r="C763" i="13" s="1"/>
  <c r="C766" i="13" s="1"/>
  <c r="C749" i="13"/>
  <c r="C752" i="13" s="1"/>
  <c r="C755" i="13" s="1"/>
  <c r="C758" i="13" s="1"/>
  <c r="C761" i="13" s="1"/>
  <c r="C764" i="13" s="1"/>
  <c r="C767" i="13" s="1"/>
  <c r="C742" i="13"/>
  <c r="C745" i="13" s="1"/>
  <c r="C748" i="13" s="1"/>
  <c r="C751" i="13" s="1"/>
  <c r="C754" i="13" s="1"/>
  <c r="C740" i="13"/>
  <c r="C743" i="13" s="1"/>
  <c r="C746" i="13" s="1"/>
  <c r="C739" i="13"/>
  <c r="C737" i="13"/>
  <c r="C735" i="13"/>
  <c r="C738" i="13" s="1"/>
  <c r="C741" i="13" s="1"/>
  <c r="C744" i="13" s="1"/>
  <c r="C747" i="13" s="1"/>
  <c r="C750" i="13" s="1"/>
  <c r="C753" i="13" s="1"/>
  <c r="C756" i="13" s="1"/>
  <c r="C759" i="13" s="1"/>
  <c r="C762" i="13" s="1"/>
  <c r="C765" i="13" s="1"/>
  <c r="G549" i="13"/>
  <c r="G548" i="13"/>
  <c r="G547" i="13"/>
  <c r="G546" i="13"/>
  <c r="G545" i="13"/>
  <c r="G544" i="13"/>
  <c r="G543" i="13"/>
  <c r="G542" i="13"/>
  <c r="G541" i="13"/>
  <c r="G540" i="13"/>
  <c r="G539" i="13"/>
  <c r="G538" i="13"/>
  <c r="G537" i="13"/>
  <c r="G536" i="13"/>
  <c r="G535" i="13"/>
  <c r="G534" i="13"/>
  <c r="C513" i="13"/>
  <c r="C512" i="13"/>
  <c r="B510" i="13"/>
  <c r="B511" i="13" s="1"/>
  <c r="E507" i="13"/>
  <c r="R504" i="13"/>
  <c r="Q504" i="13"/>
  <c r="P504" i="13"/>
  <c r="N504" i="13"/>
  <c r="K504" i="13"/>
  <c r="R503" i="13"/>
  <c r="Q503" i="13"/>
  <c r="P503" i="13"/>
  <c r="N503" i="13"/>
  <c r="K503" i="13"/>
  <c r="R502" i="13"/>
  <c r="Q502" i="13"/>
  <c r="P502" i="13"/>
  <c r="N502" i="13"/>
  <c r="K502" i="13"/>
  <c r="R501" i="13"/>
  <c r="Q501" i="13"/>
  <c r="P501" i="13"/>
  <c r="N501" i="13"/>
  <c r="K501" i="13"/>
  <c r="R500" i="13"/>
  <c r="Q500" i="13"/>
  <c r="P500" i="13"/>
  <c r="N500" i="13"/>
  <c r="K500" i="13"/>
  <c r="R499" i="13"/>
  <c r="Q499" i="13"/>
  <c r="P499" i="13"/>
  <c r="N499" i="13"/>
  <c r="K499" i="13"/>
  <c r="R498" i="13"/>
  <c r="Q498" i="13"/>
  <c r="P498" i="13"/>
  <c r="N498" i="13"/>
  <c r="K498" i="13"/>
  <c r="R497" i="13"/>
  <c r="Q497" i="13"/>
  <c r="P497" i="13"/>
  <c r="N497" i="13"/>
  <c r="K497" i="13"/>
  <c r="R496" i="13"/>
  <c r="Q496" i="13"/>
  <c r="P496" i="13"/>
  <c r="N496" i="13"/>
  <c r="K496" i="13"/>
  <c r="R495" i="13"/>
  <c r="Q495" i="13"/>
  <c r="P495" i="13"/>
  <c r="N495" i="13"/>
  <c r="L242" i="13"/>
  <c r="L241" i="13"/>
  <c r="L240" i="13"/>
  <c r="L239" i="13"/>
  <c r="L238" i="13"/>
  <c r="L237" i="13"/>
  <c r="L236" i="13"/>
  <c r="L235" i="13"/>
  <c r="L234" i="13"/>
  <c r="L233" i="13"/>
  <c r="L232" i="13"/>
  <c r="L231" i="13"/>
  <c r="L230" i="13"/>
  <c r="L229" i="13"/>
  <c r="L228" i="13"/>
  <c r="L227" i="13"/>
  <c r="L226" i="13"/>
  <c r="L225" i="13"/>
  <c r="L224" i="13"/>
  <c r="L223" i="13"/>
  <c r="L222" i="13"/>
  <c r="L221" i="13"/>
  <c r="L220" i="13"/>
  <c r="L219" i="13"/>
  <c r="L218" i="13"/>
  <c r="L217" i="13"/>
  <c r="N216" i="13"/>
  <c r="N217" i="13" s="1"/>
  <c r="N218" i="13" s="1"/>
  <c r="N219" i="13" s="1"/>
  <c r="N220" i="13" s="1"/>
  <c r="N221" i="13" s="1"/>
  <c r="N222" i="13" s="1"/>
  <c r="N223" i="13" s="1"/>
  <c r="N224" i="13" s="1"/>
  <c r="N225" i="13" s="1"/>
  <c r="N226" i="13" s="1"/>
  <c r="N227" i="13" s="1"/>
  <c r="N228" i="13" s="1"/>
  <c r="N229" i="13" s="1"/>
  <c r="N230" i="13" s="1"/>
  <c r="N231" i="13" s="1"/>
  <c r="N232" i="13" s="1"/>
  <c r="N233" i="13" s="1"/>
  <c r="N234" i="13" s="1"/>
  <c r="N235" i="13" s="1"/>
  <c r="L216" i="13"/>
  <c r="L215" i="13"/>
  <c r="J174" i="13"/>
  <c r="I174" i="13"/>
  <c r="H174" i="13"/>
  <c r="G174" i="13"/>
  <c r="J173" i="13"/>
  <c r="I173" i="13"/>
  <c r="H173" i="13"/>
  <c r="G173" i="13"/>
  <c r="J172" i="13"/>
  <c r="I172" i="13"/>
  <c r="H172" i="13"/>
  <c r="G172" i="13"/>
  <c r="J171" i="13"/>
  <c r="I171" i="13"/>
  <c r="H171" i="13"/>
  <c r="G171"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E92" i="13"/>
  <c r="D92" i="13"/>
  <c r="E91" i="13"/>
  <c r="D91" i="13"/>
  <c r="E90" i="13"/>
  <c r="D90" i="13"/>
  <c r="E88" i="13"/>
  <c r="D88" i="13"/>
  <c r="AH76" i="13"/>
  <c r="BD75" i="13"/>
  <c r="AI75" i="13"/>
  <c r="AE75" i="13"/>
  <c r="BD74" i="13"/>
  <c r="AI74" i="13"/>
  <c r="AE74" i="13"/>
  <c r="BD73" i="13"/>
  <c r="AI73" i="13"/>
  <c r="AE73" i="13"/>
  <c r="BD72" i="13"/>
  <c r="AI72" i="13"/>
  <c r="AE72" i="13"/>
  <c r="BD71" i="13"/>
  <c r="AI71" i="13"/>
  <c r="AE71" i="13"/>
  <c r="BD70" i="13"/>
  <c r="AI70" i="13"/>
  <c r="AE70" i="13"/>
  <c r="V69" i="13"/>
  <c r="U69" i="13"/>
  <c r="BD68" i="13"/>
  <c r="AI68" i="13"/>
  <c r="AE68" i="13"/>
  <c r="BD67" i="13"/>
  <c r="AI67" i="13"/>
  <c r="AE67" i="13"/>
  <c r="BD66" i="13"/>
  <c r="AI66" i="13"/>
  <c r="AE66" i="13"/>
  <c r="BD65" i="13"/>
  <c r="AI65" i="13"/>
  <c r="AE65" i="13"/>
  <c r="BD64" i="13"/>
  <c r="AI64" i="13"/>
  <c r="AE64" i="13"/>
  <c r="BD63" i="13"/>
  <c r="AI63" i="13"/>
  <c r="AE63" i="13"/>
  <c r="BD62" i="13"/>
  <c r="AI62" i="13"/>
  <c r="AE62" i="13"/>
  <c r="BD61" i="13"/>
  <c r="AI61" i="13"/>
  <c r="AE61" i="13"/>
  <c r="BD60" i="13"/>
  <c r="AI60" i="13"/>
  <c r="AE60" i="13"/>
  <c r="BD59" i="13"/>
  <c r="AI59" i="13"/>
  <c r="AE59" i="13"/>
  <c r="BD58" i="13"/>
  <c r="AI58" i="13"/>
  <c r="AE58" i="13"/>
  <c r="BD57" i="13"/>
  <c r="AI57" i="13"/>
  <c r="AE57" i="13"/>
  <c r="BD56" i="13"/>
  <c r="AI56" i="13"/>
  <c r="AE56" i="13"/>
  <c r="BD55" i="13"/>
  <c r="AI55" i="13"/>
  <c r="AE55" i="13"/>
  <c r="BD54" i="13"/>
  <c r="AI54" i="13"/>
  <c r="AE54" i="13"/>
  <c r="BD53" i="13"/>
  <c r="AI53" i="13"/>
  <c r="AE53" i="13"/>
  <c r="BD52" i="13"/>
  <c r="AI52" i="13"/>
  <c r="AE52" i="13"/>
  <c r="BD51" i="13"/>
  <c r="AI51" i="13"/>
  <c r="AI76" i="13" s="1"/>
  <c r="AE51" i="13"/>
  <c r="BD50" i="13"/>
  <c r="AI50" i="13"/>
  <c r="AE50" i="13"/>
  <c r="U50" i="13"/>
  <c r="U51" i="13" s="1"/>
  <c r="U52" i="13" s="1"/>
  <c r="U53" i="13" s="1"/>
  <c r="U54" i="13" s="1"/>
  <c r="U55" i="13" s="1"/>
  <c r="U56" i="13" s="1"/>
  <c r="U57" i="13" s="1"/>
  <c r="U58" i="13" s="1"/>
  <c r="U59" i="13" s="1"/>
  <c r="U60" i="13" s="1"/>
  <c r="U61" i="13" s="1"/>
  <c r="U62" i="13" s="1"/>
  <c r="U63" i="13" s="1"/>
  <c r="U64" i="13" s="1"/>
  <c r="U65" i="13" s="1"/>
  <c r="U66" i="13" s="1"/>
  <c r="U67" i="13" s="1"/>
  <c r="U68" i="13" s="1"/>
  <c r="U70" i="13" s="1"/>
  <c r="U71" i="13" s="1"/>
  <c r="U72" i="13" s="1"/>
  <c r="U73" i="13" s="1"/>
  <c r="U74" i="13" s="1"/>
  <c r="U75" i="13" s="1"/>
  <c r="BD49" i="13"/>
  <c r="AI49" i="13"/>
  <c r="AE49" i="13"/>
  <c r="U49" i="13"/>
  <c r="BD48" i="13"/>
  <c r="AI48" i="13"/>
  <c r="AE48" i="13"/>
  <c r="V48" i="13"/>
  <c r="V49" i="13" s="1"/>
  <c r="V50" i="13" s="1"/>
  <c r="V51" i="13" s="1"/>
  <c r="V52" i="13" s="1"/>
  <c r="V53" i="13" s="1"/>
  <c r="V54" i="13" s="1"/>
  <c r="V55" i="13" s="1"/>
  <c r="V56" i="13" s="1"/>
  <c r="V57" i="13" s="1"/>
  <c r="V58" i="13" s="1"/>
  <c r="V59" i="13" s="1"/>
  <c r="V60" i="13" s="1"/>
  <c r="V61" i="13" s="1"/>
  <c r="V62" i="13" s="1"/>
  <c r="V63" i="13" s="1"/>
  <c r="V64" i="13" s="1"/>
  <c r="V65" i="13" s="1"/>
  <c r="V66" i="13" s="1"/>
  <c r="V67" i="13" s="1"/>
  <c r="V68" i="13" s="1"/>
  <c r="V70" i="13" s="1"/>
  <c r="V71" i="13" s="1"/>
  <c r="V72" i="13" s="1"/>
  <c r="V73" i="13" s="1"/>
  <c r="V74" i="13" s="1"/>
  <c r="V75" i="13" s="1"/>
  <c r="U48" i="13"/>
  <c r="F46" i="13"/>
  <c r="D29" i="13"/>
  <c r="E29" i="13" s="1"/>
  <c r="C25" i="13"/>
  <c r="C26" i="13" s="1"/>
  <c r="C27" i="13" s="1"/>
  <c r="C17" i="13"/>
  <c r="C18" i="13" s="1"/>
  <c r="C19" i="13" s="1"/>
  <c r="C20" i="13" s="1"/>
  <c r="C21" i="13" s="1"/>
  <c r="C22" i="13" s="1"/>
  <c r="C23" i="13" s="1"/>
  <c r="C24" i="13" s="1"/>
  <c r="M11" i="13"/>
  <c r="H11" i="13"/>
  <c r="J11" i="13" s="1"/>
  <c r="B11" i="13"/>
  <c r="J10" i="13"/>
  <c r="I10" i="13"/>
  <c r="B10" i="13"/>
  <c r="U9" i="13"/>
  <c r="J9" i="13"/>
  <c r="I9" i="13"/>
  <c r="B9" i="13"/>
  <c r="T8" i="13"/>
  <c r="J8" i="13"/>
  <c r="I8" i="13"/>
  <c r="B8" i="13"/>
  <c r="U7" i="13"/>
  <c r="J7" i="13"/>
  <c r="I7" i="13"/>
  <c r="B7" i="13"/>
  <c r="J6" i="13"/>
  <c r="I6" i="13"/>
  <c r="B6" i="13"/>
  <c r="U5" i="13"/>
  <c r="J5" i="13"/>
  <c r="I5" i="13"/>
  <c r="B5" i="13"/>
  <c r="J4" i="13"/>
  <c r="I4" i="13"/>
  <c r="B4" i="13"/>
  <c r="J3" i="13"/>
  <c r="I3" i="13"/>
  <c r="B3" i="13"/>
  <c r="B316" i="12"/>
  <c r="C316" i="12" s="1"/>
  <c r="B317" i="12" s="1"/>
  <c r="C317" i="12" s="1"/>
  <c r="B318" i="12" s="1"/>
  <c r="C318" i="12" s="1"/>
  <c r="B319" i="12" s="1"/>
  <c r="C319" i="12" s="1"/>
  <c r="B320" i="12" s="1"/>
  <c r="C320" i="12" s="1"/>
  <c r="B321" i="12" s="1"/>
  <c r="C321" i="12" s="1"/>
  <c r="B322" i="12" s="1"/>
  <c r="C322" i="12" s="1"/>
  <c r="C315" i="12"/>
  <c r="M309" i="12"/>
  <c r="L309" i="12"/>
  <c r="K309" i="12"/>
  <c r="J309" i="12"/>
  <c r="I309" i="12"/>
  <c r="H309" i="12"/>
  <c r="G309" i="12"/>
  <c r="F309" i="12"/>
  <c r="E309" i="12"/>
  <c r="D309" i="12"/>
  <c r="C309" i="12"/>
  <c r="B309" i="12"/>
  <c r="M308" i="12"/>
  <c r="L308" i="12"/>
  <c r="K308" i="12"/>
  <c r="J308" i="12"/>
  <c r="I308" i="12"/>
  <c r="H308" i="12"/>
  <c r="G308" i="12"/>
  <c r="F308" i="12"/>
  <c r="E308" i="12"/>
  <c r="D308" i="12"/>
  <c r="C308" i="12"/>
  <c r="B308" i="12"/>
  <c r="AT295" i="12"/>
  <c r="AL295" i="12"/>
  <c r="AK295" i="12"/>
  <c r="AJ295" i="12"/>
  <c r="AI295" i="12"/>
  <c r="AH295" i="12"/>
  <c r="AG295" i="12"/>
  <c r="AF295" i="12"/>
  <c r="AE295" i="12"/>
  <c r="AD295" i="12"/>
  <c r="Y295" i="12" s="1"/>
  <c r="AC295" i="12"/>
  <c r="AB295" i="12"/>
  <c r="AA295" i="12"/>
  <c r="Z295" i="12"/>
  <c r="AW294" i="12"/>
  <c r="AV294" i="12"/>
  <c r="AU294" i="12"/>
  <c r="AT294" i="12"/>
  <c r="AS294" i="12"/>
  <c r="AR294" i="12"/>
  <c r="AQ294" i="12"/>
  <c r="AP294" i="12"/>
  <c r="AO294" i="12"/>
  <c r="AN294" i="12"/>
  <c r="AM294" i="12"/>
  <c r="AL294" i="12"/>
  <c r="Y294" i="12"/>
  <c r="AW293" i="12"/>
  <c r="AV293" i="12"/>
  <c r="AU293" i="12"/>
  <c r="AU295" i="12" s="1"/>
  <c r="AT293" i="12"/>
  <c r="AS293" i="12"/>
  <c r="AR293" i="12"/>
  <c r="AQ293" i="12"/>
  <c r="AP293" i="12"/>
  <c r="AO293" i="12"/>
  <c r="AN293" i="12"/>
  <c r="AM293" i="12"/>
  <c r="AM295" i="12" s="1"/>
  <c r="AL293" i="12"/>
  <c r="Y293" i="12"/>
  <c r="AW292" i="12"/>
  <c r="AV292" i="12"/>
  <c r="AU292" i="12"/>
  <c r="AT292" i="12"/>
  <c r="AS292" i="12"/>
  <c r="AR292" i="12"/>
  <c r="AQ292" i="12"/>
  <c r="AP292" i="12"/>
  <c r="AO292" i="12"/>
  <c r="AN292" i="12"/>
  <c r="AM292" i="12"/>
  <c r="AL292" i="12"/>
  <c r="Y292" i="12"/>
  <c r="AW291" i="12"/>
  <c r="AV291" i="12"/>
  <c r="AU291" i="12"/>
  <c r="AT291" i="12"/>
  <c r="AS291" i="12"/>
  <c r="AR291" i="12"/>
  <c r="AQ291" i="12"/>
  <c r="AP291" i="12"/>
  <c r="AO291" i="12"/>
  <c r="AN291" i="12"/>
  <c r="AM291" i="12"/>
  <c r="AL291" i="12"/>
  <c r="Y291" i="12"/>
  <c r="AW290" i="12"/>
  <c r="AW295" i="12" s="1"/>
  <c r="AV290" i="12"/>
  <c r="AU290" i="12"/>
  <c r="AT290" i="12"/>
  <c r="AS290" i="12"/>
  <c r="AR290" i="12"/>
  <c r="AQ290" i="12"/>
  <c r="AP290" i="12"/>
  <c r="AO290" i="12"/>
  <c r="AO295" i="12" s="1"/>
  <c r="AN290" i="12"/>
  <c r="AM290" i="12"/>
  <c r="AL290" i="12"/>
  <c r="Y290" i="12"/>
  <c r="AW289" i="12"/>
  <c r="AV289" i="12"/>
  <c r="AU289" i="12"/>
  <c r="AT289" i="12"/>
  <c r="AS289" i="12"/>
  <c r="AR289" i="12"/>
  <c r="AQ289" i="12"/>
  <c r="AP289" i="12"/>
  <c r="AO289" i="12"/>
  <c r="AN289" i="12"/>
  <c r="AM289" i="12"/>
  <c r="AL289" i="12"/>
  <c r="Y289" i="12"/>
  <c r="AW288" i="12"/>
  <c r="AV288" i="12"/>
  <c r="AU288" i="12"/>
  <c r="AT288" i="12"/>
  <c r="AS288" i="12"/>
  <c r="AR288" i="12"/>
  <c r="AQ288" i="12"/>
  <c r="AP288" i="12"/>
  <c r="AO288" i="12"/>
  <c r="AN288" i="12"/>
  <c r="AM288" i="12"/>
  <c r="AL288" i="12"/>
  <c r="Y288" i="12"/>
  <c r="AW287" i="12"/>
  <c r="AV287" i="12"/>
  <c r="AV295" i="12" s="1"/>
  <c r="AU287" i="12"/>
  <c r="AT287" i="12"/>
  <c r="AS287" i="12"/>
  <c r="AR287" i="12"/>
  <c r="AR295" i="12" s="1"/>
  <c r="AQ287" i="12"/>
  <c r="AQ295" i="12" s="1"/>
  <c r="AP287" i="12"/>
  <c r="AO287" i="12"/>
  <c r="AN287" i="12"/>
  <c r="AN295" i="12" s="1"/>
  <c r="AM287" i="12"/>
  <c r="AL287" i="12"/>
  <c r="Y287" i="12"/>
  <c r="B285" i="12"/>
  <c r="AU272" i="12"/>
  <c r="AS272" i="12"/>
  <c r="AR272" i="12"/>
  <c r="AP272" i="12"/>
  <c r="AM272" i="12"/>
  <c r="AK272" i="12"/>
  <c r="AW272" i="12" s="1"/>
  <c r="AJ272" i="12"/>
  <c r="AV272" i="12" s="1"/>
  <c r="AI272" i="12"/>
  <c r="AH272" i="12"/>
  <c r="AT272" i="12" s="1"/>
  <c r="AG272" i="12"/>
  <c r="AF272" i="12"/>
  <c r="AE272" i="12"/>
  <c r="AQ272" i="12" s="1"/>
  <c r="AD272" i="12"/>
  <c r="AC272" i="12"/>
  <c r="AO272" i="12" s="1"/>
  <c r="AB272" i="12"/>
  <c r="AN272" i="12" s="1"/>
  <c r="AA272" i="12"/>
  <c r="Z272" i="12"/>
  <c r="Y272" i="12" s="1"/>
  <c r="AV271" i="12"/>
  <c r="AS271" i="12"/>
  <c r="AQ271" i="12"/>
  <c r="AP271" i="12"/>
  <c r="AN271" i="12"/>
  <c r="AK271" i="12"/>
  <c r="AW271" i="12" s="1"/>
  <c r="AJ271" i="12"/>
  <c r="AI271" i="12"/>
  <c r="AU271" i="12" s="1"/>
  <c r="AH271" i="12"/>
  <c r="AT271" i="12" s="1"/>
  <c r="AG271" i="12"/>
  <c r="AF271" i="12"/>
  <c r="AR271" i="12" s="1"/>
  <c r="AE271" i="12"/>
  <c r="AD271" i="12"/>
  <c r="AC271" i="12"/>
  <c r="AO271" i="12" s="1"/>
  <c r="AB271" i="12"/>
  <c r="AA271" i="12"/>
  <c r="AM271" i="12" s="1"/>
  <c r="Z271" i="12"/>
  <c r="AW270" i="12"/>
  <c r="AT270" i="12"/>
  <c r="AR270" i="12"/>
  <c r="AQ270" i="12"/>
  <c r="AO270" i="12"/>
  <c r="AL270" i="12"/>
  <c r="AK270" i="12"/>
  <c r="AJ270" i="12"/>
  <c r="AV270" i="12" s="1"/>
  <c r="AI270" i="12"/>
  <c r="AU270" i="12" s="1"/>
  <c r="AH270" i="12"/>
  <c r="AG270" i="12"/>
  <c r="AS270" i="12" s="1"/>
  <c r="AF270" i="12"/>
  <c r="AE270" i="12"/>
  <c r="AD270" i="12"/>
  <c r="AP270" i="12" s="1"/>
  <c r="AC270" i="12"/>
  <c r="AB270" i="12"/>
  <c r="AN270" i="12" s="1"/>
  <c r="AA270" i="12"/>
  <c r="Z270" i="12"/>
  <c r="AW269" i="12"/>
  <c r="AU269" i="12"/>
  <c r="AT269" i="12"/>
  <c r="AR269" i="12"/>
  <c r="AO269" i="12"/>
  <c r="AM269" i="12"/>
  <c r="AL269" i="12"/>
  <c r="AK269" i="12"/>
  <c r="AJ269" i="12"/>
  <c r="AV269" i="12" s="1"/>
  <c r="AI269" i="12"/>
  <c r="AH269" i="12"/>
  <c r="AG269" i="12"/>
  <c r="AS269" i="12" s="1"/>
  <c r="AF269" i="12"/>
  <c r="AE269" i="12"/>
  <c r="AQ269" i="12" s="1"/>
  <c r="AD269" i="12"/>
  <c r="AP269" i="12" s="1"/>
  <c r="AC269" i="12"/>
  <c r="AB269" i="12"/>
  <c r="AN269" i="12" s="1"/>
  <c r="AA269" i="12"/>
  <c r="Z269" i="12"/>
  <c r="Y269" i="12"/>
  <c r="AV268" i="12"/>
  <c r="AU268" i="12"/>
  <c r="AS268" i="12"/>
  <c r="AP268" i="12"/>
  <c r="AN268" i="12"/>
  <c r="AM268" i="12"/>
  <c r="AK268" i="12"/>
  <c r="AW268" i="12" s="1"/>
  <c r="AJ268" i="12"/>
  <c r="AI268" i="12"/>
  <c r="AH268" i="12"/>
  <c r="AT268" i="12" s="1"/>
  <c r="AG268" i="12"/>
  <c r="AF268" i="12"/>
  <c r="AR268" i="12" s="1"/>
  <c r="AE268" i="12"/>
  <c r="AQ268" i="12" s="1"/>
  <c r="AD268" i="12"/>
  <c r="AC268" i="12"/>
  <c r="AO268" i="12" s="1"/>
  <c r="AB268" i="12"/>
  <c r="AA268" i="12"/>
  <c r="Z268" i="12"/>
  <c r="AW267" i="12"/>
  <c r="AV267" i="12"/>
  <c r="AT267" i="12"/>
  <c r="AQ267" i="12"/>
  <c r="AO267" i="12"/>
  <c r="AN267" i="12"/>
  <c r="AL267" i="12"/>
  <c r="AK267" i="12"/>
  <c r="AJ267" i="12"/>
  <c r="AI267" i="12"/>
  <c r="AU267" i="12" s="1"/>
  <c r="AH267" i="12"/>
  <c r="AG267" i="12"/>
  <c r="AS267" i="12" s="1"/>
  <c r="AF267" i="12"/>
  <c r="AR267" i="12" s="1"/>
  <c r="AE267" i="12"/>
  <c r="AD267" i="12"/>
  <c r="AP267" i="12" s="1"/>
  <c r="AC267" i="12"/>
  <c r="AB267" i="12"/>
  <c r="AA267" i="12"/>
  <c r="Z267" i="12"/>
  <c r="AU266" i="12"/>
  <c r="AS266" i="12"/>
  <c r="AR266" i="12"/>
  <c r="AP266" i="12"/>
  <c r="AM266" i="12"/>
  <c r="AK266" i="12"/>
  <c r="AW266" i="12" s="1"/>
  <c r="AJ266" i="12"/>
  <c r="AV266" i="12" s="1"/>
  <c r="AI266" i="12"/>
  <c r="AH266" i="12"/>
  <c r="AT266" i="12" s="1"/>
  <c r="AG266" i="12"/>
  <c r="AF266" i="12"/>
  <c r="AE266" i="12"/>
  <c r="AQ266" i="12" s="1"/>
  <c r="AD266" i="12"/>
  <c r="AC266" i="12"/>
  <c r="AO266" i="12" s="1"/>
  <c r="AB266" i="12"/>
  <c r="AN266" i="12" s="1"/>
  <c r="AA266" i="12"/>
  <c r="Z266" i="12"/>
  <c r="AL266" i="12" s="1"/>
  <c r="AV265" i="12"/>
  <c r="AT265" i="12"/>
  <c r="AS265" i="12"/>
  <c r="AQ265" i="12"/>
  <c r="AN265" i="12"/>
  <c r="AL265" i="12"/>
  <c r="AK265" i="12"/>
  <c r="AW265" i="12" s="1"/>
  <c r="AW273" i="12" s="1"/>
  <c r="AJ265" i="12"/>
  <c r="AI265" i="12"/>
  <c r="AU265" i="12" s="1"/>
  <c r="AH265" i="12"/>
  <c r="AG265" i="12"/>
  <c r="AF265" i="12"/>
  <c r="AR265" i="12" s="1"/>
  <c r="AE265" i="12"/>
  <c r="AD265" i="12"/>
  <c r="AP265" i="12" s="1"/>
  <c r="AC265" i="12"/>
  <c r="AB265" i="12"/>
  <c r="AA265" i="12"/>
  <c r="AM265" i="12" s="1"/>
  <c r="Z265" i="12"/>
  <c r="A264" i="12"/>
  <c r="A265" i="12" s="1"/>
  <c r="A266" i="12" s="1"/>
  <c r="A267" i="12" s="1"/>
  <c r="A268" i="12" s="1"/>
  <c r="A269" i="12" s="1"/>
  <c r="A270" i="12" s="1"/>
  <c r="A271" i="12" s="1"/>
  <c r="A272" i="12" s="1"/>
  <c r="A273" i="12" s="1"/>
  <c r="A274" i="12" s="1"/>
  <c r="A275" i="12" s="1"/>
  <c r="A263" i="12"/>
  <c r="AQ259" i="12"/>
  <c r="AK259" i="12"/>
  <c r="AJ259" i="12"/>
  <c r="AI259" i="12"/>
  <c r="AH259" i="12"/>
  <c r="AG259" i="12"/>
  <c r="AF259" i="12"/>
  <c r="AE259" i="12"/>
  <c r="AD259" i="12"/>
  <c r="AC259" i="12"/>
  <c r="AB259" i="12"/>
  <c r="AA259" i="12"/>
  <c r="Z259" i="12"/>
  <c r="AW258" i="12"/>
  <c r="AV258" i="12"/>
  <c r="AU258" i="12"/>
  <c r="AT258" i="12"/>
  <c r="AS258" i="12"/>
  <c r="AR258" i="12"/>
  <c r="AQ258" i="12"/>
  <c r="AP258" i="12"/>
  <c r="AO258" i="12"/>
  <c r="AN258" i="12"/>
  <c r="AM258" i="12"/>
  <c r="AL258" i="12"/>
  <c r="Y258" i="12"/>
  <c r="AW257" i="12"/>
  <c r="AV257" i="12"/>
  <c r="AU257" i="12"/>
  <c r="AT257" i="12"/>
  <c r="AS257" i="12"/>
  <c r="AR257" i="12"/>
  <c r="AQ257" i="12"/>
  <c r="AP257" i="12"/>
  <c r="AO257" i="12"/>
  <c r="AN257" i="12"/>
  <c r="AM257" i="12"/>
  <c r="AL257" i="12"/>
  <c r="Y257" i="12"/>
  <c r="AW256" i="12"/>
  <c r="AV256" i="12"/>
  <c r="AU256" i="12"/>
  <c r="AT256" i="12"/>
  <c r="AS256" i="12"/>
  <c r="AR256" i="12"/>
  <c r="AQ256" i="12"/>
  <c r="AP256" i="12"/>
  <c r="AO256" i="12"/>
  <c r="AN256" i="12"/>
  <c r="AM256" i="12"/>
  <c r="AL256" i="12"/>
  <c r="Y256" i="12"/>
  <c r="A256" i="12"/>
  <c r="AW255" i="12"/>
  <c r="AV255" i="12"/>
  <c r="AU255" i="12"/>
  <c r="AT255" i="12"/>
  <c r="AS255" i="12"/>
  <c r="AR255" i="12"/>
  <c r="AQ255" i="12"/>
  <c r="AP255" i="12"/>
  <c r="AO255" i="12"/>
  <c r="AN255" i="12"/>
  <c r="AM255" i="12"/>
  <c r="AL255" i="12"/>
  <c r="Y255" i="12"/>
  <c r="AW254" i="12"/>
  <c r="AV254" i="12"/>
  <c r="AU254" i="12"/>
  <c r="AT254" i="12"/>
  <c r="AS254" i="12"/>
  <c r="AR254" i="12"/>
  <c r="AQ254" i="12"/>
  <c r="AP254" i="12"/>
  <c r="AO254" i="12"/>
  <c r="AN254" i="12"/>
  <c r="AM254" i="12"/>
  <c r="AL254" i="12"/>
  <c r="Y254" i="12"/>
  <c r="AW253" i="12"/>
  <c r="AV253" i="12"/>
  <c r="AU253" i="12"/>
  <c r="AT253" i="12"/>
  <c r="AS253" i="12"/>
  <c r="AR253" i="12"/>
  <c r="AQ253" i="12"/>
  <c r="AP253" i="12"/>
  <c r="AO253" i="12"/>
  <c r="AN253" i="12"/>
  <c r="AM253" i="12"/>
  <c r="AL253" i="12"/>
  <c r="Y253" i="12"/>
  <c r="A253" i="12"/>
  <c r="AW252" i="12"/>
  <c r="AV252" i="12"/>
  <c r="AU252" i="12"/>
  <c r="AT252" i="12"/>
  <c r="AS252" i="12"/>
  <c r="AR252" i="12"/>
  <c r="AQ252" i="12"/>
  <c r="AP252" i="12"/>
  <c r="AO252" i="12"/>
  <c r="AN252" i="12"/>
  <c r="AM252" i="12"/>
  <c r="AL252" i="12"/>
  <c r="Y252" i="12"/>
  <c r="AW251" i="12"/>
  <c r="AV251" i="12"/>
  <c r="AU251" i="12"/>
  <c r="AU259" i="12" s="1"/>
  <c r="AT251" i="12"/>
  <c r="AT259" i="12" s="1"/>
  <c r="AS251" i="12"/>
  <c r="AS259" i="12" s="1"/>
  <c r="AR251" i="12"/>
  <c r="AQ251" i="12"/>
  <c r="AP251" i="12"/>
  <c r="AO251" i="12"/>
  <c r="AN251" i="12"/>
  <c r="AM251" i="12"/>
  <c r="AM259" i="12" s="1"/>
  <c r="AL251" i="12"/>
  <c r="AL259" i="12" s="1"/>
  <c r="Y251" i="12"/>
  <c r="Y249" i="12" s="1"/>
  <c r="A251" i="12"/>
  <c r="A250" i="12"/>
  <c r="B249" i="12"/>
  <c r="B259" i="12" s="1"/>
  <c r="A249" i="12"/>
  <c r="A260" i="12" s="1"/>
  <c r="A246" i="12"/>
  <c r="AP245" i="12"/>
  <c r="AK245" i="12"/>
  <c r="AJ245" i="12"/>
  <c r="AI245" i="12"/>
  <c r="AH245" i="12"/>
  <c r="AG245" i="12"/>
  <c r="AF245" i="12"/>
  <c r="AE245" i="12"/>
  <c r="AD245" i="12"/>
  <c r="AC245" i="12"/>
  <c r="AB245" i="12"/>
  <c r="AA245" i="12"/>
  <c r="Z245" i="12"/>
  <c r="Y245" i="12" s="1"/>
  <c r="AW244" i="12"/>
  <c r="AV244" i="12"/>
  <c r="AU244" i="12"/>
  <c r="AT244" i="12"/>
  <c r="AS244" i="12"/>
  <c r="AR244" i="12"/>
  <c r="AQ244" i="12"/>
  <c r="AP244" i="12"/>
  <c r="AO244" i="12"/>
  <c r="AN244" i="12"/>
  <c r="AM244" i="12"/>
  <c r="AL244" i="12"/>
  <c r="Y244" i="12"/>
  <c r="AW243" i="12"/>
  <c r="AV243" i="12"/>
  <c r="AU243" i="12"/>
  <c r="AT243" i="12"/>
  <c r="AS243" i="12"/>
  <c r="AR243" i="12"/>
  <c r="AQ243" i="12"/>
  <c r="AP243" i="12"/>
  <c r="AO243" i="12"/>
  <c r="AN243" i="12"/>
  <c r="AM243" i="12"/>
  <c r="AL243" i="12"/>
  <c r="Y243" i="12"/>
  <c r="Y235" i="12" s="1"/>
  <c r="A243" i="12"/>
  <c r="AW242" i="12"/>
  <c r="AV242" i="12"/>
  <c r="AU242" i="12"/>
  <c r="AT242" i="12"/>
  <c r="AS242" i="12"/>
  <c r="AR242" i="12"/>
  <c r="AQ242" i="12"/>
  <c r="AP242" i="12"/>
  <c r="AO242" i="12"/>
  <c r="AN242" i="12"/>
  <c r="AM242" i="12"/>
  <c r="AL242" i="12"/>
  <c r="Y242" i="12"/>
  <c r="A242" i="12"/>
  <c r="AW241" i="12"/>
  <c r="AV241" i="12"/>
  <c r="AU241" i="12"/>
  <c r="AT241" i="12"/>
  <c r="AS241" i="12"/>
  <c r="AR241" i="12"/>
  <c r="AQ241" i="12"/>
  <c r="AP241" i="12"/>
  <c r="AO241" i="12"/>
  <c r="AN241" i="12"/>
  <c r="AM241" i="12"/>
  <c r="AL241" i="12"/>
  <c r="Y241" i="12"/>
  <c r="AW240" i="12"/>
  <c r="AV240" i="12"/>
  <c r="AU240" i="12"/>
  <c r="AT240" i="12"/>
  <c r="AS240" i="12"/>
  <c r="AR240" i="12"/>
  <c r="AQ240" i="12"/>
  <c r="AP240" i="12"/>
  <c r="AO240" i="12"/>
  <c r="AN240" i="12"/>
  <c r="AM240" i="12"/>
  <c r="AL240" i="12"/>
  <c r="Y240" i="12"/>
  <c r="AW239" i="12"/>
  <c r="AV239" i="12"/>
  <c r="AU239" i="12"/>
  <c r="AT239" i="12"/>
  <c r="AS239" i="12"/>
  <c r="AR239" i="12"/>
  <c r="AQ239" i="12"/>
  <c r="AP239" i="12"/>
  <c r="AO239" i="12"/>
  <c r="AN239" i="12"/>
  <c r="AM239" i="12"/>
  <c r="AL239" i="12"/>
  <c r="Y239" i="12"/>
  <c r="AW238" i="12"/>
  <c r="AV238" i="12"/>
  <c r="AU238" i="12"/>
  <c r="AT238" i="12"/>
  <c r="AS238" i="12"/>
  <c r="AR238" i="12"/>
  <c r="AQ238" i="12"/>
  <c r="AP238" i="12"/>
  <c r="AO238" i="12"/>
  <c r="AN238" i="12"/>
  <c r="AM238" i="12"/>
  <c r="AL238" i="12"/>
  <c r="Y238" i="12"/>
  <c r="AW237" i="12"/>
  <c r="AV237" i="12"/>
  <c r="AV245" i="12" s="1"/>
  <c r="AU237" i="12"/>
  <c r="AT237" i="12"/>
  <c r="AT245" i="12" s="1"/>
  <c r="AS237" i="12"/>
  <c r="AR237" i="12"/>
  <c r="AR245" i="12" s="1"/>
  <c r="AQ237" i="12"/>
  <c r="AQ245" i="12" s="1"/>
  <c r="AP237" i="12"/>
  <c r="AO237" i="12"/>
  <c r="AN237" i="12"/>
  <c r="AN245" i="12" s="1"/>
  <c r="AM237" i="12"/>
  <c r="AL237" i="12"/>
  <c r="AL245" i="12" s="1"/>
  <c r="Y237" i="12"/>
  <c r="A236" i="12"/>
  <c r="B235" i="12"/>
  <c r="A235" i="12"/>
  <c r="A237" i="12" s="1"/>
  <c r="AV231" i="12"/>
  <c r="AN231" i="12"/>
  <c r="AK231" i="12"/>
  <c r="AJ231" i="12"/>
  <c r="AI231" i="12"/>
  <c r="AH231" i="12"/>
  <c r="AG231" i="12"/>
  <c r="AF231" i="12"/>
  <c r="AE231" i="12"/>
  <c r="AD231" i="12"/>
  <c r="AC231" i="12"/>
  <c r="AB231" i="12"/>
  <c r="AA231" i="12"/>
  <c r="Z231" i="12"/>
  <c r="Y231" i="12" s="1"/>
  <c r="AW230" i="12"/>
  <c r="AV230" i="12"/>
  <c r="AU230" i="12"/>
  <c r="AT230" i="12"/>
  <c r="AS230" i="12"/>
  <c r="AR230" i="12"/>
  <c r="AQ230" i="12"/>
  <c r="AP230" i="12"/>
  <c r="AO230" i="12"/>
  <c r="AN230" i="12"/>
  <c r="AM230" i="12"/>
  <c r="AL230" i="12"/>
  <c r="Y230" i="12"/>
  <c r="AW229" i="12"/>
  <c r="AV229" i="12"/>
  <c r="AU229" i="12"/>
  <c r="AT229" i="12"/>
  <c r="AS229" i="12"/>
  <c r="AR229" i="12"/>
  <c r="AQ229" i="12"/>
  <c r="AP229" i="12"/>
  <c r="AO229" i="12"/>
  <c r="AN229" i="12"/>
  <c r="AM229" i="12"/>
  <c r="AL229" i="12"/>
  <c r="Y229" i="12"/>
  <c r="AW228" i="12"/>
  <c r="AV228" i="12"/>
  <c r="AU228" i="12"/>
  <c r="AT228" i="12"/>
  <c r="AS228" i="12"/>
  <c r="AR228" i="12"/>
  <c r="AQ228" i="12"/>
  <c r="AP228" i="12"/>
  <c r="AO228" i="12"/>
  <c r="AN228" i="12"/>
  <c r="AM228" i="12"/>
  <c r="AL228" i="12"/>
  <c r="Y228" i="12"/>
  <c r="AW227" i="12"/>
  <c r="AV227" i="12"/>
  <c r="AU227" i="12"/>
  <c r="AT227" i="12"/>
  <c r="AS227" i="12"/>
  <c r="AR227" i="12"/>
  <c r="AQ227" i="12"/>
  <c r="AP227" i="12"/>
  <c r="AO227" i="12"/>
  <c r="AN227" i="12"/>
  <c r="AM227" i="12"/>
  <c r="AL227" i="12"/>
  <c r="Y227" i="12"/>
  <c r="AW226" i="12"/>
  <c r="AV226" i="12"/>
  <c r="AU226" i="12"/>
  <c r="AT226" i="12"/>
  <c r="AS226" i="12"/>
  <c r="AR226" i="12"/>
  <c r="AQ226" i="12"/>
  <c r="AP226" i="12"/>
  <c r="AO226" i="12"/>
  <c r="AN226" i="12"/>
  <c r="AM226" i="12"/>
  <c r="AL226" i="12"/>
  <c r="Y226" i="12"/>
  <c r="AW225" i="12"/>
  <c r="AV225" i="12"/>
  <c r="AU225" i="12"/>
  <c r="AT225" i="12"/>
  <c r="AS225" i="12"/>
  <c r="AS231" i="12" s="1"/>
  <c r="AR225" i="12"/>
  <c r="AQ225" i="12"/>
  <c r="AP225" i="12"/>
  <c r="AP231" i="12" s="1"/>
  <c r="AO225" i="12"/>
  <c r="AN225" i="12"/>
  <c r="AM225" i="12"/>
  <c r="AL225" i="12"/>
  <c r="Y225" i="12"/>
  <c r="Y221" i="12" s="1"/>
  <c r="AW224" i="12"/>
  <c r="AV224" i="12"/>
  <c r="AU224" i="12"/>
  <c r="AT224" i="12"/>
  <c r="AS224" i="12"/>
  <c r="AR224" i="12"/>
  <c r="AQ224" i="12"/>
  <c r="AP224" i="12"/>
  <c r="AO224" i="12"/>
  <c r="AN224" i="12"/>
  <c r="AM224" i="12"/>
  <c r="AL224" i="12"/>
  <c r="Y224" i="12"/>
  <c r="AW223" i="12"/>
  <c r="AV223" i="12"/>
  <c r="AU223" i="12"/>
  <c r="AU231" i="12" s="1"/>
  <c r="AT223" i="12"/>
  <c r="AS223" i="12"/>
  <c r="AR223" i="12"/>
  <c r="AR231" i="12" s="1"/>
  <c r="AQ223" i="12"/>
  <c r="AP223" i="12"/>
  <c r="AO223" i="12"/>
  <c r="AN223" i="12"/>
  <c r="AM223" i="12"/>
  <c r="AM231" i="12" s="1"/>
  <c r="AL223" i="12"/>
  <c r="Y223" i="12"/>
  <c r="B221" i="12"/>
  <c r="AT217" i="12"/>
  <c r="AL217" i="12"/>
  <c r="AK217" i="12"/>
  <c r="AJ217" i="12"/>
  <c r="AI217" i="12"/>
  <c r="AH217" i="12"/>
  <c r="AG217" i="12"/>
  <c r="AF217" i="12"/>
  <c r="AE217" i="12"/>
  <c r="AD217" i="12"/>
  <c r="AC217" i="12"/>
  <c r="AB217" i="12"/>
  <c r="AA217" i="12"/>
  <c r="Z217" i="12"/>
  <c r="AW216" i="12"/>
  <c r="AV216" i="12"/>
  <c r="AU216" i="12"/>
  <c r="AT216" i="12"/>
  <c r="AS216" i="12"/>
  <c r="AR216" i="12"/>
  <c r="AQ216" i="12"/>
  <c r="AP216" i="12"/>
  <c r="AO216" i="12"/>
  <c r="AN216" i="12"/>
  <c r="AM216" i="12"/>
  <c r="AL216" i="12"/>
  <c r="Y216" i="12"/>
  <c r="AW215" i="12"/>
  <c r="AV215" i="12"/>
  <c r="AU215" i="12"/>
  <c r="AT215" i="12"/>
  <c r="AS215" i="12"/>
  <c r="AR215" i="12"/>
  <c r="AQ215" i="12"/>
  <c r="AP215" i="12"/>
  <c r="AO215" i="12"/>
  <c r="AN215" i="12"/>
  <c r="AM215" i="12"/>
  <c r="AL215" i="12"/>
  <c r="Y215" i="12"/>
  <c r="AW214" i="12"/>
  <c r="AV214" i="12"/>
  <c r="AU214" i="12"/>
  <c r="AT214" i="12"/>
  <c r="AS214" i="12"/>
  <c r="AR214" i="12"/>
  <c r="AQ214" i="12"/>
  <c r="AP214" i="12"/>
  <c r="AO214" i="12"/>
  <c r="AN214" i="12"/>
  <c r="AM214" i="12"/>
  <c r="AL214" i="12"/>
  <c r="Y214" i="12"/>
  <c r="AW213" i="12"/>
  <c r="AV213" i="12"/>
  <c r="AU213" i="12"/>
  <c r="AT213" i="12"/>
  <c r="AS213" i="12"/>
  <c r="AR213" i="12"/>
  <c r="AQ213" i="12"/>
  <c r="AP213" i="12"/>
  <c r="AO213" i="12"/>
  <c r="AN213" i="12"/>
  <c r="AM213" i="12"/>
  <c r="AL213" i="12"/>
  <c r="Y213" i="12"/>
  <c r="AW212" i="12"/>
  <c r="AV212" i="12"/>
  <c r="AU212" i="12"/>
  <c r="AT212" i="12"/>
  <c r="AS212" i="12"/>
  <c r="AR212" i="12"/>
  <c r="AQ212" i="12"/>
  <c r="AP212" i="12"/>
  <c r="AO212" i="12"/>
  <c r="AN212" i="12"/>
  <c r="AM212" i="12"/>
  <c r="AL212" i="12"/>
  <c r="Y212" i="12"/>
  <c r="AW211" i="12"/>
  <c r="AV211" i="12"/>
  <c r="AV217" i="12" s="1"/>
  <c r="AU211" i="12"/>
  <c r="AT211" i="12"/>
  <c r="AS211" i="12"/>
  <c r="AR211" i="12"/>
  <c r="AQ211" i="12"/>
  <c r="AQ217" i="12" s="1"/>
  <c r="AP211" i="12"/>
  <c r="AO211" i="12"/>
  <c r="AN211" i="12"/>
  <c r="AN217" i="12" s="1"/>
  <c r="AM211" i="12"/>
  <c r="AL211" i="12"/>
  <c r="Y211" i="12"/>
  <c r="AW210" i="12"/>
  <c r="AV210" i="12"/>
  <c r="AU210" i="12"/>
  <c r="AT210" i="12"/>
  <c r="AS210" i="12"/>
  <c r="AR210" i="12"/>
  <c r="AQ210" i="12"/>
  <c r="AP210" i="12"/>
  <c r="AO210" i="12"/>
  <c r="AN210" i="12"/>
  <c r="AM210" i="12"/>
  <c r="AL210" i="12"/>
  <c r="Y210" i="12"/>
  <c r="AX209" i="12"/>
  <c r="AW209" i="12"/>
  <c r="AW217" i="12" s="1"/>
  <c r="AV209" i="12"/>
  <c r="AU209" i="12"/>
  <c r="AT209" i="12"/>
  <c r="AS209" i="12"/>
  <c r="AR209" i="12"/>
  <c r="AR217" i="12" s="1"/>
  <c r="AQ209" i="12"/>
  <c r="AP209" i="12"/>
  <c r="AP217" i="12" s="1"/>
  <c r="AO209" i="12"/>
  <c r="AO217" i="12" s="1"/>
  <c r="AN209" i="12"/>
  <c r="AM209" i="12"/>
  <c r="AL209" i="12"/>
  <c r="Y209" i="12"/>
  <c r="B207" i="12"/>
  <c r="AR203" i="12"/>
  <c r="AK203" i="12"/>
  <c r="AJ203" i="12"/>
  <c r="AI203" i="12"/>
  <c r="AH203" i="12"/>
  <c r="AG203" i="12"/>
  <c r="AF203" i="12"/>
  <c r="AE203" i="12"/>
  <c r="AD203" i="12"/>
  <c r="AC203" i="12"/>
  <c r="AB203" i="12"/>
  <c r="Y203" i="12" s="1"/>
  <c r="AA203" i="12"/>
  <c r="Z203" i="12"/>
  <c r="AW202" i="12"/>
  <c r="AV202" i="12"/>
  <c r="AU202" i="12"/>
  <c r="AT202" i="12"/>
  <c r="AS202" i="12"/>
  <c r="AR202" i="12"/>
  <c r="AQ202" i="12"/>
  <c r="AP202" i="12"/>
  <c r="AO202" i="12"/>
  <c r="AN202" i="12"/>
  <c r="AM202" i="12"/>
  <c r="AL202" i="12"/>
  <c r="Y202" i="12"/>
  <c r="AW201" i="12"/>
  <c r="AV201" i="12"/>
  <c r="AU201" i="12"/>
  <c r="AT201" i="12"/>
  <c r="AS201" i="12"/>
  <c r="AR201" i="12"/>
  <c r="AQ201" i="12"/>
  <c r="AP201" i="12"/>
  <c r="AO201" i="12"/>
  <c r="AN201" i="12"/>
  <c r="AM201" i="12"/>
  <c r="AL201" i="12"/>
  <c r="Y201" i="12"/>
  <c r="AW200" i="12"/>
  <c r="AV200" i="12"/>
  <c r="AU200" i="12"/>
  <c r="AT200" i="12"/>
  <c r="AS200" i="12"/>
  <c r="AR200" i="12"/>
  <c r="AQ200" i="12"/>
  <c r="AP200" i="12"/>
  <c r="AO200" i="12"/>
  <c r="AN200" i="12"/>
  <c r="AM200" i="12"/>
  <c r="AL200" i="12"/>
  <c r="Y200" i="12"/>
  <c r="AW199" i="12"/>
  <c r="AV199" i="12"/>
  <c r="AU199" i="12"/>
  <c r="AT199" i="12"/>
  <c r="AS199" i="12"/>
  <c r="AR199" i="12"/>
  <c r="AQ199" i="12"/>
  <c r="AP199" i="12"/>
  <c r="AO199" i="12"/>
  <c r="AN199" i="12"/>
  <c r="AM199" i="12"/>
  <c r="AL199" i="12"/>
  <c r="Y199" i="12"/>
  <c r="AW198" i="12"/>
  <c r="AV198" i="12"/>
  <c r="AU198" i="12"/>
  <c r="AT198" i="12"/>
  <c r="AS198" i="12"/>
  <c r="AR198" i="12"/>
  <c r="AQ198" i="12"/>
  <c r="AP198" i="12"/>
  <c r="AO198" i="12"/>
  <c r="AN198" i="12"/>
  <c r="AM198" i="12"/>
  <c r="AL198" i="12"/>
  <c r="Y198" i="12"/>
  <c r="AW197" i="12"/>
  <c r="AV197" i="12"/>
  <c r="AU197" i="12"/>
  <c r="AT197" i="12"/>
  <c r="AS197" i="12"/>
  <c r="AR197" i="12"/>
  <c r="AQ197" i="12"/>
  <c r="AP197" i="12"/>
  <c r="AO197" i="12"/>
  <c r="AN197" i="12"/>
  <c r="AM197" i="12"/>
  <c r="AL197" i="12"/>
  <c r="Y197" i="12"/>
  <c r="AW196" i="12"/>
  <c r="AV196" i="12"/>
  <c r="AU196" i="12"/>
  <c r="AT196" i="12"/>
  <c r="AS196" i="12"/>
  <c r="AR196" i="12"/>
  <c r="AQ196" i="12"/>
  <c r="AP196" i="12"/>
  <c r="AO196" i="12"/>
  <c r="AN196" i="12"/>
  <c r="AM196" i="12"/>
  <c r="AL196" i="12"/>
  <c r="Y196" i="12"/>
  <c r="AW195" i="12"/>
  <c r="AV195" i="12"/>
  <c r="AV203" i="12" s="1"/>
  <c r="AU195" i="12"/>
  <c r="AU203" i="12" s="1"/>
  <c r="AT195" i="12"/>
  <c r="AT203" i="12" s="1"/>
  <c r="AS195" i="12"/>
  <c r="AS203" i="12" s="1"/>
  <c r="AR195" i="12"/>
  <c r="AQ195" i="12"/>
  <c r="AQ203" i="12" s="1"/>
  <c r="AP195" i="12"/>
  <c r="AO195" i="12"/>
  <c r="AN195" i="12"/>
  <c r="AN203" i="12" s="1"/>
  <c r="AM195" i="12"/>
  <c r="AM203" i="12" s="1"/>
  <c r="AL195" i="12"/>
  <c r="AL203" i="12" s="1"/>
  <c r="Y195" i="12"/>
  <c r="Y193" i="12" s="1"/>
  <c r="B193" i="12"/>
  <c r="B203" i="12" s="1"/>
  <c r="AP189" i="12"/>
  <c r="AK189" i="12"/>
  <c r="AJ189" i="12"/>
  <c r="AI189" i="12"/>
  <c r="AH189" i="12"/>
  <c r="AG189" i="12"/>
  <c r="AF189" i="12"/>
  <c r="AE189" i="12"/>
  <c r="AD189" i="12"/>
  <c r="AC189" i="12"/>
  <c r="AB189" i="12"/>
  <c r="AA189" i="12"/>
  <c r="Z189" i="12"/>
  <c r="Y189" i="12" s="1"/>
  <c r="AW188" i="12"/>
  <c r="AV188" i="12"/>
  <c r="AU188" i="12"/>
  <c r="AT188" i="12"/>
  <c r="AS188" i="12"/>
  <c r="AR188" i="12"/>
  <c r="AQ188" i="12"/>
  <c r="AP188" i="12"/>
  <c r="AO188" i="12"/>
  <c r="AN188" i="12"/>
  <c r="AM188" i="12"/>
  <c r="AL188" i="12"/>
  <c r="Y188" i="12"/>
  <c r="AW187" i="12"/>
  <c r="AV187" i="12"/>
  <c r="AU187" i="12"/>
  <c r="AT187" i="12"/>
  <c r="AS187" i="12"/>
  <c r="AR187" i="12"/>
  <c r="AQ187" i="12"/>
  <c r="AP187" i="12"/>
  <c r="AO187" i="12"/>
  <c r="AN187" i="12"/>
  <c r="AM187" i="12"/>
  <c r="AL187" i="12"/>
  <c r="Y187" i="12"/>
  <c r="Y179" i="12" s="1"/>
  <c r="AW186" i="12"/>
  <c r="AV186" i="12"/>
  <c r="AU186" i="12"/>
  <c r="AT186" i="12"/>
  <c r="AS186" i="12"/>
  <c r="AR186" i="12"/>
  <c r="AQ186" i="12"/>
  <c r="AP186" i="12"/>
  <c r="AO186" i="12"/>
  <c r="AN186" i="12"/>
  <c r="AM186" i="12"/>
  <c r="AL186" i="12"/>
  <c r="Y186" i="12"/>
  <c r="A186" i="12"/>
  <c r="AW185" i="12"/>
  <c r="AV185" i="12"/>
  <c r="AU185" i="12"/>
  <c r="AT185" i="12"/>
  <c r="AS185" i="12"/>
  <c r="AR185" i="12"/>
  <c r="AQ185" i="12"/>
  <c r="AP185" i="12"/>
  <c r="AO185" i="12"/>
  <c r="AN185" i="12"/>
  <c r="AM185" i="12"/>
  <c r="AL185" i="12"/>
  <c r="Y185" i="12"/>
  <c r="AW184" i="12"/>
  <c r="AV184" i="12"/>
  <c r="AU184" i="12"/>
  <c r="AT184" i="12"/>
  <c r="AS184" i="12"/>
  <c r="AR184" i="12"/>
  <c r="AQ184" i="12"/>
  <c r="AP184" i="12"/>
  <c r="AO184" i="12"/>
  <c r="AN184" i="12"/>
  <c r="AM184" i="12"/>
  <c r="AL184" i="12"/>
  <c r="Y184" i="12"/>
  <c r="AW183" i="12"/>
  <c r="AV183" i="12"/>
  <c r="AU183" i="12"/>
  <c r="AT183" i="12"/>
  <c r="AS183" i="12"/>
  <c r="AR183" i="12"/>
  <c r="AQ183" i="12"/>
  <c r="AP183" i="12"/>
  <c r="AO183" i="12"/>
  <c r="AN183" i="12"/>
  <c r="AM183" i="12"/>
  <c r="AL183" i="12"/>
  <c r="Y183" i="12"/>
  <c r="AW182" i="12"/>
  <c r="AV182" i="12"/>
  <c r="AU182" i="12"/>
  <c r="AT182" i="12"/>
  <c r="AS182" i="12"/>
  <c r="AR182" i="12"/>
  <c r="AQ182" i="12"/>
  <c r="AP182" i="12"/>
  <c r="AO182" i="12"/>
  <c r="AN182" i="12"/>
  <c r="AM182" i="12"/>
  <c r="AL182" i="12"/>
  <c r="Y182" i="12"/>
  <c r="AW181" i="12"/>
  <c r="AV181" i="12"/>
  <c r="AV189" i="12" s="1"/>
  <c r="AU181" i="12"/>
  <c r="AT181" i="12"/>
  <c r="AT189" i="12" s="1"/>
  <c r="AS181" i="12"/>
  <c r="AS189" i="12" s="1"/>
  <c r="AR181" i="12"/>
  <c r="AR189" i="12" s="1"/>
  <c r="AQ181" i="12"/>
  <c r="AP181" i="12"/>
  <c r="AO181" i="12"/>
  <c r="AN181" i="12"/>
  <c r="AN189" i="12" s="1"/>
  <c r="AM181" i="12"/>
  <c r="AL181" i="12"/>
  <c r="AL189" i="12" s="1"/>
  <c r="Y181" i="12"/>
  <c r="A180" i="12"/>
  <c r="B179" i="12"/>
  <c r="A179" i="12"/>
  <c r="A187" i="12" s="1"/>
  <c r="AK175" i="12"/>
  <c r="AJ175" i="12"/>
  <c r="AI175" i="12"/>
  <c r="AH175" i="12"/>
  <c r="AG175" i="12"/>
  <c r="AF175" i="12"/>
  <c r="AE175" i="12"/>
  <c r="AD175" i="12"/>
  <c r="AC175" i="12"/>
  <c r="AB175" i="12"/>
  <c r="AA175" i="12"/>
  <c r="Z175" i="12"/>
  <c r="Y175" i="12" s="1"/>
  <c r="AW174" i="12"/>
  <c r="AV174" i="12"/>
  <c r="AU174" i="12"/>
  <c r="AT174" i="12"/>
  <c r="AS174" i="12"/>
  <c r="AR174" i="12"/>
  <c r="AQ174" i="12"/>
  <c r="AP174" i="12"/>
  <c r="AO174" i="12"/>
  <c r="AN174" i="12"/>
  <c r="AM174" i="12"/>
  <c r="AL174" i="12"/>
  <c r="Y174" i="12"/>
  <c r="AW173" i="12"/>
  <c r="AV173" i="12"/>
  <c r="AU173" i="12"/>
  <c r="AT173" i="12"/>
  <c r="AS173" i="12"/>
  <c r="AR173" i="12"/>
  <c r="AQ173" i="12"/>
  <c r="AP173" i="12"/>
  <c r="AO173" i="12"/>
  <c r="AN173" i="12"/>
  <c r="AM173" i="12"/>
  <c r="AL173" i="12"/>
  <c r="Y173" i="12"/>
  <c r="AW172" i="12"/>
  <c r="AV172" i="12"/>
  <c r="AU172" i="12"/>
  <c r="AT172" i="12"/>
  <c r="AS172" i="12"/>
  <c r="AR172" i="12"/>
  <c r="AQ172" i="12"/>
  <c r="AP172" i="12"/>
  <c r="AO172" i="12"/>
  <c r="AN172" i="12"/>
  <c r="AM172" i="12"/>
  <c r="AL172" i="12"/>
  <c r="Y172" i="12"/>
  <c r="AW171" i="12"/>
  <c r="AV171" i="12"/>
  <c r="AU171" i="12"/>
  <c r="AT171" i="12"/>
  <c r="AS171" i="12"/>
  <c r="AR171" i="12"/>
  <c r="AQ171" i="12"/>
  <c r="AP171" i="12"/>
  <c r="AO171" i="12"/>
  <c r="AN171" i="12"/>
  <c r="AM171" i="12"/>
  <c r="AL171" i="12"/>
  <c r="Y171" i="12"/>
  <c r="AW170" i="12"/>
  <c r="AV170" i="12"/>
  <c r="AU170" i="12"/>
  <c r="AT170" i="12"/>
  <c r="AS170" i="12"/>
  <c r="AR170" i="12"/>
  <c r="AQ170" i="12"/>
  <c r="AP170" i="12"/>
  <c r="AO170" i="12"/>
  <c r="AN170" i="12"/>
  <c r="AM170" i="12"/>
  <c r="AL170" i="12"/>
  <c r="Y170" i="12"/>
  <c r="AW169" i="12"/>
  <c r="AV169" i="12"/>
  <c r="AU169" i="12"/>
  <c r="AT169" i="12"/>
  <c r="AS169" i="12"/>
  <c r="AR169" i="12"/>
  <c r="AQ169" i="12"/>
  <c r="AP169" i="12"/>
  <c r="AO169" i="12"/>
  <c r="AN169" i="12"/>
  <c r="AM169" i="12"/>
  <c r="AL169" i="12"/>
  <c r="Y169" i="12"/>
  <c r="AW168" i="12"/>
  <c r="AV168" i="12"/>
  <c r="AV175" i="12" s="1"/>
  <c r="AU168" i="12"/>
  <c r="AT168" i="12"/>
  <c r="AS168" i="12"/>
  <c r="AR168" i="12"/>
  <c r="AQ168" i="12"/>
  <c r="AP168" i="12"/>
  <c r="AO168" i="12"/>
  <c r="AN168" i="12"/>
  <c r="AM168" i="12"/>
  <c r="AL168" i="12"/>
  <c r="Y168" i="12"/>
  <c r="AW167" i="12"/>
  <c r="AV167" i="12"/>
  <c r="AU167" i="12"/>
  <c r="AT167" i="12"/>
  <c r="AT175" i="12" s="1"/>
  <c r="AS167" i="12"/>
  <c r="AS175" i="12" s="1"/>
  <c r="AR167" i="12"/>
  <c r="AQ167" i="12"/>
  <c r="AP167" i="12"/>
  <c r="AP175" i="12" s="1"/>
  <c r="AO167" i="12"/>
  <c r="AN167" i="12"/>
  <c r="AN175" i="12" s="1"/>
  <c r="AM167" i="12"/>
  <c r="AL167" i="12"/>
  <c r="AL175" i="12" s="1"/>
  <c r="Y167" i="12"/>
  <c r="Y165" i="12"/>
  <c r="B165" i="12"/>
  <c r="B175" i="12" s="1"/>
  <c r="AV161" i="12"/>
  <c r="AN161" i="12"/>
  <c r="AK161" i="12"/>
  <c r="AJ161" i="12"/>
  <c r="AI161" i="12"/>
  <c r="AH161" i="12"/>
  <c r="AG161" i="12"/>
  <c r="AF161" i="12"/>
  <c r="AE161" i="12"/>
  <c r="AD161" i="12"/>
  <c r="AC161" i="12"/>
  <c r="AB161" i="12"/>
  <c r="AA161" i="12"/>
  <c r="Z161" i="12"/>
  <c r="AW160" i="12"/>
  <c r="AV160" i="12"/>
  <c r="AU160" i="12"/>
  <c r="AT160" i="12"/>
  <c r="AS160" i="12"/>
  <c r="AR160" i="12"/>
  <c r="AQ160" i="12"/>
  <c r="AP160" i="12"/>
  <c r="AO160" i="12"/>
  <c r="AN160" i="12"/>
  <c r="AM160" i="12"/>
  <c r="AL160" i="12"/>
  <c r="Y160" i="12"/>
  <c r="AW159" i="12"/>
  <c r="AV159" i="12"/>
  <c r="AU159" i="12"/>
  <c r="AT159" i="12"/>
  <c r="AS159" i="12"/>
  <c r="AR159" i="12"/>
  <c r="AQ159" i="12"/>
  <c r="AP159" i="12"/>
  <c r="AO159" i="12"/>
  <c r="AN159" i="12"/>
  <c r="AM159" i="12"/>
  <c r="AL159" i="12"/>
  <c r="Y159" i="12"/>
  <c r="AX158" i="12"/>
  <c r="AW158" i="12"/>
  <c r="AV158" i="12"/>
  <c r="AU158" i="12"/>
  <c r="AT158" i="12"/>
  <c r="AS158" i="12"/>
  <c r="AR158" i="12"/>
  <c r="AQ158" i="12"/>
  <c r="AP158" i="12"/>
  <c r="AO158" i="12"/>
  <c r="AN158" i="12"/>
  <c r="AM158" i="12"/>
  <c r="AL158" i="12"/>
  <c r="Y158" i="12"/>
  <c r="AX157" i="12"/>
  <c r="AW157" i="12"/>
  <c r="AV157" i="12"/>
  <c r="AU157" i="12"/>
  <c r="AT157" i="12"/>
  <c r="AS157" i="12"/>
  <c r="AR157" i="12"/>
  <c r="AQ157" i="12"/>
  <c r="AP157" i="12"/>
  <c r="AO157" i="12"/>
  <c r="AN157" i="12"/>
  <c r="AM157" i="12"/>
  <c r="AL157" i="12"/>
  <c r="Y157" i="12"/>
  <c r="AW156" i="12"/>
  <c r="AV156" i="12"/>
  <c r="AU156" i="12"/>
  <c r="AT156" i="12"/>
  <c r="AS156" i="12"/>
  <c r="AR156" i="12"/>
  <c r="AQ156" i="12"/>
  <c r="AP156" i="12"/>
  <c r="AO156" i="12"/>
  <c r="AN156" i="12"/>
  <c r="AM156" i="12"/>
  <c r="AL156" i="12"/>
  <c r="Y156" i="12"/>
  <c r="AX156" i="12" s="1"/>
  <c r="AW155" i="12"/>
  <c r="AV155" i="12"/>
  <c r="AU155" i="12"/>
  <c r="AT155" i="12"/>
  <c r="AS155" i="12"/>
  <c r="AR155" i="12"/>
  <c r="AQ155" i="12"/>
  <c r="AP155" i="12"/>
  <c r="AO155" i="12"/>
  <c r="AN155" i="12"/>
  <c r="AM155" i="12"/>
  <c r="AL155" i="12"/>
  <c r="Y155" i="12"/>
  <c r="AX154" i="12"/>
  <c r="AW154" i="12"/>
  <c r="AV154" i="12"/>
  <c r="AU154" i="12"/>
  <c r="AT154" i="12"/>
  <c r="AS154" i="12"/>
  <c r="AR154" i="12"/>
  <c r="AQ154" i="12"/>
  <c r="AP154" i="12"/>
  <c r="AO154" i="12"/>
  <c r="AN154" i="12"/>
  <c r="AM154" i="12"/>
  <c r="AL154" i="12"/>
  <c r="Y154" i="12"/>
  <c r="AX182" i="12" s="1"/>
  <c r="AX153" i="12"/>
  <c r="AW153" i="12"/>
  <c r="AV153" i="12"/>
  <c r="AU153" i="12"/>
  <c r="AU161" i="12" s="1"/>
  <c r="AT153" i="12"/>
  <c r="AT161" i="12" s="1"/>
  <c r="AS153" i="12"/>
  <c r="AS161" i="12" s="1"/>
  <c r="AR153" i="12"/>
  <c r="AR161" i="12" s="1"/>
  <c r="AQ153" i="12"/>
  <c r="AQ161" i="12" s="1"/>
  <c r="AP153" i="12"/>
  <c r="AP161" i="12" s="1"/>
  <c r="AO153" i="12"/>
  <c r="AN153" i="12"/>
  <c r="AM153" i="12"/>
  <c r="AM161" i="12" s="1"/>
  <c r="AL153" i="12"/>
  <c r="AL161" i="12" s="1"/>
  <c r="Y153" i="12"/>
  <c r="B151" i="12"/>
  <c r="A143" i="12"/>
  <c r="A144" i="12" s="1"/>
  <c r="A145" i="12" s="1"/>
  <c r="A146" i="12" s="1"/>
  <c r="A147" i="12" s="1"/>
  <c r="A148" i="12" s="1"/>
  <c r="A149" i="12" s="1"/>
  <c r="O131" i="12"/>
  <c r="N131" i="12"/>
  <c r="M131" i="12"/>
  <c r="L131" i="12"/>
  <c r="K131" i="12"/>
  <c r="J131" i="12"/>
  <c r="I131" i="12"/>
  <c r="H131" i="12"/>
  <c r="G131" i="12"/>
  <c r="F131" i="12"/>
  <c r="E131" i="12"/>
  <c r="D131" i="12"/>
  <c r="C131" i="12"/>
  <c r="A131" i="12"/>
  <c r="A132" i="12" s="1"/>
  <c r="A133" i="12" s="1"/>
  <c r="A134" i="12" s="1"/>
  <c r="A135" i="12" s="1"/>
  <c r="A136" i="12" s="1"/>
  <c r="A137" i="12" s="1"/>
  <c r="A138" i="12" s="1"/>
  <c r="A139" i="12" s="1"/>
  <c r="A140" i="12" s="1"/>
  <c r="A141" i="12" s="1"/>
  <c r="A142" i="12" s="1"/>
  <c r="A130" i="12"/>
  <c r="Q121" i="12"/>
  <c r="Q131" i="12" s="1"/>
  <c r="O121" i="12"/>
  <c r="N121" i="12"/>
  <c r="M121" i="12"/>
  <c r="L121" i="12"/>
  <c r="K121" i="12"/>
  <c r="J121" i="12"/>
  <c r="I121" i="12"/>
  <c r="H121" i="12"/>
  <c r="G121" i="12"/>
  <c r="F121" i="12"/>
  <c r="E121" i="12"/>
  <c r="D121" i="12"/>
  <c r="C121" i="12"/>
  <c r="A121" i="12"/>
  <c r="A122" i="12" s="1"/>
  <c r="A123" i="12" s="1"/>
  <c r="A124" i="12" s="1"/>
  <c r="A125" i="12" s="1"/>
  <c r="A126" i="12" s="1"/>
  <c r="A127" i="12" s="1"/>
  <c r="A128" i="12" s="1"/>
  <c r="A129" i="12" s="1"/>
  <c r="A120" i="12"/>
  <c r="O111" i="12"/>
  <c r="N111" i="12"/>
  <c r="M111" i="12"/>
  <c r="L111" i="12"/>
  <c r="K111" i="12"/>
  <c r="J111" i="12"/>
  <c r="I111" i="12"/>
  <c r="H111" i="12"/>
  <c r="G111" i="12"/>
  <c r="F111" i="12"/>
  <c r="E111" i="12"/>
  <c r="D111" i="12"/>
  <c r="C111" i="12"/>
  <c r="A110" i="12"/>
  <c r="A111" i="12" s="1"/>
  <c r="A112" i="12" s="1"/>
  <c r="A113" i="12" s="1"/>
  <c r="A114" i="12" s="1"/>
  <c r="A115" i="12" s="1"/>
  <c r="A116" i="12" s="1"/>
  <c r="A117" i="12" s="1"/>
  <c r="A118" i="12" s="1"/>
  <c r="A119" i="12" s="1"/>
  <c r="A102" i="12"/>
  <c r="A103" i="12" s="1"/>
  <c r="A104" i="12" s="1"/>
  <c r="A105" i="12" s="1"/>
  <c r="A106" i="12" s="1"/>
  <c r="A107" i="12" s="1"/>
  <c r="A108" i="12" s="1"/>
  <c r="A109" i="12" s="1"/>
  <c r="J98" i="12"/>
  <c r="I98" i="12"/>
  <c r="H98" i="12"/>
  <c r="G98" i="12"/>
  <c r="F98" i="12"/>
  <c r="E98" i="12"/>
  <c r="D98" i="12"/>
  <c r="A97" i="12"/>
  <c r="A98" i="12" s="1"/>
  <c r="A99" i="12" s="1"/>
  <c r="A100" i="12" s="1"/>
  <c r="A101" i="12" s="1"/>
  <c r="A96" i="12"/>
  <c r="G95" i="12"/>
  <c r="A91" i="12"/>
  <c r="A92" i="12" s="1"/>
  <c r="A93" i="12" s="1"/>
  <c r="A94" i="12" s="1"/>
  <c r="A95" i="12" s="1"/>
  <c r="A85" i="12"/>
  <c r="A86" i="12" s="1"/>
  <c r="A87" i="12" s="1"/>
  <c r="A88" i="12" s="1"/>
  <c r="A89" i="12" s="1"/>
  <c r="A90" i="12" s="1"/>
  <c r="H84" i="12"/>
  <c r="G84" i="12"/>
  <c r="H83" i="12"/>
  <c r="H95" i="12" s="1"/>
  <c r="G83" i="12"/>
  <c r="B83" i="12"/>
  <c r="B95" i="12" s="1"/>
  <c r="Y82" i="12"/>
  <c r="H82" i="12"/>
  <c r="H94" i="12" s="1"/>
  <c r="G82" i="12"/>
  <c r="G94" i="12" s="1"/>
  <c r="B82" i="12"/>
  <c r="B94" i="12" s="1"/>
  <c r="A73" i="12"/>
  <c r="A74" i="12" s="1"/>
  <c r="A75" i="12" s="1"/>
  <c r="A76" i="12" s="1"/>
  <c r="A77" i="12" s="1"/>
  <c r="A78" i="12" s="1"/>
  <c r="A79" i="12" s="1"/>
  <c r="A80" i="12" s="1"/>
  <c r="A81" i="12" s="1"/>
  <c r="A82" i="12" s="1"/>
  <c r="A83" i="12" s="1"/>
  <c r="A84" i="12" s="1"/>
  <c r="B64" i="12"/>
  <c r="A63" i="12"/>
  <c r="A64" i="12" s="1"/>
  <c r="A65" i="12" s="1"/>
  <c r="A66" i="12" s="1"/>
  <c r="A67" i="12" s="1"/>
  <c r="A68" i="12" s="1"/>
  <c r="A69" i="12" s="1"/>
  <c r="A70" i="12" s="1"/>
  <c r="A71" i="12" s="1"/>
  <c r="A72" i="12" s="1"/>
  <c r="A62" i="12"/>
  <c r="B55" i="12"/>
  <c r="A51" i="12"/>
  <c r="A52" i="12" s="1"/>
  <c r="A53" i="12" s="1"/>
  <c r="A54" i="12" s="1"/>
  <c r="A55" i="12" s="1"/>
  <c r="A56" i="12" s="1"/>
  <c r="A57" i="12" s="1"/>
  <c r="A58" i="12" s="1"/>
  <c r="A59" i="12" s="1"/>
  <c r="A60" i="12" s="1"/>
  <c r="A61" i="12" s="1"/>
  <c r="A42" i="12"/>
  <c r="A43" i="12" s="1"/>
  <c r="A44" i="12" s="1"/>
  <c r="A45" i="12" s="1"/>
  <c r="A46" i="12" s="1"/>
  <c r="A47" i="12" s="1"/>
  <c r="A48" i="12" s="1"/>
  <c r="A49" i="12" s="1"/>
  <c r="A50" i="12" s="1"/>
  <c r="A41" i="12"/>
  <c r="A40" i="12"/>
  <c r="A29" i="12"/>
  <c r="A30" i="12" s="1"/>
  <c r="A31" i="12" s="1"/>
  <c r="A32" i="12" s="1"/>
  <c r="A33" i="12" s="1"/>
  <c r="A34" i="12" s="1"/>
  <c r="A35" i="12" s="1"/>
  <c r="A36" i="12" s="1"/>
  <c r="A37" i="12" s="1"/>
  <c r="A38" i="12" s="1"/>
  <c r="A39" i="12" s="1"/>
  <c r="B24" i="12"/>
  <c r="B59" i="12" s="1"/>
  <c r="B20" i="12"/>
  <c r="B18" i="12"/>
  <c r="B42" i="12" s="1"/>
  <c r="A15" i="12"/>
  <c r="A16" i="12" s="1"/>
  <c r="A17" i="12" s="1"/>
  <c r="A18" i="12" s="1"/>
  <c r="A19" i="12" s="1"/>
  <c r="A20" i="12" s="1"/>
  <c r="A21" i="12" s="1"/>
  <c r="A22" i="12" s="1"/>
  <c r="A23" i="12" s="1"/>
  <c r="A24" i="12" s="1"/>
  <c r="A25" i="12" s="1"/>
  <c r="A26" i="12" s="1"/>
  <c r="A27" i="12" s="1"/>
  <c r="A28" i="12" s="1"/>
  <c r="F49" i="11"/>
  <c r="F48" i="11"/>
  <c r="F47" i="11"/>
  <c r="F46" i="11"/>
  <c r="F45" i="11"/>
  <c r="F44" i="11"/>
  <c r="F43" i="11"/>
  <c r="F42" i="11"/>
  <c r="F41" i="11"/>
  <c r="F40" i="11"/>
  <c r="F39" i="11"/>
  <c r="F38" i="11"/>
  <c r="F37" i="11"/>
  <c r="F35" i="11"/>
  <c r="F34" i="11"/>
  <c r="F32" i="11"/>
  <c r="F31" i="11"/>
  <c r="F29" i="11"/>
  <c r="F28" i="11"/>
  <c r="F26" i="11"/>
  <c r="F25" i="11"/>
  <c r="F23" i="11"/>
  <c r="F22" i="11"/>
  <c r="F20" i="11"/>
  <c r="F19" i="11"/>
  <c r="F17" i="11"/>
  <c r="J16" i="11"/>
  <c r="F16" i="11"/>
  <c r="M14" i="11"/>
  <c r="K14" i="11"/>
  <c r="S14" i="11" s="1"/>
  <c r="J14" i="11"/>
  <c r="L14" i="11" s="1"/>
  <c r="F14" i="11"/>
  <c r="F13" i="11"/>
  <c r="F11" i="11"/>
  <c r="F10" i="11"/>
  <c r="P9" i="11"/>
  <c r="F8" i="11"/>
  <c r="O7" i="11"/>
  <c r="O9" i="11" s="1"/>
  <c r="O10" i="11" s="1"/>
  <c r="O11" i="11" s="1"/>
  <c r="F7" i="11"/>
  <c r="F5" i="11"/>
  <c r="O4" i="11"/>
  <c r="F4" i="11"/>
  <c r="O3" i="11"/>
  <c r="F2" i="11"/>
  <c r="C128" i="10"/>
  <c r="C127" i="10"/>
  <c r="C126" i="10"/>
  <c r="C125" i="10"/>
  <c r="C124" i="10"/>
  <c r="C123" i="10"/>
  <c r="C122" i="10"/>
  <c r="C121" i="10"/>
  <c r="C120" i="10"/>
  <c r="C119" i="10"/>
  <c r="C118" i="10"/>
  <c r="C117" i="10"/>
  <c r="C116" i="10"/>
  <c r="C115" i="10"/>
  <c r="C114" i="10"/>
  <c r="C113" i="10"/>
  <c r="C112" i="10"/>
  <c r="C111" i="10"/>
  <c r="C110" i="10"/>
  <c r="C109" i="10"/>
  <c r="C108" i="10"/>
  <c r="C107" i="10"/>
  <c r="C106" i="10"/>
  <c r="C105" i="10"/>
  <c r="C104" i="10"/>
  <c r="C103" i="10"/>
  <c r="C102" i="10"/>
  <c r="C101" i="10"/>
  <c r="C100" i="10"/>
  <c r="C99" i="10"/>
  <c r="C98" i="10"/>
  <c r="C97" i="10"/>
  <c r="C96" i="10"/>
  <c r="C95" i="10"/>
  <c r="C94" i="10"/>
  <c r="C93" i="10"/>
  <c r="C92" i="10"/>
  <c r="C91" i="10"/>
  <c r="C90" i="10"/>
  <c r="C89" i="10"/>
  <c r="C88" i="10"/>
  <c r="C87" i="10"/>
  <c r="C86" i="10"/>
  <c r="C85" i="10"/>
  <c r="C84" i="10"/>
  <c r="C83" i="10"/>
  <c r="C82" i="10"/>
  <c r="C81" i="10"/>
  <c r="C80" i="10"/>
  <c r="C79" i="10"/>
  <c r="C78" i="10"/>
  <c r="C77" i="10"/>
  <c r="C76" i="10"/>
  <c r="C75" i="10"/>
  <c r="C74" i="10"/>
  <c r="C73" i="10"/>
  <c r="C72" i="10"/>
  <c r="C71" i="10"/>
  <c r="C70" i="10"/>
  <c r="C69" i="10"/>
  <c r="C68" i="10"/>
  <c r="C67" i="10"/>
  <c r="F66" i="10"/>
  <c r="C63" i="10"/>
  <c r="K62" i="10"/>
  <c r="A59" i="10"/>
  <c r="AA57" i="10"/>
  <c r="Y57" i="10"/>
  <c r="T57" i="10"/>
  <c r="P57" i="10"/>
  <c r="M57" i="10"/>
  <c r="K57" i="10"/>
  <c r="I57" i="10"/>
  <c r="H57" i="10"/>
  <c r="E57" i="10"/>
  <c r="Y56" i="10"/>
  <c r="T56" i="10"/>
  <c r="P56" i="10"/>
  <c r="M56" i="10"/>
  <c r="K56" i="10"/>
  <c r="I56" i="10"/>
  <c r="E56" i="10"/>
  <c r="Y55" i="10"/>
  <c r="U55" i="10"/>
  <c r="Q55" i="10"/>
  <c r="N55" i="10"/>
  <c r="N56" i="10" s="1"/>
  <c r="N57" i="10" s="1"/>
  <c r="M55" i="10"/>
  <c r="K55" i="10"/>
  <c r="H55" i="10"/>
  <c r="F55" i="10"/>
  <c r="F56" i="10" s="1"/>
  <c r="F57" i="10" s="1"/>
  <c r="E55" i="10"/>
  <c r="AA54" i="10"/>
  <c r="AA55" i="10" s="1"/>
  <c r="AA56" i="10" s="1"/>
  <c r="Y54" i="10"/>
  <c r="W54" i="10"/>
  <c r="U54" i="10"/>
  <c r="U53" i="10" s="1"/>
  <c r="U52" i="10" s="1"/>
  <c r="T54" i="10"/>
  <c r="T53" i="10" s="1"/>
  <c r="T52" i="10" s="1"/>
  <c r="S54" i="10"/>
  <c r="R54" i="10"/>
  <c r="R53" i="10" s="1"/>
  <c r="Q54" i="10"/>
  <c r="P54" i="10"/>
  <c r="P53" i="10" s="1"/>
  <c r="O54" i="10"/>
  <c r="O55" i="10" s="1"/>
  <c r="O56" i="10" s="1"/>
  <c r="O57" i="10" s="1"/>
  <c r="M54" i="10"/>
  <c r="K54" i="10"/>
  <c r="H54" i="10"/>
  <c r="G54" i="10"/>
  <c r="G55" i="10" s="1"/>
  <c r="G56" i="10" s="1"/>
  <c r="G57" i="10" s="1"/>
  <c r="E54" i="10"/>
  <c r="AA53" i="10"/>
  <c r="Y53" i="10"/>
  <c r="W53" i="10"/>
  <c r="S53" i="10"/>
  <c r="Q53" i="10"/>
  <c r="O53" i="10"/>
  <c r="M53" i="10"/>
  <c r="K53" i="10"/>
  <c r="I53" i="10"/>
  <c r="I54" i="10" s="1"/>
  <c r="I55" i="10" s="1"/>
  <c r="G53" i="10"/>
  <c r="E53" i="10"/>
  <c r="Y52" i="10"/>
  <c r="W52" i="10"/>
  <c r="W51" i="10" s="1"/>
  <c r="S52" i="10"/>
  <c r="O52" i="10"/>
  <c r="N52" i="10"/>
  <c r="M52" i="10"/>
  <c r="M51" i="10" s="1"/>
  <c r="K52" i="10"/>
  <c r="G52" i="10"/>
  <c r="F52" i="10"/>
  <c r="S51" i="10"/>
  <c r="R51" i="10"/>
  <c r="R50" i="10" s="1"/>
  <c r="R49" i="10" s="1"/>
  <c r="O51" i="10"/>
  <c r="N51" i="10"/>
  <c r="K51" i="10"/>
  <c r="G51" i="10"/>
  <c r="F51" i="10"/>
  <c r="AA50" i="10"/>
  <c r="AA51" i="10" s="1"/>
  <c r="AA52" i="10" s="1"/>
  <c r="Y50" i="10"/>
  <c r="Y51" i="10" s="1"/>
  <c r="W50" i="10"/>
  <c r="T50" i="10"/>
  <c r="T51" i="10" s="1"/>
  <c r="S50" i="10"/>
  <c r="S49" i="10" s="1"/>
  <c r="P50" i="10"/>
  <c r="P51" i="10" s="1"/>
  <c r="P52" i="10" s="1"/>
  <c r="M50" i="10"/>
  <c r="K50" i="10"/>
  <c r="I50" i="10"/>
  <c r="I51" i="10" s="1"/>
  <c r="H50" i="10"/>
  <c r="H51" i="10" s="1"/>
  <c r="H52" i="10" s="1"/>
  <c r="Y49" i="10"/>
  <c r="W49" i="10"/>
  <c r="U49" i="10"/>
  <c r="U50" i="10" s="1"/>
  <c r="U51" i="10" s="1"/>
  <c r="Q49" i="10"/>
  <c r="Q50" i="10" s="1"/>
  <c r="M49" i="10"/>
  <c r="K49" i="10"/>
  <c r="I49" i="10"/>
  <c r="E49" i="10"/>
  <c r="E50" i="10" s="1"/>
  <c r="Y48" i="10"/>
  <c r="W48" i="10"/>
  <c r="U48" i="10"/>
  <c r="S48" i="10"/>
  <c r="N48" i="10"/>
  <c r="N49" i="10" s="1"/>
  <c r="N50" i="10" s="1"/>
  <c r="M48" i="10"/>
  <c r="K48" i="10"/>
  <c r="I48" i="10"/>
  <c r="F48" i="10"/>
  <c r="F49" i="10" s="1"/>
  <c r="F50" i="10" s="1"/>
  <c r="E48" i="10"/>
  <c r="Y47" i="10"/>
  <c r="W47" i="10"/>
  <c r="U47" i="10"/>
  <c r="T47" i="10"/>
  <c r="S47" i="10"/>
  <c r="R47" i="10"/>
  <c r="P47" i="10"/>
  <c r="O47" i="10"/>
  <c r="O48" i="10" s="1"/>
  <c r="O49" i="10" s="1"/>
  <c r="O50" i="10" s="1"/>
  <c r="M47" i="10"/>
  <c r="K47" i="10"/>
  <c r="I47" i="10"/>
  <c r="G47" i="10"/>
  <c r="G48" i="10" s="1"/>
  <c r="G49" i="10" s="1"/>
  <c r="G50" i="10" s="1"/>
  <c r="E47" i="10"/>
  <c r="AA46" i="10"/>
  <c r="AA47" i="10" s="1"/>
  <c r="AA48" i="10" s="1"/>
  <c r="AA49" i="10" s="1"/>
  <c r="Y46" i="10"/>
  <c r="W46" i="10"/>
  <c r="U46" i="10"/>
  <c r="T46" i="10"/>
  <c r="S46" i="10"/>
  <c r="R46" i="10"/>
  <c r="Q46" i="10"/>
  <c r="Q47" i="10" s="1"/>
  <c r="Q48" i="10" s="1"/>
  <c r="P46" i="10"/>
  <c r="M46" i="10"/>
  <c r="K46" i="10"/>
  <c r="I46" i="10"/>
  <c r="E46" i="10"/>
  <c r="Y45" i="10"/>
  <c r="W45" i="10"/>
  <c r="U45" i="10"/>
  <c r="T45" i="10"/>
  <c r="S45" i="10"/>
  <c r="Q45" i="10"/>
  <c r="N45" i="10"/>
  <c r="N46" i="10" s="1"/>
  <c r="M45" i="10"/>
  <c r="K45" i="10"/>
  <c r="I45" i="10"/>
  <c r="F45" i="10"/>
  <c r="F46" i="10" s="1"/>
  <c r="E45" i="10"/>
  <c r="Y44" i="10"/>
  <c r="W44" i="10"/>
  <c r="U44" i="10"/>
  <c r="S44" i="10"/>
  <c r="R44" i="10"/>
  <c r="Q44" i="10"/>
  <c r="P44" i="10"/>
  <c r="O44" i="10"/>
  <c r="O45" i="10" s="1"/>
  <c r="O46" i="10" s="1"/>
  <c r="M44" i="10"/>
  <c r="K44" i="10"/>
  <c r="I44" i="10"/>
  <c r="G44" i="10"/>
  <c r="G45" i="10" s="1"/>
  <c r="G46" i="10" s="1"/>
  <c r="E44" i="10"/>
  <c r="AA43" i="10"/>
  <c r="AA44" i="10" s="1"/>
  <c r="AA45" i="10" s="1"/>
  <c r="Y43" i="10"/>
  <c r="W43" i="10"/>
  <c r="U43" i="10"/>
  <c r="T43" i="10"/>
  <c r="S43" i="10"/>
  <c r="R43" i="10"/>
  <c r="R42" i="10" s="1"/>
  <c r="Q43" i="10"/>
  <c r="P43" i="10"/>
  <c r="M43" i="10"/>
  <c r="K43" i="10"/>
  <c r="I43" i="10"/>
  <c r="E43" i="10"/>
  <c r="Y42" i="10"/>
  <c r="W42" i="10"/>
  <c r="U42" i="10"/>
  <c r="T42" i="10"/>
  <c r="S42" i="10"/>
  <c r="Q42" i="10"/>
  <c r="P42" i="10"/>
  <c r="M42" i="10"/>
  <c r="K42" i="10"/>
  <c r="I42" i="10"/>
  <c r="E42" i="10"/>
  <c r="Y41" i="10"/>
  <c r="W41" i="10"/>
  <c r="U41" i="10"/>
  <c r="S41" i="10"/>
  <c r="Q41" i="10"/>
  <c r="N41" i="10"/>
  <c r="N42" i="10" s="1"/>
  <c r="N43" i="10" s="1"/>
  <c r="M41" i="10"/>
  <c r="K41" i="10"/>
  <c r="I41" i="10"/>
  <c r="F41" i="10"/>
  <c r="F42" i="10" s="1"/>
  <c r="F43" i="10" s="1"/>
  <c r="E41" i="10"/>
  <c r="Y40" i="10"/>
  <c r="W40" i="10"/>
  <c r="U40" i="10"/>
  <c r="T40" i="10"/>
  <c r="S40" i="10"/>
  <c r="R40" i="10"/>
  <c r="Q40" i="10"/>
  <c r="P40" i="10"/>
  <c r="O40" i="10"/>
  <c r="O41" i="10" s="1"/>
  <c r="O42" i="10" s="1"/>
  <c r="O43" i="10" s="1"/>
  <c r="M40" i="10"/>
  <c r="K40" i="10"/>
  <c r="I40" i="10"/>
  <c r="G40" i="10"/>
  <c r="G41" i="10" s="1"/>
  <c r="G42" i="10" s="1"/>
  <c r="G43" i="10" s="1"/>
  <c r="E40" i="10"/>
  <c r="AA39" i="10"/>
  <c r="AA40" i="10" s="1"/>
  <c r="AA41" i="10" s="1"/>
  <c r="AA42" i="10" s="1"/>
  <c r="Y39" i="10"/>
  <c r="W39" i="10"/>
  <c r="U39" i="10"/>
  <c r="T39" i="10"/>
  <c r="S39" i="10"/>
  <c r="R39" i="10"/>
  <c r="Q39" i="10"/>
  <c r="P39" i="10"/>
  <c r="M39" i="10"/>
  <c r="K39" i="10"/>
  <c r="I39" i="10"/>
  <c r="E39" i="10"/>
  <c r="Y38" i="10"/>
  <c r="W38" i="10"/>
  <c r="U38" i="10"/>
  <c r="T38" i="10"/>
  <c r="S38" i="10"/>
  <c r="Q38" i="10"/>
  <c r="N38" i="10"/>
  <c r="N39" i="10" s="1"/>
  <c r="M38" i="10"/>
  <c r="K38" i="10"/>
  <c r="I38" i="10"/>
  <c r="F38" i="10"/>
  <c r="F39" i="10" s="1"/>
  <c r="E38" i="10"/>
  <c r="Z37" i="10"/>
  <c r="Z38" i="10" s="1"/>
  <c r="Y37" i="10"/>
  <c r="W37" i="10"/>
  <c r="U37" i="10"/>
  <c r="S37" i="10"/>
  <c r="R37" i="10"/>
  <c r="Q37" i="10"/>
  <c r="P37" i="10"/>
  <c r="O37" i="10"/>
  <c r="O38" i="10" s="1"/>
  <c r="O39" i="10" s="1"/>
  <c r="M37" i="10"/>
  <c r="K37" i="10"/>
  <c r="I37" i="10"/>
  <c r="G37" i="10"/>
  <c r="G38" i="10" s="1"/>
  <c r="G39" i="10" s="1"/>
  <c r="E37" i="10"/>
  <c r="AA36" i="10"/>
  <c r="AA37" i="10" s="1"/>
  <c r="AA38" i="10" s="1"/>
  <c r="Y36" i="10"/>
  <c r="W36" i="10"/>
  <c r="U36" i="10"/>
  <c r="T36" i="10"/>
  <c r="T35" i="10" s="1"/>
  <c r="S36" i="10"/>
  <c r="R36" i="10"/>
  <c r="Q36" i="10"/>
  <c r="P36" i="10"/>
  <c r="P35" i="10" s="1"/>
  <c r="M36" i="10"/>
  <c r="K36" i="10"/>
  <c r="I36" i="10"/>
  <c r="E36" i="10"/>
  <c r="Y35" i="10"/>
  <c r="W35" i="10"/>
  <c r="U35" i="10"/>
  <c r="S35" i="10"/>
  <c r="R35" i="10"/>
  <c r="Q35" i="10"/>
  <c r="M35" i="10"/>
  <c r="K35" i="10"/>
  <c r="I35" i="10"/>
  <c r="E35" i="10"/>
  <c r="Y34" i="10"/>
  <c r="W34" i="10"/>
  <c r="U34" i="10"/>
  <c r="U33" i="10" s="1"/>
  <c r="U32" i="10" s="1"/>
  <c r="S34" i="10"/>
  <c r="Q34" i="10"/>
  <c r="N34" i="10"/>
  <c r="N35" i="10" s="1"/>
  <c r="N36" i="10" s="1"/>
  <c r="M34" i="10"/>
  <c r="K34" i="10"/>
  <c r="F34" i="10"/>
  <c r="F35" i="10" s="1"/>
  <c r="F36" i="10" s="1"/>
  <c r="E34" i="10"/>
  <c r="Z33" i="10"/>
  <c r="Z34" i="10" s="1"/>
  <c r="Z35" i="10" s="1"/>
  <c r="Y33" i="10"/>
  <c r="W33" i="10"/>
  <c r="T33" i="10"/>
  <c r="S33" i="10"/>
  <c r="R33" i="10"/>
  <c r="Q33" i="10"/>
  <c r="P33" i="10"/>
  <c r="O33" i="10"/>
  <c r="O34" i="10" s="1"/>
  <c r="O35" i="10" s="1"/>
  <c r="O36" i="10" s="1"/>
  <c r="M33" i="10"/>
  <c r="K33" i="10"/>
  <c r="H33" i="10"/>
  <c r="H34" i="10" s="1"/>
  <c r="G33" i="10"/>
  <c r="G34" i="10" s="1"/>
  <c r="G35" i="10" s="1"/>
  <c r="G36" i="10" s="1"/>
  <c r="E33" i="10"/>
  <c r="AA32" i="10"/>
  <c r="AA33" i="10" s="1"/>
  <c r="AA34" i="10" s="1"/>
  <c r="AA35" i="10" s="1"/>
  <c r="Y32" i="10"/>
  <c r="W32" i="10"/>
  <c r="T32" i="10"/>
  <c r="S32" i="10"/>
  <c r="R32" i="10"/>
  <c r="Q32" i="10"/>
  <c r="P32" i="10"/>
  <c r="M32" i="10"/>
  <c r="K32" i="10"/>
  <c r="I32" i="10"/>
  <c r="I33" i="10" s="1"/>
  <c r="I34" i="10" s="1"/>
  <c r="E32" i="10"/>
  <c r="Y31" i="10"/>
  <c r="W31" i="10"/>
  <c r="U31" i="10"/>
  <c r="T31" i="10"/>
  <c r="S31" i="10"/>
  <c r="Q31" i="10"/>
  <c r="Q57" i="10" s="1"/>
  <c r="Q56" i="10" s="1"/>
  <c r="N31" i="10"/>
  <c r="N32" i="10" s="1"/>
  <c r="M31" i="10"/>
  <c r="K31" i="10"/>
  <c r="F31" i="10"/>
  <c r="F32" i="10" s="1"/>
  <c r="E31" i="10"/>
  <c r="C31" i="10"/>
  <c r="C32" i="10" s="1"/>
  <c r="C33" i="10" s="1"/>
  <c r="C34" i="10" s="1"/>
  <c r="C35" i="10" s="1"/>
  <c r="C36" i="10" s="1"/>
  <c r="C37" i="10" s="1"/>
  <c r="C38" i="10" s="1"/>
  <c r="C39" i="10" s="1"/>
  <c r="C40" i="10" s="1"/>
  <c r="C41" i="10" s="1"/>
  <c r="C42" i="10" s="1"/>
  <c r="C43" i="10" s="1"/>
  <c r="C44" i="10" s="1"/>
  <c r="AA30" i="10"/>
  <c r="Z30" i="10"/>
  <c r="Z31" i="10" s="1"/>
  <c r="Y30" i="10"/>
  <c r="Y58" i="10" s="1"/>
  <c r="W30" i="10"/>
  <c r="W58" i="10" s="1"/>
  <c r="E63" i="10" s="1"/>
  <c r="U30" i="10"/>
  <c r="U57" i="10" s="1"/>
  <c r="U56" i="10" s="1"/>
  <c r="S30" i="10"/>
  <c r="S57" i="10" s="1"/>
  <c r="S56" i="10" s="1"/>
  <c r="R30" i="10"/>
  <c r="R57" i="10" s="1"/>
  <c r="R56" i="10" s="1"/>
  <c r="Q30" i="10"/>
  <c r="P30" i="10"/>
  <c r="O30" i="10"/>
  <c r="M30" i="10"/>
  <c r="M58" i="10" s="1"/>
  <c r="K30" i="10"/>
  <c r="K58" i="10" s="1"/>
  <c r="I30" i="10"/>
  <c r="H30" i="10"/>
  <c r="H31" i="10" s="1"/>
  <c r="G30" i="10"/>
  <c r="E30" i="10"/>
  <c r="D24" i="10"/>
  <c r="D21" i="10"/>
  <c r="D19" i="10"/>
  <c r="D17" i="10"/>
  <c r="D15" i="10"/>
  <c r="D13" i="10"/>
  <c r="D11" i="10"/>
  <c r="D9" i="10"/>
  <c r="D7" i="10"/>
  <c r="D5" i="10"/>
  <c r="D3" i="10"/>
  <c r="C3" i="10"/>
  <c r="R128" i="9"/>
  <c r="P128" i="9"/>
  <c r="N128" i="9"/>
  <c r="H128" i="9"/>
  <c r="S128" i="9" s="1"/>
  <c r="G128" i="9"/>
  <c r="F128" i="9"/>
  <c r="Q128" i="9" s="1"/>
  <c r="E128" i="9"/>
  <c r="D128" i="9"/>
  <c r="O128" i="9" s="1"/>
  <c r="C128" i="9"/>
  <c r="B128" i="9"/>
  <c r="M128" i="9" s="1"/>
  <c r="L128" i="9" s="1"/>
  <c r="R127" i="9"/>
  <c r="P127" i="9"/>
  <c r="N127" i="9"/>
  <c r="H127" i="9"/>
  <c r="S127" i="9" s="1"/>
  <c r="G127" i="9"/>
  <c r="F127" i="9"/>
  <c r="Q127" i="9" s="1"/>
  <c r="E127" i="9"/>
  <c r="D127" i="9"/>
  <c r="O127" i="9" s="1"/>
  <c r="C127" i="9"/>
  <c r="B127" i="9"/>
  <c r="M127" i="9" s="1"/>
  <c r="R126" i="9"/>
  <c r="P126" i="9"/>
  <c r="N126" i="9"/>
  <c r="H126" i="9"/>
  <c r="S126" i="9" s="1"/>
  <c r="G126" i="9"/>
  <c r="F126" i="9"/>
  <c r="Q126" i="9" s="1"/>
  <c r="E126" i="9"/>
  <c r="D126" i="9"/>
  <c r="O126" i="9" s="1"/>
  <c r="C126" i="9"/>
  <c r="B126" i="9"/>
  <c r="M126" i="9" s="1"/>
  <c r="R125" i="9"/>
  <c r="P125" i="9"/>
  <c r="N125" i="9"/>
  <c r="H125" i="9"/>
  <c r="S125" i="9" s="1"/>
  <c r="G125" i="9"/>
  <c r="F125" i="9"/>
  <c r="Q125" i="9" s="1"/>
  <c r="E125" i="9"/>
  <c r="D125" i="9"/>
  <c r="O125" i="9" s="1"/>
  <c r="C125" i="9"/>
  <c r="B125" i="9"/>
  <c r="M125" i="9" s="1"/>
  <c r="R124" i="9"/>
  <c r="P124" i="9"/>
  <c r="N124" i="9"/>
  <c r="H124" i="9"/>
  <c r="S124" i="9" s="1"/>
  <c r="G124" i="9"/>
  <c r="F124" i="9"/>
  <c r="Q124" i="9" s="1"/>
  <c r="E124" i="9"/>
  <c r="D124" i="9"/>
  <c r="O124" i="9" s="1"/>
  <c r="C124" i="9"/>
  <c r="B124" i="9"/>
  <c r="M124" i="9" s="1"/>
  <c r="L124" i="9" s="1"/>
  <c r="R123" i="9"/>
  <c r="P123" i="9"/>
  <c r="N123" i="9"/>
  <c r="H123" i="9"/>
  <c r="S123" i="9" s="1"/>
  <c r="G123" i="9"/>
  <c r="F123" i="9"/>
  <c r="Q123" i="9" s="1"/>
  <c r="E123" i="9"/>
  <c r="D123" i="9"/>
  <c r="O123" i="9" s="1"/>
  <c r="C123" i="9"/>
  <c r="B123" i="9"/>
  <c r="M123" i="9" s="1"/>
  <c r="R122" i="9"/>
  <c r="P122" i="9"/>
  <c r="N122" i="9"/>
  <c r="H122" i="9"/>
  <c r="S122" i="9" s="1"/>
  <c r="G122" i="9"/>
  <c r="F122" i="9"/>
  <c r="Q122" i="9" s="1"/>
  <c r="E122" i="9"/>
  <c r="D122" i="9"/>
  <c r="O122" i="9" s="1"/>
  <c r="C122" i="9"/>
  <c r="B122" i="9"/>
  <c r="M122" i="9" s="1"/>
  <c r="R121" i="9"/>
  <c r="P121" i="9"/>
  <c r="N121" i="9"/>
  <c r="H121" i="9"/>
  <c r="S121" i="9" s="1"/>
  <c r="G121" i="9"/>
  <c r="F121" i="9"/>
  <c r="Q121" i="9" s="1"/>
  <c r="E121" i="9"/>
  <c r="D121" i="9"/>
  <c r="O121" i="9" s="1"/>
  <c r="C121" i="9"/>
  <c r="B121" i="9"/>
  <c r="M121" i="9" s="1"/>
  <c r="R120" i="9"/>
  <c r="P120" i="9"/>
  <c r="N120" i="9"/>
  <c r="H120" i="9"/>
  <c r="S120" i="9" s="1"/>
  <c r="G120" i="9"/>
  <c r="F120" i="9"/>
  <c r="Q120" i="9" s="1"/>
  <c r="E120" i="9"/>
  <c r="D120" i="9"/>
  <c r="O120" i="9" s="1"/>
  <c r="C120" i="9"/>
  <c r="B120" i="9"/>
  <c r="M120" i="9" s="1"/>
  <c r="L120" i="9" s="1"/>
  <c r="R119" i="9"/>
  <c r="P119" i="9"/>
  <c r="N119" i="9"/>
  <c r="H119" i="9"/>
  <c r="S119" i="9" s="1"/>
  <c r="G119" i="9"/>
  <c r="F119" i="9"/>
  <c r="Q119" i="9" s="1"/>
  <c r="E119" i="9"/>
  <c r="D119" i="9"/>
  <c r="O119" i="9" s="1"/>
  <c r="C119" i="9"/>
  <c r="B119" i="9"/>
  <c r="M119" i="9" s="1"/>
  <c r="R118" i="9"/>
  <c r="P118" i="9"/>
  <c r="N118" i="9"/>
  <c r="H118" i="9"/>
  <c r="S118" i="9" s="1"/>
  <c r="G118" i="9"/>
  <c r="F118" i="9"/>
  <c r="Q118" i="9" s="1"/>
  <c r="E118" i="9"/>
  <c r="D118" i="9"/>
  <c r="O118" i="9" s="1"/>
  <c r="C118" i="9"/>
  <c r="B118" i="9"/>
  <c r="M118" i="9" s="1"/>
  <c r="R117" i="9"/>
  <c r="P117" i="9"/>
  <c r="N117" i="9"/>
  <c r="H117" i="9"/>
  <c r="S117" i="9" s="1"/>
  <c r="G117" i="9"/>
  <c r="F117" i="9"/>
  <c r="Q117" i="9" s="1"/>
  <c r="E117" i="9"/>
  <c r="D117" i="9"/>
  <c r="O117" i="9" s="1"/>
  <c r="C117" i="9"/>
  <c r="B117" i="9"/>
  <c r="M117" i="9" s="1"/>
  <c r="R116" i="9"/>
  <c r="P116" i="9"/>
  <c r="N116" i="9"/>
  <c r="H116" i="9"/>
  <c r="S116" i="9" s="1"/>
  <c r="G116" i="9"/>
  <c r="F116" i="9"/>
  <c r="Q116" i="9" s="1"/>
  <c r="E116" i="9"/>
  <c r="D116" i="9"/>
  <c r="O116" i="9" s="1"/>
  <c r="C116" i="9"/>
  <c r="B116" i="9"/>
  <c r="M116" i="9" s="1"/>
  <c r="L116" i="9" s="1"/>
  <c r="R115" i="9"/>
  <c r="P115" i="9"/>
  <c r="N115" i="9"/>
  <c r="H115" i="9"/>
  <c r="S115" i="9" s="1"/>
  <c r="G115" i="9"/>
  <c r="F115" i="9"/>
  <c r="Q115" i="9" s="1"/>
  <c r="E115" i="9"/>
  <c r="D115" i="9"/>
  <c r="O115" i="9" s="1"/>
  <c r="C115" i="9"/>
  <c r="B115" i="9"/>
  <c r="M115" i="9" s="1"/>
  <c r="R114" i="9"/>
  <c r="P114" i="9"/>
  <c r="N114" i="9"/>
  <c r="H114" i="9"/>
  <c r="S114" i="9" s="1"/>
  <c r="G114" i="9"/>
  <c r="F114" i="9"/>
  <c r="Q114" i="9" s="1"/>
  <c r="E114" i="9"/>
  <c r="D114" i="9"/>
  <c r="O114" i="9" s="1"/>
  <c r="C114" i="9"/>
  <c r="B114" i="9"/>
  <c r="M114" i="9" s="1"/>
  <c r="R113" i="9"/>
  <c r="P113" i="9"/>
  <c r="N113" i="9"/>
  <c r="H113" i="9"/>
  <c r="S113" i="9" s="1"/>
  <c r="G113" i="9"/>
  <c r="F113" i="9"/>
  <c r="Q113" i="9" s="1"/>
  <c r="E113" i="9"/>
  <c r="D113" i="9"/>
  <c r="O113" i="9" s="1"/>
  <c r="C113" i="9"/>
  <c r="B113" i="9"/>
  <c r="M113" i="9" s="1"/>
  <c r="R112" i="9"/>
  <c r="P112" i="9"/>
  <c r="N112" i="9"/>
  <c r="H112" i="9"/>
  <c r="S112" i="9" s="1"/>
  <c r="G112" i="9"/>
  <c r="F112" i="9"/>
  <c r="Q112" i="9" s="1"/>
  <c r="E112" i="9"/>
  <c r="D112" i="9"/>
  <c r="O112" i="9" s="1"/>
  <c r="C112" i="9"/>
  <c r="B112" i="9"/>
  <c r="M112" i="9" s="1"/>
  <c r="L112" i="9" s="1"/>
  <c r="R111" i="9"/>
  <c r="P111" i="9"/>
  <c r="N111" i="9"/>
  <c r="H111" i="9"/>
  <c r="S111" i="9" s="1"/>
  <c r="G111" i="9"/>
  <c r="F111" i="9"/>
  <c r="Q111" i="9" s="1"/>
  <c r="E111" i="9"/>
  <c r="D111" i="9"/>
  <c r="O111" i="9" s="1"/>
  <c r="C111" i="9"/>
  <c r="B111" i="9"/>
  <c r="M111" i="9" s="1"/>
  <c r="R110" i="9"/>
  <c r="P110" i="9"/>
  <c r="N110" i="9"/>
  <c r="H110" i="9"/>
  <c r="S110" i="9" s="1"/>
  <c r="G110" i="9"/>
  <c r="F110" i="9"/>
  <c r="Q110" i="9" s="1"/>
  <c r="E110" i="9"/>
  <c r="D110" i="9"/>
  <c r="O110" i="9" s="1"/>
  <c r="C110" i="9"/>
  <c r="B110" i="9"/>
  <c r="M110" i="9" s="1"/>
  <c r="R109" i="9"/>
  <c r="P109" i="9"/>
  <c r="N109" i="9"/>
  <c r="H109" i="9"/>
  <c r="S109" i="9" s="1"/>
  <c r="G109" i="9"/>
  <c r="F109" i="9"/>
  <c r="Q109" i="9" s="1"/>
  <c r="E109" i="9"/>
  <c r="D109" i="9"/>
  <c r="O109" i="9" s="1"/>
  <c r="C109" i="9"/>
  <c r="B109" i="9"/>
  <c r="M109" i="9" s="1"/>
  <c r="R108" i="9"/>
  <c r="P108" i="9"/>
  <c r="N108" i="9"/>
  <c r="H108" i="9"/>
  <c r="S108" i="9" s="1"/>
  <c r="G108" i="9"/>
  <c r="F108" i="9"/>
  <c r="Q108" i="9" s="1"/>
  <c r="E108" i="9"/>
  <c r="D108" i="9"/>
  <c r="O108" i="9" s="1"/>
  <c r="C108" i="9"/>
  <c r="B108" i="9"/>
  <c r="M108" i="9" s="1"/>
  <c r="L108" i="9" s="1"/>
  <c r="R107" i="9"/>
  <c r="P107" i="9"/>
  <c r="N107" i="9"/>
  <c r="H107" i="9"/>
  <c r="S107" i="9" s="1"/>
  <c r="G107" i="9"/>
  <c r="F107" i="9"/>
  <c r="Q107" i="9" s="1"/>
  <c r="E107" i="9"/>
  <c r="D107" i="9"/>
  <c r="O107" i="9" s="1"/>
  <c r="C107" i="9"/>
  <c r="B107" i="9"/>
  <c r="M107" i="9" s="1"/>
  <c r="R106" i="9"/>
  <c r="P106" i="9"/>
  <c r="N106" i="9"/>
  <c r="H106" i="9"/>
  <c r="S106" i="9" s="1"/>
  <c r="G106" i="9"/>
  <c r="F106" i="9"/>
  <c r="Q106" i="9" s="1"/>
  <c r="E106" i="9"/>
  <c r="D106" i="9"/>
  <c r="O106" i="9" s="1"/>
  <c r="C106" i="9"/>
  <c r="B106" i="9"/>
  <c r="M106" i="9" s="1"/>
  <c r="R105" i="9"/>
  <c r="P105" i="9"/>
  <c r="N105" i="9"/>
  <c r="H105" i="9"/>
  <c r="S105" i="9" s="1"/>
  <c r="G105" i="9"/>
  <c r="F105" i="9"/>
  <c r="Q105" i="9" s="1"/>
  <c r="E105" i="9"/>
  <c r="D105" i="9"/>
  <c r="O105" i="9" s="1"/>
  <c r="C105" i="9"/>
  <c r="B105" i="9"/>
  <c r="M105" i="9" s="1"/>
  <c r="R104" i="9"/>
  <c r="P104" i="9"/>
  <c r="N104" i="9"/>
  <c r="H104" i="9"/>
  <c r="S104" i="9" s="1"/>
  <c r="G104" i="9"/>
  <c r="F104" i="9"/>
  <c r="Q104" i="9" s="1"/>
  <c r="E104" i="9"/>
  <c r="D104" i="9"/>
  <c r="O104" i="9" s="1"/>
  <c r="C104" i="9"/>
  <c r="B104" i="9"/>
  <c r="M104" i="9" s="1"/>
  <c r="L104" i="9" s="1"/>
  <c r="R103" i="9"/>
  <c r="P103" i="9"/>
  <c r="N103" i="9"/>
  <c r="H103" i="9"/>
  <c r="S103" i="9" s="1"/>
  <c r="G103" i="9"/>
  <c r="F103" i="9"/>
  <c r="Q103" i="9" s="1"/>
  <c r="E103" i="9"/>
  <c r="D103" i="9"/>
  <c r="O103" i="9" s="1"/>
  <c r="C103" i="9"/>
  <c r="B103" i="9"/>
  <c r="M103" i="9" s="1"/>
  <c r="R102" i="9"/>
  <c r="P102" i="9"/>
  <c r="N102" i="9"/>
  <c r="H102" i="9"/>
  <c r="S102" i="9" s="1"/>
  <c r="G102" i="9"/>
  <c r="F102" i="9"/>
  <c r="Q102" i="9" s="1"/>
  <c r="E102" i="9"/>
  <c r="D102" i="9"/>
  <c r="O102" i="9" s="1"/>
  <c r="C102" i="9"/>
  <c r="B102" i="9"/>
  <c r="M102" i="9" s="1"/>
  <c r="R101" i="9"/>
  <c r="P101" i="9"/>
  <c r="N101" i="9"/>
  <c r="H101" i="9"/>
  <c r="S101" i="9" s="1"/>
  <c r="G101" i="9"/>
  <c r="F101" i="9"/>
  <c r="Q101" i="9" s="1"/>
  <c r="E101" i="9"/>
  <c r="D101" i="9"/>
  <c r="O101" i="9" s="1"/>
  <c r="C101" i="9"/>
  <c r="B101" i="9"/>
  <c r="M101" i="9" s="1"/>
  <c r="R100" i="9"/>
  <c r="P100" i="9"/>
  <c r="N100" i="9"/>
  <c r="H100" i="9"/>
  <c r="S100" i="9" s="1"/>
  <c r="G100" i="9"/>
  <c r="F100" i="9"/>
  <c r="Q100" i="9" s="1"/>
  <c r="E100" i="9"/>
  <c r="D100" i="9"/>
  <c r="O100" i="9" s="1"/>
  <c r="C100" i="9"/>
  <c r="B100" i="9"/>
  <c r="M100" i="9" s="1"/>
  <c r="L100" i="9" s="1"/>
  <c r="R99" i="9"/>
  <c r="P99" i="9"/>
  <c r="N99" i="9"/>
  <c r="H99" i="9"/>
  <c r="S99" i="9" s="1"/>
  <c r="G99" i="9"/>
  <c r="F99" i="9"/>
  <c r="Q99" i="9" s="1"/>
  <c r="E99" i="9"/>
  <c r="D99" i="9"/>
  <c r="O99" i="9" s="1"/>
  <c r="C99" i="9"/>
  <c r="B99" i="9"/>
  <c r="M99" i="9" s="1"/>
  <c r="R98" i="9"/>
  <c r="P98" i="9"/>
  <c r="N98" i="9"/>
  <c r="H98" i="9"/>
  <c r="S98" i="9" s="1"/>
  <c r="G98" i="9"/>
  <c r="F98" i="9"/>
  <c r="Q98" i="9" s="1"/>
  <c r="E98" i="9"/>
  <c r="D98" i="9"/>
  <c r="O98" i="9" s="1"/>
  <c r="C98" i="9"/>
  <c r="B98" i="9"/>
  <c r="M98" i="9" s="1"/>
  <c r="R97" i="9"/>
  <c r="P97" i="9"/>
  <c r="N97" i="9"/>
  <c r="H97" i="9"/>
  <c r="S97" i="9" s="1"/>
  <c r="G97" i="9"/>
  <c r="F97" i="9"/>
  <c r="Q97" i="9" s="1"/>
  <c r="E97" i="9"/>
  <c r="D97" i="9"/>
  <c r="O97" i="9" s="1"/>
  <c r="C97" i="9"/>
  <c r="B97" i="9"/>
  <c r="M97" i="9" s="1"/>
  <c r="R96" i="9"/>
  <c r="P96" i="9"/>
  <c r="N96" i="9"/>
  <c r="H96" i="9"/>
  <c r="S96" i="9" s="1"/>
  <c r="G96" i="9"/>
  <c r="F96" i="9"/>
  <c r="Q96" i="9" s="1"/>
  <c r="E96" i="9"/>
  <c r="D96" i="9"/>
  <c r="O96" i="9" s="1"/>
  <c r="C96" i="9"/>
  <c r="B96" i="9"/>
  <c r="M96" i="9" s="1"/>
  <c r="L96" i="9" s="1"/>
  <c r="R95" i="9"/>
  <c r="P95" i="9"/>
  <c r="N95" i="9"/>
  <c r="H95" i="9"/>
  <c r="S95" i="9" s="1"/>
  <c r="G95" i="9"/>
  <c r="F95" i="9"/>
  <c r="Q95" i="9" s="1"/>
  <c r="E95" i="9"/>
  <c r="D95" i="9"/>
  <c r="O95" i="9" s="1"/>
  <c r="C95" i="9"/>
  <c r="B95" i="9"/>
  <c r="M95" i="9" s="1"/>
  <c r="R94" i="9"/>
  <c r="P94" i="9"/>
  <c r="N94" i="9"/>
  <c r="H94" i="9"/>
  <c r="S94" i="9" s="1"/>
  <c r="G94" i="9"/>
  <c r="F94" i="9"/>
  <c r="Q94" i="9" s="1"/>
  <c r="E94" i="9"/>
  <c r="D94" i="9"/>
  <c r="O94" i="9" s="1"/>
  <c r="C94" i="9"/>
  <c r="B94" i="9"/>
  <c r="M94" i="9" s="1"/>
  <c r="R93" i="9"/>
  <c r="P93" i="9"/>
  <c r="N93" i="9"/>
  <c r="H93" i="9"/>
  <c r="S93" i="9" s="1"/>
  <c r="G93" i="9"/>
  <c r="F93" i="9"/>
  <c r="Q93" i="9" s="1"/>
  <c r="E93" i="9"/>
  <c r="D93" i="9"/>
  <c r="O93" i="9" s="1"/>
  <c r="C93" i="9"/>
  <c r="B93" i="9"/>
  <c r="M93" i="9" s="1"/>
  <c r="R92" i="9"/>
  <c r="P92" i="9"/>
  <c r="N92" i="9"/>
  <c r="H92" i="9"/>
  <c r="S92" i="9" s="1"/>
  <c r="G92" i="9"/>
  <c r="F92" i="9"/>
  <c r="Q92" i="9" s="1"/>
  <c r="E92" i="9"/>
  <c r="D92" i="9"/>
  <c r="O92" i="9" s="1"/>
  <c r="C92" i="9"/>
  <c r="B92" i="9"/>
  <c r="M92" i="9" s="1"/>
  <c r="L92" i="9" s="1"/>
  <c r="R91" i="9"/>
  <c r="P91" i="9"/>
  <c r="N91" i="9"/>
  <c r="H91" i="9"/>
  <c r="S91" i="9" s="1"/>
  <c r="G91" i="9"/>
  <c r="F91" i="9"/>
  <c r="Q91" i="9" s="1"/>
  <c r="E91" i="9"/>
  <c r="D91" i="9"/>
  <c r="O91" i="9" s="1"/>
  <c r="C91" i="9"/>
  <c r="B91" i="9"/>
  <c r="M91" i="9" s="1"/>
  <c r="R90" i="9"/>
  <c r="P90" i="9"/>
  <c r="N90" i="9"/>
  <c r="H90" i="9"/>
  <c r="S90" i="9" s="1"/>
  <c r="G90" i="9"/>
  <c r="F90" i="9"/>
  <c r="Q90" i="9" s="1"/>
  <c r="E90" i="9"/>
  <c r="D90" i="9"/>
  <c r="O90" i="9" s="1"/>
  <c r="C90" i="9"/>
  <c r="B90" i="9"/>
  <c r="M90" i="9" s="1"/>
  <c r="R89" i="9"/>
  <c r="P89" i="9"/>
  <c r="N89" i="9"/>
  <c r="H89" i="9"/>
  <c r="S89" i="9" s="1"/>
  <c r="G89" i="9"/>
  <c r="F89" i="9"/>
  <c r="Q89" i="9" s="1"/>
  <c r="E89" i="9"/>
  <c r="D89" i="9"/>
  <c r="O89" i="9" s="1"/>
  <c r="C89" i="9"/>
  <c r="B89" i="9"/>
  <c r="M89" i="9" s="1"/>
  <c r="R88" i="9"/>
  <c r="P88" i="9"/>
  <c r="N88" i="9"/>
  <c r="H88" i="9"/>
  <c r="S88" i="9" s="1"/>
  <c r="G88" i="9"/>
  <c r="F88" i="9"/>
  <c r="Q88" i="9" s="1"/>
  <c r="E88" i="9"/>
  <c r="D88" i="9"/>
  <c r="O88" i="9" s="1"/>
  <c r="C88" i="9"/>
  <c r="B88" i="9"/>
  <c r="M88" i="9" s="1"/>
  <c r="L88" i="9" s="1"/>
  <c r="R87" i="9"/>
  <c r="P87" i="9"/>
  <c r="N87" i="9"/>
  <c r="H87" i="9"/>
  <c r="S87" i="9" s="1"/>
  <c r="G87" i="9"/>
  <c r="F87" i="9"/>
  <c r="Q87" i="9" s="1"/>
  <c r="E87" i="9"/>
  <c r="D87" i="9"/>
  <c r="O87" i="9" s="1"/>
  <c r="C87" i="9"/>
  <c r="B87" i="9"/>
  <c r="M87" i="9" s="1"/>
  <c r="R86" i="9"/>
  <c r="P86" i="9"/>
  <c r="N86" i="9"/>
  <c r="H86" i="9"/>
  <c r="S86" i="9" s="1"/>
  <c r="G86" i="9"/>
  <c r="F86" i="9"/>
  <c r="Q86" i="9" s="1"/>
  <c r="E86" i="9"/>
  <c r="D86" i="9"/>
  <c r="O86" i="9" s="1"/>
  <c r="C86" i="9"/>
  <c r="B86" i="9"/>
  <c r="M86" i="9" s="1"/>
  <c r="R85" i="9"/>
  <c r="P85" i="9"/>
  <c r="N85" i="9"/>
  <c r="H85" i="9"/>
  <c r="S85" i="9" s="1"/>
  <c r="G85" i="9"/>
  <c r="F85" i="9"/>
  <c r="Q85" i="9" s="1"/>
  <c r="E85" i="9"/>
  <c r="D85" i="9"/>
  <c r="O85" i="9" s="1"/>
  <c r="C85" i="9"/>
  <c r="B85" i="9"/>
  <c r="M85" i="9" s="1"/>
  <c r="R84" i="9"/>
  <c r="P84" i="9"/>
  <c r="N84" i="9"/>
  <c r="H84" i="9"/>
  <c r="S84" i="9" s="1"/>
  <c r="G84" i="9"/>
  <c r="F84" i="9"/>
  <c r="Q84" i="9" s="1"/>
  <c r="E84" i="9"/>
  <c r="D84" i="9"/>
  <c r="O84" i="9" s="1"/>
  <c r="C84" i="9"/>
  <c r="B84" i="9"/>
  <c r="M84" i="9" s="1"/>
  <c r="L84" i="9" s="1"/>
  <c r="R83" i="9"/>
  <c r="P83" i="9"/>
  <c r="N83" i="9"/>
  <c r="H83" i="9"/>
  <c r="S83" i="9" s="1"/>
  <c r="G83" i="9"/>
  <c r="F83" i="9"/>
  <c r="Q83" i="9" s="1"/>
  <c r="E83" i="9"/>
  <c r="D83" i="9"/>
  <c r="O83" i="9" s="1"/>
  <c r="C83" i="9"/>
  <c r="B83" i="9"/>
  <c r="M83" i="9" s="1"/>
  <c r="R82" i="9"/>
  <c r="P82" i="9"/>
  <c r="N82" i="9"/>
  <c r="H82" i="9"/>
  <c r="S82" i="9" s="1"/>
  <c r="G82" i="9"/>
  <c r="F82" i="9"/>
  <c r="Q82" i="9" s="1"/>
  <c r="E82" i="9"/>
  <c r="D82" i="9"/>
  <c r="O82" i="9" s="1"/>
  <c r="C82" i="9"/>
  <c r="B82" i="9"/>
  <c r="M82" i="9" s="1"/>
  <c r="R81" i="9"/>
  <c r="P81" i="9"/>
  <c r="N81" i="9"/>
  <c r="H81" i="9"/>
  <c r="S81" i="9" s="1"/>
  <c r="G81" i="9"/>
  <c r="F81" i="9"/>
  <c r="Q81" i="9" s="1"/>
  <c r="E81" i="9"/>
  <c r="D81" i="9"/>
  <c r="O81" i="9" s="1"/>
  <c r="C81" i="9"/>
  <c r="B81" i="9"/>
  <c r="M81" i="9" s="1"/>
  <c r="R80" i="9"/>
  <c r="P80" i="9"/>
  <c r="N80" i="9"/>
  <c r="H80" i="9"/>
  <c r="S80" i="9" s="1"/>
  <c r="G80" i="9"/>
  <c r="F80" i="9"/>
  <c r="Q80" i="9" s="1"/>
  <c r="E80" i="9"/>
  <c r="D80" i="9"/>
  <c r="O80" i="9" s="1"/>
  <c r="C80" i="9"/>
  <c r="B80" i="9"/>
  <c r="M80" i="9" s="1"/>
  <c r="L80" i="9" s="1"/>
  <c r="R79" i="9"/>
  <c r="P79" i="9"/>
  <c r="N79" i="9"/>
  <c r="H79" i="9"/>
  <c r="S79" i="9" s="1"/>
  <c r="G79" i="9"/>
  <c r="F79" i="9"/>
  <c r="Q79" i="9" s="1"/>
  <c r="E79" i="9"/>
  <c r="D79" i="9"/>
  <c r="O79" i="9" s="1"/>
  <c r="C79" i="9"/>
  <c r="B79" i="9"/>
  <c r="M79" i="9" s="1"/>
  <c r="R78" i="9"/>
  <c r="P78" i="9"/>
  <c r="N78" i="9"/>
  <c r="H78" i="9"/>
  <c r="S78" i="9" s="1"/>
  <c r="G78" i="9"/>
  <c r="F78" i="9"/>
  <c r="Q78" i="9" s="1"/>
  <c r="E78" i="9"/>
  <c r="D78" i="9"/>
  <c r="O78" i="9" s="1"/>
  <c r="C78" i="9"/>
  <c r="B78" i="9"/>
  <c r="M78" i="9" s="1"/>
  <c r="R77" i="9"/>
  <c r="P77" i="9"/>
  <c r="N77" i="9"/>
  <c r="H77" i="9"/>
  <c r="S77" i="9" s="1"/>
  <c r="G77" i="9"/>
  <c r="F77" i="9"/>
  <c r="Q77" i="9" s="1"/>
  <c r="E77" i="9"/>
  <c r="D77" i="9"/>
  <c r="O77" i="9" s="1"/>
  <c r="C77" i="9"/>
  <c r="B77" i="9"/>
  <c r="M77" i="9" s="1"/>
  <c r="R76" i="9"/>
  <c r="P76" i="9"/>
  <c r="N76" i="9"/>
  <c r="H76" i="9"/>
  <c r="S76" i="9" s="1"/>
  <c r="G76" i="9"/>
  <c r="F76" i="9"/>
  <c r="Q76" i="9" s="1"/>
  <c r="E76" i="9"/>
  <c r="D76" i="9"/>
  <c r="O76" i="9" s="1"/>
  <c r="C76" i="9"/>
  <c r="B76" i="9"/>
  <c r="M76" i="9" s="1"/>
  <c r="L76" i="9" s="1"/>
  <c r="R75" i="9"/>
  <c r="P75" i="9"/>
  <c r="N75" i="9"/>
  <c r="H75" i="9"/>
  <c r="S75" i="9" s="1"/>
  <c r="G75" i="9"/>
  <c r="F75" i="9"/>
  <c r="Q75" i="9" s="1"/>
  <c r="E75" i="9"/>
  <c r="D75" i="9"/>
  <c r="O75" i="9" s="1"/>
  <c r="C75" i="9"/>
  <c r="B75" i="9"/>
  <c r="M75" i="9" s="1"/>
  <c r="R74" i="9"/>
  <c r="P74" i="9"/>
  <c r="N74" i="9"/>
  <c r="H74" i="9"/>
  <c r="S74" i="9" s="1"/>
  <c r="G74" i="9"/>
  <c r="F74" i="9"/>
  <c r="Q74" i="9" s="1"/>
  <c r="E74" i="9"/>
  <c r="D74" i="9"/>
  <c r="O74" i="9" s="1"/>
  <c r="C74" i="9"/>
  <c r="B74" i="9"/>
  <c r="M74" i="9" s="1"/>
  <c r="R73" i="9"/>
  <c r="P73" i="9"/>
  <c r="N73" i="9"/>
  <c r="H73" i="9"/>
  <c r="S73" i="9" s="1"/>
  <c r="G73" i="9"/>
  <c r="F73" i="9"/>
  <c r="Q73" i="9" s="1"/>
  <c r="E73" i="9"/>
  <c r="D73" i="9"/>
  <c r="O73" i="9" s="1"/>
  <c r="C73" i="9"/>
  <c r="B73" i="9"/>
  <c r="M73" i="9" s="1"/>
  <c r="R72" i="9"/>
  <c r="P72" i="9"/>
  <c r="N72" i="9"/>
  <c r="H72" i="9"/>
  <c r="S72" i="9" s="1"/>
  <c r="G72" i="9"/>
  <c r="F72" i="9"/>
  <c r="Q72" i="9" s="1"/>
  <c r="E72" i="9"/>
  <c r="D72" i="9"/>
  <c r="O72" i="9" s="1"/>
  <c r="C72" i="9"/>
  <c r="B72" i="9"/>
  <c r="M72" i="9" s="1"/>
  <c r="L72" i="9" s="1"/>
  <c r="R71" i="9"/>
  <c r="P71" i="9"/>
  <c r="N71" i="9"/>
  <c r="H71" i="9"/>
  <c r="S71" i="9" s="1"/>
  <c r="G71" i="9"/>
  <c r="F71" i="9"/>
  <c r="Q71" i="9" s="1"/>
  <c r="E71" i="9"/>
  <c r="D71" i="9"/>
  <c r="O71" i="9" s="1"/>
  <c r="C71" i="9"/>
  <c r="B71" i="9"/>
  <c r="M71" i="9" s="1"/>
  <c r="R70" i="9"/>
  <c r="P70" i="9"/>
  <c r="N70" i="9"/>
  <c r="H70" i="9"/>
  <c r="S70" i="9" s="1"/>
  <c r="G70" i="9"/>
  <c r="F70" i="9"/>
  <c r="Q70" i="9" s="1"/>
  <c r="E70" i="9"/>
  <c r="D70" i="9"/>
  <c r="O70" i="9" s="1"/>
  <c r="C70" i="9"/>
  <c r="B70" i="9"/>
  <c r="M70" i="9" s="1"/>
  <c r="R69" i="9"/>
  <c r="P69" i="9"/>
  <c r="N69" i="9"/>
  <c r="H69" i="9"/>
  <c r="S69" i="9" s="1"/>
  <c r="G69" i="9"/>
  <c r="F69" i="9"/>
  <c r="Q69" i="9" s="1"/>
  <c r="E69" i="9"/>
  <c r="D69" i="9"/>
  <c r="O69" i="9" s="1"/>
  <c r="C69" i="9"/>
  <c r="B69" i="9"/>
  <c r="M69" i="9" s="1"/>
  <c r="R68" i="9"/>
  <c r="P68" i="9"/>
  <c r="N68" i="9"/>
  <c r="H68" i="9"/>
  <c r="S68" i="9" s="1"/>
  <c r="G68" i="9"/>
  <c r="F68" i="9"/>
  <c r="Q68" i="9" s="1"/>
  <c r="E68" i="9"/>
  <c r="D68" i="9"/>
  <c r="O68" i="9" s="1"/>
  <c r="C68" i="9"/>
  <c r="B68" i="9"/>
  <c r="M68" i="9" s="1"/>
  <c r="L68" i="9" s="1"/>
  <c r="R67" i="9"/>
  <c r="P67" i="9"/>
  <c r="N67" i="9"/>
  <c r="H67" i="9"/>
  <c r="S67" i="9" s="1"/>
  <c r="G67" i="9"/>
  <c r="F67" i="9"/>
  <c r="Q67" i="9" s="1"/>
  <c r="E67" i="9"/>
  <c r="D67" i="9"/>
  <c r="O67" i="9" s="1"/>
  <c r="C67" i="9"/>
  <c r="B67" i="9"/>
  <c r="M67" i="9" s="1"/>
  <c r="R66" i="9"/>
  <c r="P66" i="9"/>
  <c r="N66" i="9"/>
  <c r="H66" i="9"/>
  <c r="S66" i="9" s="1"/>
  <c r="G66" i="9"/>
  <c r="F66" i="9"/>
  <c r="Q66" i="9" s="1"/>
  <c r="E66" i="9"/>
  <c r="D66" i="9"/>
  <c r="O66" i="9" s="1"/>
  <c r="C66" i="9"/>
  <c r="B66" i="9"/>
  <c r="M66" i="9" s="1"/>
  <c r="R65" i="9"/>
  <c r="P65" i="9"/>
  <c r="N65" i="9"/>
  <c r="H65" i="9"/>
  <c r="S65" i="9" s="1"/>
  <c r="G65" i="9"/>
  <c r="F65" i="9"/>
  <c r="Q65" i="9" s="1"/>
  <c r="E65" i="9"/>
  <c r="D65" i="9"/>
  <c r="O65" i="9" s="1"/>
  <c r="C65" i="9"/>
  <c r="B65" i="9"/>
  <c r="M65" i="9" s="1"/>
  <c r="R64" i="9"/>
  <c r="P64" i="9"/>
  <c r="N64" i="9"/>
  <c r="H64" i="9"/>
  <c r="S64" i="9" s="1"/>
  <c r="G64" i="9"/>
  <c r="F64" i="9"/>
  <c r="Q64" i="9" s="1"/>
  <c r="E64" i="9"/>
  <c r="D64" i="9"/>
  <c r="O64" i="9" s="1"/>
  <c r="C64" i="9"/>
  <c r="B64" i="9"/>
  <c r="M64" i="9" s="1"/>
  <c r="L64" i="9" s="1"/>
  <c r="R63" i="9"/>
  <c r="P63" i="9"/>
  <c r="N63" i="9"/>
  <c r="H63" i="9"/>
  <c r="S63" i="9" s="1"/>
  <c r="G63" i="9"/>
  <c r="F63" i="9"/>
  <c r="Q63" i="9" s="1"/>
  <c r="E63" i="9"/>
  <c r="D63" i="9"/>
  <c r="O63" i="9" s="1"/>
  <c r="C63" i="9"/>
  <c r="B63" i="9"/>
  <c r="M63" i="9" s="1"/>
  <c r="R62" i="9"/>
  <c r="P62" i="9"/>
  <c r="N62" i="9"/>
  <c r="H62" i="9"/>
  <c r="S62" i="9" s="1"/>
  <c r="G62" i="9"/>
  <c r="F62" i="9"/>
  <c r="Q62" i="9" s="1"/>
  <c r="E62" i="9"/>
  <c r="D62" i="9"/>
  <c r="O62" i="9" s="1"/>
  <c r="C62" i="9"/>
  <c r="B62" i="9"/>
  <c r="M62" i="9" s="1"/>
  <c r="R61" i="9"/>
  <c r="P61" i="9"/>
  <c r="N61" i="9"/>
  <c r="H61" i="9"/>
  <c r="S61" i="9" s="1"/>
  <c r="G61" i="9"/>
  <c r="F61" i="9"/>
  <c r="Q61" i="9" s="1"/>
  <c r="E61" i="9"/>
  <c r="D61" i="9"/>
  <c r="O61" i="9" s="1"/>
  <c r="C61" i="9"/>
  <c r="B61" i="9"/>
  <c r="M61" i="9" s="1"/>
  <c r="R60" i="9"/>
  <c r="Q60" i="9"/>
  <c r="P60" i="9"/>
  <c r="N60" i="9"/>
  <c r="H60" i="9"/>
  <c r="S60" i="9" s="1"/>
  <c r="G60" i="9"/>
  <c r="F60" i="9"/>
  <c r="E60" i="9"/>
  <c r="D60" i="9"/>
  <c r="O60" i="9" s="1"/>
  <c r="C60" i="9"/>
  <c r="B60" i="9"/>
  <c r="Q59" i="9"/>
  <c r="P59" i="9"/>
  <c r="H59" i="9"/>
  <c r="S59" i="9" s="1"/>
  <c r="G59" i="9"/>
  <c r="R59" i="9" s="1"/>
  <c r="F59" i="9"/>
  <c r="E59" i="9"/>
  <c r="D59" i="9"/>
  <c r="O59" i="9" s="1"/>
  <c r="C59" i="9"/>
  <c r="N59" i="9" s="1"/>
  <c r="B59" i="9"/>
  <c r="I59" i="9" s="1"/>
  <c r="P58" i="9"/>
  <c r="H58" i="9"/>
  <c r="S58" i="9" s="1"/>
  <c r="G58" i="9"/>
  <c r="R58" i="9" s="1"/>
  <c r="F58" i="9"/>
  <c r="Q58" i="9" s="1"/>
  <c r="E58" i="9"/>
  <c r="D58" i="9"/>
  <c r="O58" i="9" s="1"/>
  <c r="C58" i="9"/>
  <c r="N58" i="9" s="1"/>
  <c r="B58" i="9"/>
  <c r="Q57" i="9"/>
  <c r="P57" i="9"/>
  <c r="N57" i="9"/>
  <c r="H57" i="9"/>
  <c r="S57" i="9" s="1"/>
  <c r="G57" i="9"/>
  <c r="R57" i="9" s="1"/>
  <c r="F57" i="9"/>
  <c r="E57" i="9"/>
  <c r="D57" i="9"/>
  <c r="O57" i="9" s="1"/>
  <c r="C57" i="9"/>
  <c r="B57" i="9"/>
  <c r="S56" i="9"/>
  <c r="Q56" i="9"/>
  <c r="M56" i="9"/>
  <c r="H56" i="9"/>
  <c r="G56" i="9"/>
  <c r="R56" i="9" s="1"/>
  <c r="F56" i="9"/>
  <c r="E56" i="9"/>
  <c r="P56" i="9" s="1"/>
  <c r="D56" i="9"/>
  <c r="O56" i="9" s="1"/>
  <c r="C56" i="9"/>
  <c r="N56" i="9" s="1"/>
  <c r="B56" i="9"/>
  <c r="S55" i="9"/>
  <c r="Q55" i="9"/>
  <c r="N55" i="9"/>
  <c r="M55" i="9"/>
  <c r="H55" i="9"/>
  <c r="G55" i="9"/>
  <c r="R55" i="9" s="1"/>
  <c r="F55" i="9"/>
  <c r="E55" i="9"/>
  <c r="P55" i="9" s="1"/>
  <c r="D55" i="9"/>
  <c r="O55" i="9" s="1"/>
  <c r="C55" i="9"/>
  <c r="I55" i="9" s="1"/>
  <c r="B55" i="9"/>
  <c r="S54" i="9"/>
  <c r="Q54" i="9"/>
  <c r="N54" i="9"/>
  <c r="M54" i="9"/>
  <c r="H54" i="9"/>
  <c r="G54" i="9"/>
  <c r="R54" i="9" s="1"/>
  <c r="F54" i="9"/>
  <c r="E54" i="9"/>
  <c r="P54" i="9" s="1"/>
  <c r="D54" i="9"/>
  <c r="O54" i="9" s="1"/>
  <c r="C54" i="9"/>
  <c r="I54" i="9" s="1"/>
  <c r="B54" i="9"/>
  <c r="S53" i="9"/>
  <c r="Q53" i="9"/>
  <c r="N53" i="9"/>
  <c r="M53" i="9"/>
  <c r="H53" i="9"/>
  <c r="G53" i="9"/>
  <c r="R53" i="9" s="1"/>
  <c r="F53" i="9"/>
  <c r="E53" i="9"/>
  <c r="P53" i="9" s="1"/>
  <c r="D53" i="9"/>
  <c r="O53" i="9" s="1"/>
  <c r="C53" i="9"/>
  <c r="B53" i="9"/>
  <c r="S52" i="9"/>
  <c r="Q52" i="9"/>
  <c r="M52" i="9"/>
  <c r="H52" i="9"/>
  <c r="G52" i="9"/>
  <c r="R52" i="9" s="1"/>
  <c r="F52" i="9"/>
  <c r="E52" i="9"/>
  <c r="P52" i="9" s="1"/>
  <c r="D52" i="9"/>
  <c r="O52" i="9" s="1"/>
  <c r="C52" i="9"/>
  <c r="I52" i="9" s="1"/>
  <c r="B52" i="9"/>
  <c r="S51" i="9"/>
  <c r="Q51" i="9"/>
  <c r="M51" i="9"/>
  <c r="H51" i="9"/>
  <c r="G51" i="9"/>
  <c r="R51" i="9" s="1"/>
  <c r="F51" i="9"/>
  <c r="E51" i="9"/>
  <c r="P51" i="9" s="1"/>
  <c r="D51" i="9"/>
  <c r="O51" i="9" s="1"/>
  <c r="C51" i="9"/>
  <c r="B51" i="9"/>
  <c r="S50" i="9"/>
  <c r="Q50" i="9"/>
  <c r="N50" i="9"/>
  <c r="M50" i="9"/>
  <c r="H50" i="9"/>
  <c r="G50" i="9"/>
  <c r="R50" i="9" s="1"/>
  <c r="F50" i="9"/>
  <c r="E50" i="9"/>
  <c r="P50" i="9" s="1"/>
  <c r="D50" i="9"/>
  <c r="O50" i="9" s="1"/>
  <c r="C50" i="9"/>
  <c r="I50" i="9" s="1"/>
  <c r="B50" i="9"/>
  <c r="S49" i="9"/>
  <c r="Q49" i="9"/>
  <c r="N49" i="9"/>
  <c r="M49" i="9"/>
  <c r="L49" i="9" s="1"/>
  <c r="H49" i="9"/>
  <c r="G49" i="9"/>
  <c r="R49" i="9" s="1"/>
  <c r="F49" i="9"/>
  <c r="E49" i="9"/>
  <c r="P49" i="9" s="1"/>
  <c r="D49" i="9"/>
  <c r="O49" i="9" s="1"/>
  <c r="C49" i="9"/>
  <c r="B49" i="9"/>
  <c r="S48" i="9"/>
  <c r="Q48" i="9"/>
  <c r="M48" i="9"/>
  <c r="H48" i="9"/>
  <c r="G48" i="9"/>
  <c r="R48" i="9" s="1"/>
  <c r="F48" i="9"/>
  <c r="E48" i="9"/>
  <c r="P48" i="9" s="1"/>
  <c r="D48" i="9"/>
  <c r="O48" i="9" s="1"/>
  <c r="C48" i="9"/>
  <c r="N48" i="9" s="1"/>
  <c r="B48" i="9"/>
  <c r="S47" i="9"/>
  <c r="Q47" i="9"/>
  <c r="M47" i="9"/>
  <c r="H47" i="9"/>
  <c r="G47" i="9"/>
  <c r="R47" i="9" s="1"/>
  <c r="F47" i="9"/>
  <c r="E47" i="9"/>
  <c r="P47" i="9" s="1"/>
  <c r="D47" i="9"/>
  <c r="O47" i="9" s="1"/>
  <c r="C47" i="9"/>
  <c r="I47" i="9" s="1"/>
  <c r="B47" i="9"/>
  <c r="S46" i="9"/>
  <c r="Q46" i="9"/>
  <c r="N46" i="9"/>
  <c r="M46" i="9"/>
  <c r="H46" i="9"/>
  <c r="G46" i="9"/>
  <c r="R46" i="9" s="1"/>
  <c r="F46" i="9"/>
  <c r="E46" i="9"/>
  <c r="P46" i="9" s="1"/>
  <c r="D46" i="9"/>
  <c r="O46" i="9" s="1"/>
  <c r="C46" i="9"/>
  <c r="I46" i="9" s="1"/>
  <c r="B46" i="9"/>
  <c r="S45" i="9"/>
  <c r="Q45" i="9"/>
  <c r="N45" i="9"/>
  <c r="M45" i="9"/>
  <c r="H45" i="9"/>
  <c r="G45" i="9"/>
  <c r="R45" i="9" s="1"/>
  <c r="F45" i="9"/>
  <c r="E45" i="9"/>
  <c r="P45" i="9" s="1"/>
  <c r="D45" i="9"/>
  <c r="O45" i="9" s="1"/>
  <c r="C45" i="9"/>
  <c r="B45" i="9"/>
  <c r="S44" i="9"/>
  <c r="Q44" i="9"/>
  <c r="M44" i="9"/>
  <c r="H44" i="9"/>
  <c r="G44" i="9"/>
  <c r="R44" i="9" s="1"/>
  <c r="F44" i="9"/>
  <c r="E44" i="9"/>
  <c r="P44" i="9" s="1"/>
  <c r="D44" i="9"/>
  <c r="O44" i="9" s="1"/>
  <c r="C44" i="9"/>
  <c r="N44" i="9" s="1"/>
  <c r="B44" i="9"/>
  <c r="S43" i="9"/>
  <c r="Q43" i="9"/>
  <c r="M43" i="9"/>
  <c r="H43" i="9"/>
  <c r="G43" i="9"/>
  <c r="R43" i="9" s="1"/>
  <c r="F43" i="9"/>
  <c r="E43" i="9"/>
  <c r="P43" i="9" s="1"/>
  <c r="D43" i="9"/>
  <c r="O43" i="9" s="1"/>
  <c r="C43" i="9"/>
  <c r="B43" i="9"/>
  <c r="S42" i="9"/>
  <c r="Q42" i="9"/>
  <c r="N42" i="9"/>
  <c r="M42" i="9"/>
  <c r="H42" i="9"/>
  <c r="G42" i="9"/>
  <c r="R42" i="9" s="1"/>
  <c r="F42" i="9"/>
  <c r="E42" i="9"/>
  <c r="P42" i="9" s="1"/>
  <c r="D42" i="9"/>
  <c r="O42" i="9" s="1"/>
  <c r="C42" i="9"/>
  <c r="I42" i="9" s="1"/>
  <c r="B42" i="9"/>
  <c r="S41" i="9"/>
  <c r="Q41" i="9"/>
  <c r="N41" i="9"/>
  <c r="M41" i="9"/>
  <c r="L41" i="9" s="1"/>
  <c r="H41" i="9"/>
  <c r="G41" i="9"/>
  <c r="R41" i="9" s="1"/>
  <c r="F41" i="9"/>
  <c r="E41" i="9"/>
  <c r="P41" i="9" s="1"/>
  <c r="D41" i="9"/>
  <c r="O41" i="9" s="1"/>
  <c r="C41" i="9"/>
  <c r="B41" i="9"/>
  <c r="S40" i="9"/>
  <c r="Q40" i="9"/>
  <c r="M40" i="9"/>
  <c r="H40" i="9"/>
  <c r="G40" i="9"/>
  <c r="R40" i="9" s="1"/>
  <c r="F40" i="9"/>
  <c r="E40" i="9"/>
  <c r="P40" i="9" s="1"/>
  <c r="D40" i="9"/>
  <c r="O40" i="9" s="1"/>
  <c r="C40" i="9"/>
  <c r="N40" i="9" s="1"/>
  <c r="B40" i="9"/>
  <c r="S39" i="9"/>
  <c r="Q39" i="9"/>
  <c r="M39" i="9"/>
  <c r="H39" i="9"/>
  <c r="G39" i="9"/>
  <c r="R39" i="9" s="1"/>
  <c r="F39" i="9"/>
  <c r="E39" i="9"/>
  <c r="P39" i="9" s="1"/>
  <c r="D39" i="9"/>
  <c r="O39" i="9" s="1"/>
  <c r="C39" i="9"/>
  <c r="I39" i="9" s="1"/>
  <c r="B39" i="9"/>
  <c r="S38" i="9"/>
  <c r="Q38" i="9"/>
  <c r="N38" i="9"/>
  <c r="M38" i="9"/>
  <c r="H38" i="9"/>
  <c r="G38" i="9"/>
  <c r="R38" i="9" s="1"/>
  <c r="F38" i="9"/>
  <c r="E38" i="9"/>
  <c r="P38" i="9" s="1"/>
  <c r="D38" i="9"/>
  <c r="O38" i="9" s="1"/>
  <c r="C38" i="9"/>
  <c r="I38" i="9" s="1"/>
  <c r="B38" i="9"/>
  <c r="S37" i="9"/>
  <c r="Q37" i="9"/>
  <c r="N37" i="9"/>
  <c r="M37" i="9"/>
  <c r="H37" i="9"/>
  <c r="G37" i="9"/>
  <c r="R37" i="9" s="1"/>
  <c r="F37" i="9"/>
  <c r="E37" i="9"/>
  <c r="P37" i="9" s="1"/>
  <c r="D37" i="9"/>
  <c r="O37" i="9" s="1"/>
  <c r="C37" i="9"/>
  <c r="B37" i="9"/>
  <c r="S36" i="9"/>
  <c r="Q36" i="9"/>
  <c r="M36" i="9"/>
  <c r="H36" i="9"/>
  <c r="G36" i="9"/>
  <c r="R36" i="9" s="1"/>
  <c r="F36" i="9"/>
  <c r="E36" i="9"/>
  <c r="P36" i="9" s="1"/>
  <c r="D36" i="9"/>
  <c r="O36" i="9" s="1"/>
  <c r="C36" i="9"/>
  <c r="N36" i="9" s="1"/>
  <c r="B36" i="9"/>
  <c r="S35" i="9"/>
  <c r="Q35" i="9"/>
  <c r="M35" i="9"/>
  <c r="H35" i="9"/>
  <c r="G35" i="9"/>
  <c r="R35" i="9" s="1"/>
  <c r="F35" i="9"/>
  <c r="E35" i="9"/>
  <c r="P35" i="9" s="1"/>
  <c r="D35" i="9"/>
  <c r="O35" i="9" s="1"/>
  <c r="C35" i="9"/>
  <c r="B35" i="9"/>
  <c r="S34" i="9"/>
  <c r="Q34" i="9"/>
  <c r="N34" i="9"/>
  <c r="M34" i="9"/>
  <c r="H34" i="9"/>
  <c r="G34" i="9"/>
  <c r="R34" i="9" s="1"/>
  <c r="F34" i="9"/>
  <c r="E34" i="9"/>
  <c r="P34" i="9" s="1"/>
  <c r="D34" i="9"/>
  <c r="O34" i="9" s="1"/>
  <c r="C34" i="9"/>
  <c r="I34" i="9" s="1"/>
  <c r="B34" i="9"/>
  <c r="S33" i="9"/>
  <c r="Q33" i="9"/>
  <c r="N33" i="9"/>
  <c r="M33" i="9"/>
  <c r="L33" i="9" s="1"/>
  <c r="H33" i="9"/>
  <c r="G33" i="9"/>
  <c r="R33" i="9" s="1"/>
  <c r="F33" i="9"/>
  <c r="E33" i="9"/>
  <c r="P33" i="9" s="1"/>
  <c r="D33" i="9"/>
  <c r="O33" i="9" s="1"/>
  <c r="C33" i="9"/>
  <c r="B33" i="9"/>
  <c r="S32" i="9"/>
  <c r="Q32" i="9"/>
  <c r="M32" i="9"/>
  <c r="H32" i="9"/>
  <c r="G32" i="9"/>
  <c r="R32" i="9" s="1"/>
  <c r="F32" i="9"/>
  <c r="E32" i="9"/>
  <c r="P32" i="9" s="1"/>
  <c r="D32" i="9"/>
  <c r="O32" i="9" s="1"/>
  <c r="C32" i="9"/>
  <c r="N32" i="9" s="1"/>
  <c r="B32" i="9"/>
  <c r="S31" i="9"/>
  <c r="Q31" i="9"/>
  <c r="M31" i="9"/>
  <c r="H31" i="9"/>
  <c r="G31" i="9"/>
  <c r="R31" i="9" s="1"/>
  <c r="F31" i="9"/>
  <c r="E31" i="9"/>
  <c r="P31" i="9" s="1"/>
  <c r="D31" i="9"/>
  <c r="O31" i="9" s="1"/>
  <c r="C31" i="9"/>
  <c r="I31" i="9" s="1"/>
  <c r="B31" i="9"/>
  <c r="S30" i="9"/>
  <c r="Q30" i="9"/>
  <c r="N30" i="9"/>
  <c r="M30" i="9"/>
  <c r="H30" i="9"/>
  <c r="G30" i="9"/>
  <c r="R30" i="9" s="1"/>
  <c r="F30" i="9"/>
  <c r="E30" i="9"/>
  <c r="P30" i="9" s="1"/>
  <c r="D30" i="9"/>
  <c r="O30" i="9" s="1"/>
  <c r="C30" i="9"/>
  <c r="I30" i="9" s="1"/>
  <c r="B30" i="9"/>
  <c r="S29" i="9"/>
  <c r="Q29" i="9"/>
  <c r="N29" i="9"/>
  <c r="M29" i="9"/>
  <c r="H29" i="9"/>
  <c r="G29" i="9"/>
  <c r="R29" i="9" s="1"/>
  <c r="F29" i="9"/>
  <c r="E29" i="9"/>
  <c r="P29" i="9" s="1"/>
  <c r="D29" i="9"/>
  <c r="O29" i="9" s="1"/>
  <c r="C29" i="9"/>
  <c r="B29" i="9"/>
  <c r="S28" i="9"/>
  <c r="Q28" i="9"/>
  <c r="M28" i="9"/>
  <c r="H28" i="9"/>
  <c r="G28" i="9"/>
  <c r="R28" i="9" s="1"/>
  <c r="F28" i="9"/>
  <c r="E28" i="9"/>
  <c r="P28" i="9" s="1"/>
  <c r="D28" i="9"/>
  <c r="O28" i="9" s="1"/>
  <c r="C28" i="9"/>
  <c r="N28" i="9" s="1"/>
  <c r="B28" i="9"/>
  <c r="S27" i="9"/>
  <c r="Q27" i="9"/>
  <c r="M27" i="9"/>
  <c r="H27" i="9"/>
  <c r="G27" i="9"/>
  <c r="R27" i="9" s="1"/>
  <c r="F27" i="9"/>
  <c r="E27" i="9"/>
  <c r="P27" i="9" s="1"/>
  <c r="D27" i="9"/>
  <c r="O27" i="9" s="1"/>
  <c r="C27" i="9"/>
  <c r="B27" i="9"/>
  <c r="S26" i="9"/>
  <c r="Q26" i="9"/>
  <c r="N26" i="9"/>
  <c r="M26" i="9"/>
  <c r="H26" i="9"/>
  <c r="G26" i="9"/>
  <c r="R26" i="9" s="1"/>
  <c r="F26" i="9"/>
  <c r="E26" i="9"/>
  <c r="P26" i="9" s="1"/>
  <c r="D26" i="9"/>
  <c r="O26" i="9" s="1"/>
  <c r="C26" i="9"/>
  <c r="I26" i="9" s="1"/>
  <c r="B26" i="9"/>
  <c r="S25" i="9"/>
  <c r="Q25" i="9"/>
  <c r="N25" i="9"/>
  <c r="M25" i="9"/>
  <c r="L25" i="9" s="1"/>
  <c r="H25" i="9"/>
  <c r="G25" i="9"/>
  <c r="R25" i="9" s="1"/>
  <c r="F25" i="9"/>
  <c r="E25" i="9"/>
  <c r="P25" i="9" s="1"/>
  <c r="D25" i="9"/>
  <c r="O25" i="9" s="1"/>
  <c r="C25" i="9"/>
  <c r="B25" i="9"/>
  <c r="S24" i="9"/>
  <c r="Q24" i="9"/>
  <c r="M24" i="9"/>
  <c r="H24" i="9"/>
  <c r="G24" i="9"/>
  <c r="R24" i="9" s="1"/>
  <c r="F24" i="9"/>
  <c r="E24" i="9"/>
  <c r="P24" i="9" s="1"/>
  <c r="D24" i="9"/>
  <c r="O24" i="9" s="1"/>
  <c r="C24" i="9"/>
  <c r="N24" i="9" s="1"/>
  <c r="B24" i="9"/>
  <c r="S23" i="9"/>
  <c r="Q23" i="9"/>
  <c r="M23" i="9"/>
  <c r="H23" i="9"/>
  <c r="G23" i="9"/>
  <c r="R23" i="9" s="1"/>
  <c r="F23" i="9"/>
  <c r="E23" i="9"/>
  <c r="P23" i="9" s="1"/>
  <c r="D23" i="9"/>
  <c r="O23" i="9" s="1"/>
  <c r="C23" i="9"/>
  <c r="I23" i="9" s="1"/>
  <c r="B23" i="9"/>
  <c r="S22" i="9"/>
  <c r="Q22" i="9"/>
  <c r="N22" i="9"/>
  <c r="M22" i="9"/>
  <c r="H22" i="9"/>
  <c r="G22" i="9"/>
  <c r="R22" i="9" s="1"/>
  <c r="F22" i="9"/>
  <c r="E22" i="9"/>
  <c r="P22" i="9" s="1"/>
  <c r="D22" i="9"/>
  <c r="O22" i="9" s="1"/>
  <c r="C22" i="9"/>
  <c r="I22" i="9" s="1"/>
  <c r="B22" i="9"/>
  <c r="S21" i="9"/>
  <c r="Q21" i="9"/>
  <c r="N21" i="9"/>
  <c r="M21" i="9"/>
  <c r="H21" i="9"/>
  <c r="G21" i="9"/>
  <c r="R21" i="9" s="1"/>
  <c r="F21" i="9"/>
  <c r="E21" i="9"/>
  <c r="P21" i="9" s="1"/>
  <c r="D21" i="9"/>
  <c r="O21" i="9" s="1"/>
  <c r="C21" i="9"/>
  <c r="B21" i="9"/>
  <c r="S20" i="9"/>
  <c r="Q20" i="9"/>
  <c r="M20" i="9"/>
  <c r="H20" i="9"/>
  <c r="G20" i="9"/>
  <c r="R20" i="9" s="1"/>
  <c r="F20" i="9"/>
  <c r="E20" i="9"/>
  <c r="P20" i="9" s="1"/>
  <c r="D20" i="9"/>
  <c r="O20" i="9" s="1"/>
  <c r="C20" i="9"/>
  <c r="N20" i="9" s="1"/>
  <c r="B20" i="9"/>
  <c r="S19" i="9"/>
  <c r="Q19" i="9"/>
  <c r="M19" i="9"/>
  <c r="H19" i="9"/>
  <c r="G19" i="9"/>
  <c r="R19" i="9" s="1"/>
  <c r="F19" i="9"/>
  <c r="E19" i="9"/>
  <c r="P19" i="9" s="1"/>
  <c r="D19" i="9"/>
  <c r="O19" i="9" s="1"/>
  <c r="C19" i="9"/>
  <c r="B19" i="9"/>
  <c r="S18" i="9"/>
  <c r="Q18" i="9"/>
  <c r="N18" i="9"/>
  <c r="M18" i="9"/>
  <c r="H18" i="9"/>
  <c r="G18" i="9"/>
  <c r="R18" i="9" s="1"/>
  <c r="F18" i="9"/>
  <c r="E18" i="9"/>
  <c r="P18" i="9" s="1"/>
  <c r="D18" i="9"/>
  <c r="O18" i="9" s="1"/>
  <c r="C18" i="9"/>
  <c r="I18" i="9" s="1"/>
  <c r="B18" i="9"/>
  <c r="S17" i="9"/>
  <c r="Q17" i="9"/>
  <c r="N17" i="9"/>
  <c r="M17" i="9"/>
  <c r="L17" i="9" s="1"/>
  <c r="H17" i="9"/>
  <c r="G17" i="9"/>
  <c r="R17" i="9" s="1"/>
  <c r="F17" i="9"/>
  <c r="E17" i="9"/>
  <c r="P17" i="9" s="1"/>
  <c r="D17" i="9"/>
  <c r="O17" i="9" s="1"/>
  <c r="C17" i="9"/>
  <c r="B17" i="9"/>
  <c r="S16" i="9"/>
  <c r="Q16" i="9"/>
  <c r="M16" i="9"/>
  <c r="H16" i="9"/>
  <c r="G16" i="9"/>
  <c r="R16" i="9" s="1"/>
  <c r="F16" i="9"/>
  <c r="E16" i="9"/>
  <c r="P16" i="9" s="1"/>
  <c r="D16" i="9"/>
  <c r="O16" i="9" s="1"/>
  <c r="C16" i="9"/>
  <c r="N16" i="9" s="1"/>
  <c r="B16" i="9"/>
  <c r="S15" i="9"/>
  <c r="Q15" i="9"/>
  <c r="M15" i="9"/>
  <c r="H15" i="9"/>
  <c r="G15" i="9"/>
  <c r="R15" i="9" s="1"/>
  <c r="F15" i="9"/>
  <c r="E15" i="9"/>
  <c r="P15" i="9" s="1"/>
  <c r="D15" i="9"/>
  <c r="O15" i="9" s="1"/>
  <c r="C15" i="9"/>
  <c r="I15" i="9" s="1"/>
  <c r="B15" i="9"/>
  <c r="S14" i="9"/>
  <c r="Q14" i="9"/>
  <c r="N14" i="9"/>
  <c r="M14" i="9"/>
  <c r="H14" i="9"/>
  <c r="G14" i="9"/>
  <c r="R14" i="9" s="1"/>
  <c r="F14" i="9"/>
  <c r="E14" i="9"/>
  <c r="P14" i="9" s="1"/>
  <c r="D14" i="9"/>
  <c r="O14" i="9" s="1"/>
  <c r="C14" i="9"/>
  <c r="I14" i="9" s="1"/>
  <c r="B14" i="9"/>
  <c r="S13" i="9"/>
  <c r="Q13" i="9"/>
  <c r="N13" i="9"/>
  <c r="M13" i="9"/>
  <c r="H13" i="9"/>
  <c r="G13" i="9"/>
  <c r="R13" i="9" s="1"/>
  <c r="F13" i="9"/>
  <c r="E13" i="9"/>
  <c r="P13" i="9" s="1"/>
  <c r="D13" i="9"/>
  <c r="O13" i="9" s="1"/>
  <c r="C13" i="9"/>
  <c r="B13" i="9"/>
  <c r="S12" i="9"/>
  <c r="Q12" i="9"/>
  <c r="M12" i="9"/>
  <c r="H12" i="9"/>
  <c r="G12" i="9"/>
  <c r="R12" i="9" s="1"/>
  <c r="F12" i="9"/>
  <c r="E12" i="9"/>
  <c r="P12" i="9" s="1"/>
  <c r="D12" i="9"/>
  <c r="O12" i="9" s="1"/>
  <c r="C12" i="9"/>
  <c r="N12" i="9" s="1"/>
  <c r="B12" i="9"/>
  <c r="S11" i="9"/>
  <c r="Q11" i="9"/>
  <c r="M11" i="9"/>
  <c r="H11" i="9"/>
  <c r="G11" i="9"/>
  <c r="R11" i="9" s="1"/>
  <c r="F11" i="9"/>
  <c r="E11" i="9"/>
  <c r="P11" i="9" s="1"/>
  <c r="D11" i="9"/>
  <c r="O11" i="9" s="1"/>
  <c r="C11" i="9"/>
  <c r="B11" i="9"/>
  <c r="S10" i="9"/>
  <c r="Q10" i="9"/>
  <c r="N10" i="9"/>
  <c r="M10" i="9"/>
  <c r="H10" i="9"/>
  <c r="G10" i="9"/>
  <c r="R10" i="9" s="1"/>
  <c r="F10" i="9"/>
  <c r="E10" i="9"/>
  <c r="P10" i="9" s="1"/>
  <c r="D10" i="9"/>
  <c r="O10" i="9" s="1"/>
  <c r="C10" i="9"/>
  <c r="I10" i="9" s="1"/>
  <c r="B10" i="9"/>
  <c r="S9" i="9"/>
  <c r="Q9" i="9"/>
  <c r="N9" i="9"/>
  <c r="M9" i="9"/>
  <c r="L9" i="9" s="1"/>
  <c r="H9" i="9"/>
  <c r="G9" i="9"/>
  <c r="R9" i="9" s="1"/>
  <c r="F9" i="9"/>
  <c r="E9" i="9"/>
  <c r="P9" i="9" s="1"/>
  <c r="D9" i="9"/>
  <c r="O9" i="9" s="1"/>
  <c r="C9" i="9"/>
  <c r="B9" i="9"/>
  <c r="S8" i="9"/>
  <c r="Q8" i="9"/>
  <c r="M8" i="9"/>
  <c r="H8" i="9"/>
  <c r="G8" i="9"/>
  <c r="R8" i="9" s="1"/>
  <c r="F8" i="9"/>
  <c r="E8" i="9"/>
  <c r="P8" i="9" s="1"/>
  <c r="D8" i="9"/>
  <c r="O8" i="9" s="1"/>
  <c r="C8" i="9"/>
  <c r="N8" i="9" s="1"/>
  <c r="B8" i="9"/>
  <c r="S7" i="9"/>
  <c r="Q7" i="9"/>
  <c r="M7" i="9"/>
  <c r="H7" i="9"/>
  <c r="G7" i="9"/>
  <c r="R7" i="9" s="1"/>
  <c r="F7" i="9"/>
  <c r="E7" i="9"/>
  <c r="P7" i="9" s="1"/>
  <c r="D7" i="9"/>
  <c r="O7" i="9" s="1"/>
  <c r="C7" i="9"/>
  <c r="I7" i="9" s="1"/>
  <c r="B7" i="9"/>
  <c r="S6" i="9"/>
  <c r="Q6" i="9"/>
  <c r="N6" i="9"/>
  <c r="M6" i="9"/>
  <c r="H6" i="9"/>
  <c r="G6" i="9"/>
  <c r="R6" i="9" s="1"/>
  <c r="F6" i="9"/>
  <c r="E6" i="9"/>
  <c r="P6" i="9" s="1"/>
  <c r="D6" i="9"/>
  <c r="O6" i="9" s="1"/>
  <c r="C6" i="9"/>
  <c r="I6" i="9" s="1"/>
  <c r="B6" i="9"/>
  <c r="S5" i="9"/>
  <c r="Q5" i="9"/>
  <c r="N5" i="9"/>
  <c r="M5" i="9"/>
  <c r="H5" i="9"/>
  <c r="G5" i="9"/>
  <c r="R5" i="9" s="1"/>
  <c r="F5" i="9"/>
  <c r="E5" i="9"/>
  <c r="P5" i="9" s="1"/>
  <c r="D5" i="9"/>
  <c r="O5" i="9" s="1"/>
  <c r="C5" i="9"/>
  <c r="B5" i="9"/>
  <c r="S4" i="9"/>
  <c r="Q4" i="9"/>
  <c r="M4" i="9"/>
  <c r="H4" i="9"/>
  <c r="G4" i="9"/>
  <c r="R4" i="9" s="1"/>
  <c r="F4" i="9"/>
  <c r="E4" i="9"/>
  <c r="P4" i="9" s="1"/>
  <c r="D4" i="9"/>
  <c r="O4" i="9" s="1"/>
  <c r="C4" i="9"/>
  <c r="N4" i="9" s="1"/>
  <c r="B4" i="9"/>
  <c r="S3" i="9"/>
  <c r="Q3" i="9"/>
  <c r="M3" i="9"/>
  <c r="H3" i="9"/>
  <c r="G3" i="9"/>
  <c r="R3" i="9" s="1"/>
  <c r="F3" i="9"/>
  <c r="E3" i="9"/>
  <c r="P3" i="9" s="1"/>
  <c r="D3" i="9"/>
  <c r="O3" i="9" s="1"/>
  <c r="C3" i="9"/>
  <c r="B3" i="9"/>
  <c r="S2" i="9"/>
  <c r="Q2" i="9"/>
  <c r="N2" i="9"/>
  <c r="M2" i="9"/>
  <c r="H2" i="9"/>
  <c r="G2" i="9"/>
  <c r="R2" i="9" s="1"/>
  <c r="F2" i="9"/>
  <c r="E2" i="9"/>
  <c r="P2" i="9" s="1"/>
  <c r="D2" i="9"/>
  <c r="O2" i="9" s="1"/>
  <c r="C2" i="9"/>
  <c r="I2" i="9" s="1"/>
  <c r="B2" i="9"/>
  <c r="B325" i="8"/>
  <c r="B317" i="8"/>
  <c r="B309" i="8"/>
  <c r="B301" i="8"/>
  <c r="B293" i="8"/>
  <c r="B285" i="8"/>
  <c r="B277" i="8"/>
  <c r="B269" i="8"/>
  <c r="B261" i="8"/>
  <c r="B253" i="8"/>
  <c r="B245" i="8"/>
  <c r="B237" i="8"/>
  <c r="K230" i="8"/>
  <c r="K238" i="8" s="1"/>
  <c r="K246" i="8" s="1"/>
  <c r="K254" i="8" s="1"/>
  <c r="K262" i="8" s="1"/>
  <c r="K270" i="8" s="1"/>
  <c r="K278" i="8" s="1"/>
  <c r="K286" i="8" s="1"/>
  <c r="K294" i="8" s="1"/>
  <c r="K302" i="8" s="1"/>
  <c r="K310" i="8" s="1"/>
  <c r="K318" i="8" s="1"/>
  <c r="K326" i="8" s="1"/>
  <c r="B229" i="8"/>
  <c r="B221" i="8"/>
  <c r="B217" i="8"/>
  <c r="B213" i="8"/>
  <c r="B209" i="8"/>
  <c r="B205" i="8"/>
  <c r="B197" i="8"/>
  <c r="B189" i="8"/>
  <c r="B181" i="8"/>
  <c r="B173" i="8"/>
  <c r="B165" i="8"/>
  <c r="B157" i="8"/>
  <c r="B149" i="8"/>
  <c r="B141" i="8"/>
  <c r="O136" i="8"/>
  <c r="N136" i="8"/>
  <c r="B133" i="8"/>
  <c r="O132" i="8"/>
  <c r="N132" i="8"/>
  <c r="O131" i="8"/>
  <c r="N131" i="8"/>
  <c r="O130" i="8"/>
  <c r="N130" i="8"/>
  <c r="O128" i="8"/>
  <c r="N128" i="8"/>
  <c r="K127" i="8"/>
  <c r="K135" i="8" s="1"/>
  <c r="K143" i="8" s="1"/>
  <c r="K151" i="8" s="1"/>
  <c r="K159" i="8" s="1"/>
  <c r="K167" i="8" s="1"/>
  <c r="K175" i="8" s="1"/>
  <c r="K183" i="8" s="1"/>
  <c r="K191" i="8" s="1"/>
  <c r="K199" i="8" s="1"/>
  <c r="K207" i="8" s="1"/>
  <c r="K215" i="8" s="1"/>
  <c r="K223" i="8" s="1"/>
  <c r="K231" i="8" s="1"/>
  <c r="K239" i="8" s="1"/>
  <c r="K247" i="8" s="1"/>
  <c r="K255" i="8" s="1"/>
  <c r="K263" i="8" s="1"/>
  <c r="K271" i="8" s="1"/>
  <c r="K279" i="8" s="1"/>
  <c r="K287" i="8" s="1"/>
  <c r="K295" i="8" s="1"/>
  <c r="K303" i="8" s="1"/>
  <c r="K311" i="8" s="1"/>
  <c r="K319" i="8" s="1"/>
  <c r="K327" i="8" s="1"/>
  <c r="B125" i="8"/>
  <c r="O124" i="8"/>
  <c r="N124" i="8"/>
  <c r="O123" i="8"/>
  <c r="N123" i="8"/>
  <c r="O122" i="8"/>
  <c r="N122" i="8"/>
  <c r="O120" i="8"/>
  <c r="N120" i="8"/>
  <c r="B117" i="8"/>
  <c r="O116" i="8"/>
  <c r="N116" i="8"/>
  <c r="O115" i="8"/>
  <c r="N115" i="8"/>
  <c r="O114" i="8"/>
  <c r="N114" i="8"/>
  <c r="O112" i="8"/>
  <c r="N112" i="8"/>
  <c r="B109" i="8"/>
  <c r="O107" i="8"/>
  <c r="B101" i="8"/>
  <c r="B97" i="8"/>
  <c r="B93" i="8"/>
  <c r="B85" i="8"/>
  <c r="B77" i="8"/>
  <c r="O76" i="8"/>
  <c r="N76" i="8"/>
  <c r="O75" i="8"/>
  <c r="N75" i="8"/>
  <c r="O74" i="8"/>
  <c r="N74" i="8"/>
  <c r="O72" i="8"/>
  <c r="N72" i="8"/>
  <c r="B69" i="8"/>
  <c r="O68" i="8"/>
  <c r="N68" i="8"/>
  <c r="O67" i="8"/>
  <c r="N67" i="8"/>
  <c r="O66" i="8"/>
  <c r="N66" i="8"/>
  <c r="O64" i="8"/>
  <c r="N64" i="8"/>
  <c r="K63" i="8"/>
  <c r="K71" i="8" s="1"/>
  <c r="K79" i="8" s="1"/>
  <c r="K87" i="8" s="1"/>
  <c r="K95" i="8" s="1"/>
  <c r="K103" i="8" s="1"/>
  <c r="K111" i="8" s="1"/>
  <c r="K119" i="8" s="1"/>
  <c r="B61" i="8"/>
  <c r="O60" i="8"/>
  <c r="N60" i="8"/>
  <c r="O59" i="8"/>
  <c r="N59" i="8"/>
  <c r="O58" i="8"/>
  <c r="N58" i="8"/>
  <c r="K57" i="8"/>
  <c r="K65" i="8" s="1"/>
  <c r="K73" i="8" s="1"/>
  <c r="K81" i="8" s="1"/>
  <c r="K89" i="8" s="1"/>
  <c r="K97" i="8" s="1"/>
  <c r="K105" i="8" s="1"/>
  <c r="K113" i="8" s="1"/>
  <c r="K121" i="8" s="1"/>
  <c r="K129" i="8" s="1"/>
  <c r="K137" i="8" s="1"/>
  <c r="K145" i="8" s="1"/>
  <c r="K153" i="8" s="1"/>
  <c r="K161" i="8" s="1"/>
  <c r="K169" i="8" s="1"/>
  <c r="K177" i="8" s="1"/>
  <c r="K185" i="8" s="1"/>
  <c r="K193" i="8" s="1"/>
  <c r="K201" i="8" s="1"/>
  <c r="K209" i="8" s="1"/>
  <c r="K217" i="8" s="1"/>
  <c r="K225" i="8" s="1"/>
  <c r="K233" i="8" s="1"/>
  <c r="K241" i="8" s="1"/>
  <c r="K249" i="8" s="1"/>
  <c r="K257" i="8" s="1"/>
  <c r="K265" i="8" s="1"/>
  <c r="K273" i="8" s="1"/>
  <c r="K281" i="8" s="1"/>
  <c r="K289" i="8" s="1"/>
  <c r="K297" i="8" s="1"/>
  <c r="K305" i="8" s="1"/>
  <c r="K313" i="8" s="1"/>
  <c r="K321" i="8" s="1"/>
  <c r="K329" i="8" s="1"/>
  <c r="O56" i="8"/>
  <c r="N56" i="8"/>
  <c r="B53" i="8"/>
  <c r="O52" i="8"/>
  <c r="N52" i="8"/>
  <c r="O51" i="8"/>
  <c r="N51" i="8"/>
  <c r="O50" i="8"/>
  <c r="N50" i="8"/>
  <c r="O48" i="8"/>
  <c r="N48" i="8"/>
  <c r="B45" i="8"/>
  <c r="O44" i="8"/>
  <c r="N44" i="8"/>
  <c r="O43" i="8"/>
  <c r="N43" i="8"/>
  <c r="O42" i="8"/>
  <c r="N42" i="8"/>
  <c r="O40" i="8"/>
  <c r="N40" i="8"/>
  <c r="B37" i="8"/>
  <c r="O36" i="8"/>
  <c r="N36" i="8"/>
  <c r="O35" i="8"/>
  <c r="N35" i="8"/>
  <c r="O34" i="8"/>
  <c r="N34" i="8"/>
  <c r="O32" i="8"/>
  <c r="N32" i="8"/>
  <c r="K30" i="8"/>
  <c r="K38" i="8" s="1"/>
  <c r="K46" i="8" s="1"/>
  <c r="K54" i="8" s="1"/>
  <c r="K62" i="8" s="1"/>
  <c r="K70" i="8" s="1"/>
  <c r="K78" i="8" s="1"/>
  <c r="K86" i="8" s="1"/>
  <c r="K94" i="8" s="1"/>
  <c r="K102" i="8" s="1"/>
  <c r="K110" i="8" s="1"/>
  <c r="K118" i="8" s="1"/>
  <c r="K126" i="8" s="1"/>
  <c r="K134" i="8" s="1"/>
  <c r="K142" i="8" s="1"/>
  <c r="K150" i="8" s="1"/>
  <c r="K158" i="8" s="1"/>
  <c r="K166" i="8" s="1"/>
  <c r="K174" i="8" s="1"/>
  <c r="K182" i="8" s="1"/>
  <c r="K190" i="8" s="1"/>
  <c r="K198" i="8" s="1"/>
  <c r="K206" i="8" s="1"/>
  <c r="K214" i="8" s="1"/>
  <c r="K222" i="8" s="1"/>
  <c r="K29" i="8"/>
  <c r="K37" i="8" s="1"/>
  <c r="K45" i="8" s="1"/>
  <c r="K53" i="8" s="1"/>
  <c r="K61" i="8" s="1"/>
  <c r="K69" i="8" s="1"/>
  <c r="K77" i="8" s="1"/>
  <c r="K85" i="8" s="1"/>
  <c r="K93" i="8" s="1"/>
  <c r="K101" i="8" s="1"/>
  <c r="K109" i="8" s="1"/>
  <c r="K117" i="8" s="1"/>
  <c r="K125" i="8" s="1"/>
  <c r="K133" i="8" s="1"/>
  <c r="K141" i="8" s="1"/>
  <c r="K149" i="8" s="1"/>
  <c r="K157" i="8" s="1"/>
  <c r="K165" i="8" s="1"/>
  <c r="K173" i="8" s="1"/>
  <c r="K181" i="8" s="1"/>
  <c r="K189" i="8" s="1"/>
  <c r="K197" i="8" s="1"/>
  <c r="K205" i="8" s="1"/>
  <c r="K213" i="8" s="1"/>
  <c r="K221" i="8" s="1"/>
  <c r="K229" i="8" s="1"/>
  <c r="K237" i="8" s="1"/>
  <c r="K245" i="8" s="1"/>
  <c r="K253" i="8" s="1"/>
  <c r="K261" i="8" s="1"/>
  <c r="K269" i="8" s="1"/>
  <c r="K277" i="8" s="1"/>
  <c r="K285" i="8" s="1"/>
  <c r="K293" i="8" s="1"/>
  <c r="K301" i="8" s="1"/>
  <c r="K309" i="8" s="1"/>
  <c r="K317" i="8" s="1"/>
  <c r="K325" i="8" s="1"/>
  <c r="B29" i="8"/>
  <c r="O28" i="8"/>
  <c r="N28" i="8"/>
  <c r="K28" i="8"/>
  <c r="K36" i="8" s="1"/>
  <c r="K44" i="8" s="1"/>
  <c r="K52" i="8" s="1"/>
  <c r="K60" i="8" s="1"/>
  <c r="K68" i="8" s="1"/>
  <c r="K76" i="8" s="1"/>
  <c r="K84" i="8" s="1"/>
  <c r="K92" i="8" s="1"/>
  <c r="K100" i="8" s="1"/>
  <c r="K108" i="8" s="1"/>
  <c r="K116" i="8" s="1"/>
  <c r="K124" i="8" s="1"/>
  <c r="K132" i="8" s="1"/>
  <c r="K140" i="8" s="1"/>
  <c r="K148" i="8" s="1"/>
  <c r="K156" i="8" s="1"/>
  <c r="K164" i="8" s="1"/>
  <c r="K172" i="8" s="1"/>
  <c r="K180" i="8" s="1"/>
  <c r="K188" i="8" s="1"/>
  <c r="K196" i="8" s="1"/>
  <c r="K204" i="8" s="1"/>
  <c r="K212" i="8" s="1"/>
  <c r="K220" i="8" s="1"/>
  <c r="K228" i="8" s="1"/>
  <c r="K236" i="8" s="1"/>
  <c r="K244" i="8" s="1"/>
  <c r="K252" i="8" s="1"/>
  <c r="K260" i="8" s="1"/>
  <c r="K268" i="8" s="1"/>
  <c r="K276" i="8" s="1"/>
  <c r="K284" i="8" s="1"/>
  <c r="K292" i="8" s="1"/>
  <c r="K300" i="8" s="1"/>
  <c r="K308" i="8" s="1"/>
  <c r="K316" i="8" s="1"/>
  <c r="K324" i="8" s="1"/>
  <c r="O27" i="8"/>
  <c r="N27" i="8"/>
  <c r="O26" i="8"/>
  <c r="N26" i="8"/>
  <c r="K26" i="8"/>
  <c r="K34" i="8" s="1"/>
  <c r="K42" i="8" s="1"/>
  <c r="K50" i="8" s="1"/>
  <c r="K58" i="8" s="1"/>
  <c r="K66" i="8" s="1"/>
  <c r="K74" i="8" s="1"/>
  <c r="K82" i="8" s="1"/>
  <c r="K90" i="8" s="1"/>
  <c r="K98" i="8" s="1"/>
  <c r="K106" i="8" s="1"/>
  <c r="K114" i="8" s="1"/>
  <c r="K122" i="8" s="1"/>
  <c r="K130" i="8" s="1"/>
  <c r="K138" i="8" s="1"/>
  <c r="K146" i="8" s="1"/>
  <c r="K154" i="8" s="1"/>
  <c r="K162" i="8" s="1"/>
  <c r="K170" i="8" s="1"/>
  <c r="K178" i="8" s="1"/>
  <c r="K186" i="8" s="1"/>
  <c r="K194" i="8" s="1"/>
  <c r="K202" i="8" s="1"/>
  <c r="K210" i="8" s="1"/>
  <c r="K218" i="8" s="1"/>
  <c r="K226" i="8" s="1"/>
  <c r="K234" i="8" s="1"/>
  <c r="K242" i="8" s="1"/>
  <c r="K250" i="8" s="1"/>
  <c r="K258" i="8" s="1"/>
  <c r="K266" i="8" s="1"/>
  <c r="K274" i="8" s="1"/>
  <c r="K282" i="8" s="1"/>
  <c r="K290" i="8" s="1"/>
  <c r="K298" i="8" s="1"/>
  <c r="K306" i="8" s="1"/>
  <c r="K314" i="8" s="1"/>
  <c r="K322" i="8" s="1"/>
  <c r="K330" i="8" s="1"/>
  <c r="K25" i="8"/>
  <c r="K33" i="8" s="1"/>
  <c r="K41" i="8" s="1"/>
  <c r="K49" i="8" s="1"/>
  <c r="O24" i="8"/>
  <c r="N24" i="8"/>
  <c r="K24" i="8"/>
  <c r="K23" i="8"/>
  <c r="K31" i="8" s="1"/>
  <c r="K39" i="8" s="1"/>
  <c r="K47" i="8" s="1"/>
  <c r="K55" i="8" s="1"/>
  <c r="K22" i="8"/>
  <c r="K21" i="8"/>
  <c r="B21" i="8"/>
  <c r="O20" i="8"/>
  <c r="N20" i="8"/>
  <c r="K20" i="8"/>
  <c r="O19" i="8"/>
  <c r="N19" i="8"/>
  <c r="K19" i="8"/>
  <c r="K27" i="8" s="1"/>
  <c r="K35" i="8" s="1"/>
  <c r="K43" i="8" s="1"/>
  <c r="K51" i="8" s="1"/>
  <c r="K59" i="8" s="1"/>
  <c r="K67" i="8" s="1"/>
  <c r="K75" i="8" s="1"/>
  <c r="K83" i="8" s="1"/>
  <c r="K91" i="8" s="1"/>
  <c r="K99" i="8" s="1"/>
  <c r="K107" i="8" s="1"/>
  <c r="K115" i="8" s="1"/>
  <c r="K123" i="8" s="1"/>
  <c r="K131" i="8" s="1"/>
  <c r="K139" i="8" s="1"/>
  <c r="K147" i="8" s="1"/>
  <c r="K155" i="8" s="1"/>
  <c r="K163" i="8" s="1"/>
  <c r="K171" i="8" s="1"/>
  <c r="K179" i="8" s="1"/>
  <c r="K187" i="8" s="1"/>
  <c r="K195" i="8" s="1"/>
  <c r="K203" i="8" s="1"/>
  <c r="K211" i="8" s="1"/>
  <c r="K219" i="8" s="1"/>
  <c r="K227" i="8" s="1"/>
  <c r="K235" i="8" s="1"/>
  <c r="K243" i="8" s="1"/>
  <c r="K251" i="8" s="1"/>
  <c r="K259" i="8" s="1"/>
  <c r="K267" i="8" s="1"/>
  <c r="K275" i="8" s="1"/>
  <c r="K283" i="8" s="1"/>
  <c r="K291" i="8" s="1"/>
  <c r="K299" i="8" s="1"/>
  <c r="K307" i="8" s="1"/>
  <c r="K315" i="8" s="1"/>
  <c r="K323" i="8" s="1"/>
  <c r="O18" i="8"/>
  <c r="N18" i="8"/>
  <c r="O16" i="8"/>
  <c r="N16" i="8"/>
  <c r="I16" i="8"/>
  <c r="B13" i="8"/>
  <c r="O12" i="8"/>
  <c r="N12" i="8"/>
  <c r="J12" i="8"/>
  <c r="J11" i="8" s="1"/>
  <c r="O11" i="8"/>
  <c r="N11" i="8"/>
  <c r="O10" i="8"/>
  <c r="N10" i="8"/>
  <c r="O9" i="8"/>
  <c r="N9" i="8"/>
  <c r="O8" i="8"/>
  <c r="N8" i="8"/>
  <c r="B8" i="8"/>
  <c r="O7" i="8"/>
  <c r="N7" i="8"/>
  <c r="B7" i="8"/>
  <c r="B177" i="8" s="1"/>
  <c r="O6" i="8"/>
  <c r="N6" i="8"/>
  <c r="G6" i="8"/>
  <c r="O5" i="8"/>
  <c r="N5" i="8"/>
  <c r="O4" i="8"/>
  <c r="N4" i="8"/>
  <c r="O3" i="8"/>
  <c r="N3" i="8"/>
  <c r="O2" i="8"/>
  <c r="N2" i="8"/>
  <c r="O1" i="8"/>
  <c r="N1" i="8"/>
  <c r="W238" i="7"/>
  <c r="S234" i="7"/>
  <c r="T235" i="7" s="1"/>
  <c r="W236" i="7" s="1"/>
  <c r="M234" i="7"/>
  <c r="G234" i="7"/>
  <c r="C63" i="7"/>
  <c r="G12" i="7"/>
  <c r="L10" i="7"/>
  <c r="K10" i="7"/>
  <c r="J10" i="7"/>
  <c r="I10" i="7"/>
  <c r="E10" i="7"/>
  <c r="C10" i="7"/>
  <c r="B10" i="7"/>
  <c r="A10" i="7"/>
  <c r="L9" i="7"/>
  <c r="K9" i="7"/>
  <c r="J9" i="7"/>
  <c r="I9" i="7"/>
  <c r="E9" i="7"/>
  <c r="C9" i="7"/>
  <c r="B9" i="7"/>
  <c r="A9" i="7"/>
  <c r="L8" i="7"/>
  <c r="K8" i="7"/>
  <c r="J8" i="7"/>
  <c r="I8" i="7"/>
  <c r="E8" i="7"/>
  <c r="C8" i="7"/>
  <c r="B8" i="7"/>
  <c r="A8" i="7"/>
  <c r="L7" i="7"/>
  <c r="K7" i="7"/>
  <c r="J7" i="7"/>
  <c r="I7" i="7"/>
  <c r="E7" i="7"/>
  <c r="C7" i="7"/>
  <c r="B7" i="7"/>
  <c r="A7" i="7"/>
  <c r="L6" i="7"/>
  <c r="K6" i="7"/>
  <c r="J6" i="7"/>
  <c r="I6" i="7"/>
  <c r="E6" i="7"/>
  <c r="C6" i="7"/>
  <c r="B6" i="7"/>
  <c r="A6" i="7"/>
  <c r="L5" i="7"/>
  <c r="K5" i="7"/>
  <c r="J5" i="7"/>
  <c r="I5" i="7"/>
  <c r="E5" i="7"/>
  <c r="C5" i="7"/>
  <c r="B5" i="7"/>
  <c r="A5" i="7"/>
  <c r="L4" i="7"/>
  <c r="K4" i="7"/>
  <c r="J4" i="7"/>
  <c r="I4" i="7"/>
  <c r="E4" i="7"/>
  <c r="C4" i="7"/>
  <c r="B4" i="7"/>
  <c r="A4" i="7"/>
  <c r="L3" i="7"/>
  <c r="K3" i="7"/>
  <c r="J3" i="7"/>
  <c r="I3" i="7"/>
  <c r="E3" i="7"/>
  <c r="C3" i="7"/>
  <c r="B3" i="7"/>
  <c r="A3" i="7"/>
  <c r="L2" i="7"/>
  <c r="K2" i="7"/>
  <c r="J2" i="7"/>
  <c r="I2" i="7"/>
  <c r="E2" i="7"/>
  <c r="C2" i="7"/>
  <c r="B2" i="7"/>
  <c r="B13" i="13" s="1"/>
  <c r="A2" i="7"/>
  <c r="B24" i="6"/>
  <c r="B19" i="6"/>
  <c r="C18" i="6"/>
  <c r="B16" i="6"/>
  <c r="AA11" i="6"/>
  <c r="B11" i="6"/>
  <c r="AA10" i="6"/>
  <c r="AA9" i="6"/>
  <c r="AA8" i="6"/>
  <c r="B8" i="6"/>
  <c r="AA7" i="6"/>
  <c r="AA6" i="6"/>
  <c r="AA5" i="6"/>
  <c r="E21" i="5"/>
  <c r="C21" i="5"/>
  <c r="B20" i="5"/>
  <c r="C20" i="5" s="1"/>
  <c r="C19" i="5"/>
  <c r="E19" i="5" s="1"/>
  <c r="B19" i="5"/>
  <c r="E18" i="5"/>
  <c r="C18" i="5"/>
  <c r="E17" i="5"/>
  <c r="E20" i="5" s="1"/>
  <c r="P11" i="5"/>
  <c r="N11" i="5"/>
  <c r="H11" i="5"/>
  <c r="E11" i="5"/>
  <c r="P10" i="5"/>
  <c r="C9" i="5"/>
  <c r="C8" i="5"/>
  <c r="C7" i="5"/>
  <c r="C6" i="5"/>
  <c r="C5" i="5"/>
  <c r="C4" i="5"/>
  <c r="C3" i="5"/>
  <c r="B52" i="4"/>
  <c r="C1" i="3"/>
  <c r="B1" i="3"/>
  <c r="A1" i="3" a="1"/>
  <c r="A1" i="3" s="1"/>
  <c r="F77" i="2"/>
  <c r="U72" i="2"/>
  <c r="M72" i="2"/>
  <c r="B52" i="2"/>
  <c r="F52" i="2" s="1"/>
  <c r="K46" i="2"/>
  <c r="K45" i="2"/>
  <c r="K44" i="2"/>
  <c r="B44" i="2"/>
  <c r="K43" i="2"/>
  <c r="K42" i="2"/>
  <c r="L41" i="2"/>
  <c r="K41" i="2"/>
  <c r="F38" i="2"/>
  <c r="H30" i="2"/>
  <c r="D30" i="2"/>
  <c r="D42" i="25" s="1"/>
  <c r="C30" i="2"/>
  <c r="C42" i="25" s="1"/>
  <c r="B30" i="2"/>
  <c r="A30" i="2"/>
  <c r="A42" i="25" s="1"/>
  <c r="H29" i="2"/>
  <c r="D29" i="2"/>
  <c r="D41" i="25" s="1"/>
  <c r="C29" i="2"/>
  <c r="C41" i="25" s="1"/>
  <c r="B29" i="2"/>
  <c r="A29" i="2"/>
  <c r="A41" i="25" s="1"/>
  <c r="D28" i="2"/>
  <c r="D40" i="25" s="1"/>
  <c r="C28" i="2"/>
  <c r="C40" i="25" s="1"/>
  <c r="B28" i="2"/>
  <c r="A28" i="2"/>
  <c r="A40" i="25" s="1"/>
  <c r="D27" i="2"/>
  <c r="D39" i="25" s="1"/>
  <c r="C27" i="2"/>
  <c r="C39" i="25" s="1"/>
  <c r="B27" i="2"/>
  <c r="H27" i="2" s="1"/>
  <c r="A27" i="2"/>
  <c r="A39" i="25" s="1"/>
  <c r="D26" i="2"/>
  <c r="D38" i="25" s="1"/>
  <c r="C26" i="2"/>
  <c r="C38" i="25" s="1"/>
  <c r="B26" i="2"/>
  <c r="H26" i="2" s="1"/>
  <c r="A26" i="2"/>
  <c r="A38" i="25" s="1"/>
  <c r="H25" i="2"/>
  <c r="D25" i="2"/>
  <c r="D37" i="25" s="1"/>
  <c r="C25" i="2"/>
  <c r="C37" i="25" s="1"/>
  <c r="B25" i="2"/>
  <c r="A25" i="2"/>
  <c r="A37" i="25" s="1"/>
  <c r="H24" i="2"/>
  <c r="D24" i="2"/>
  <c r="D36" i="25" s="1"/>
  <c r="C24" i="2"/>
  <c r="C36" i="25" s="1"/>
  <c r="B24" i="2"/>
  <c r="A24" i="2"/>
  <c r="A36" i="25" s="1"/>
  <c r="H23" i="2"/>
  <c r="D23" i="2"/>
  <c r="D35" i="25" s="1"/>
  <c r="C23" i="2"/>
  <c r="C35" i="25" s="1"/>
  <c r="B23" i="2"/>
  <c r="A23" i="2"/>
  <c r="A35" i="25" s="1"/>
  <c r="H22" i="2"/>
  <c r="D22" i="2"/>
  <c r="D34" i="25" s="1"/>
  <c r="C22" i="2"/>
  <c r="C34" i="25" s="1"/>
  <c r="B22" i="2"/>
  <c r="A22" i="2"/>
  <c r="A34" i="25" s="1"/>
  <c r="H21" i="2"/>
  <c r="D21" i="2"/>
  <c r="D33" i="25" s="1"/>
  <c r="C21" i="2"/>
  <c r="C33" i="25" s="1"/>
  <c r="B21" i="2"/>
  <c r="A21" i="2"/>
  <c r="A33" i="25" s="1"/>
  <c r="D20" i="2"/>
  <c r="D32" i="25" s="1"/>
  <c r="C20" i="2"/>
  <c r="C32" i="25" s="1"/>
  <c r="B20" i="2"/>
  <c r="A20" i="2"/>
  <c r="A32" i="25" s="1"/>
  <c r="D19" i="2"/>
  <c r="D31" i="25" s="1"/>
  <c r="C19" i="2"/>
  <c r="C31" i="25" s="1"/>
  <c r="B19" i="2"/>
  <c r="H19" i="2" s="1"/>
  <c r="A19" i="2"/>
  <c r="A31" i="25" s="1"/>
  <c r="D18" i="2"/>
  <c r="D30" i="25" s="1"/>
  <c r="C18" i="2"/>
  <c r="C30" i="25" s="1"/>
  <c r="B18" i="2"/>
  <c r="H18" i="2" s="1"/>
  <c r="A18" i="2"/>
  <c r="A30" i="25" s="1"/>
  <c r="H17" i="2"/>
  <c r="D17" i="2"/>
  <c r="D29" i="25" s="1"/>
  <c r="C17" i="2"/>
  <c r="C29" i="25" s="1"/>
  <c r="B17" i="2"/>
  <c r="A17" i="2"/>
  <c r="A29" i="25" s="1"/>
  <c r="S16" i="2"/>
  <c r="R16" i="2"/>
  <c r="K16" i="2"/>
  <c r="H16" i="2"/>
  <c r="D16" i="2"/>
  <c r="D28" i="25" s="1"/>
  <c r="C16" i="2"/>
  <c r="B16" i="2"/>
  <c r="A16" i="2"/>
  <c r="A28" i="25" s="1"/>
  <c r="K15" i="2"/>
  <c r="H15" i="2"/>
  <c r="D15" i="2"/>
  <c r="D27" i="25" s="1"/>
  <c r="C15" i="2"/>
  <c r="B15" i="2"/>
  <c r="B27" i="25" s="1"/>
  <c r="A15" i="2"/>
  <c r="K14" i="2"/>
  <c r="D14" i="2"/>
  <c r="C14" i="2"/>
  <c r="B14" i="2"/>
  <c r="B26" i="25" s="1"/>
  <c r="A14" i="2"/>
  <c r="A26" i="25" s="1"/>
  <c r="K13" i="2"/>
  <c r="I13" i="2"/>
  <c r="G13" i="2"/>
  <c r="B64" i="2" s="1"/>
  <c r="D13" i="2"/>
  <c r="D25" i="25" s="1"/>
  <c r="C13" i="2"/>
  <c r="B13" i="2"/>
  <c r="B25" i="25" s="1"/>
  <c r="A13" i="2"/>
  <c r="K12" i="2"/>
  <c r="D12" i="2"/>
  <c r="D24" i="25" s="1"/>
  <c r="C12" i="2"/>
  <c r="B12" i="2"/>
  <c r="A12" i="2"/>
  <c r="K11" i="2"/>
  <c r="G11" i="2"/>
  <c r="E11" i="2" s="1"/>
  <c r="D11" i="2"/>
  <c r="C11" i="2"/>
  <c r="B11" i="2"/>
  <c r="B23" i="25" s="1"/>
  <c r="A11" i="2"/>
  <c r="A23" i="25" s="1"/>
  <c r="K10" i="2"/>
  <c r="H10" i="2"/>
  <c r="R10" i="2" s="1"/>
  <c r="G10" i="2"/>
  <c r="D10" i="2"/>
  <c r="D22" i="25" s="1"/>
  <c r="C10" i="2"/>
  <c r="B10" i="2"/>
  <c r="B22" i="25" s="1"/>
  <c r="A10" i="2"/>
  <c r="A22" i="25" s="1"/>
  <c r="S9" i="2"/>
  <c r="R9" i="2"/>
  <c r="K9" i="2"/>
  <c r="H9" i="2"/>
  <c r="D9" i="2"/>
  <c r="D21" i="25" s="1"/>
  <c r="C9" i="2"/>
  <c r="B9" i="2"/>
  <c r="B21" i="25" s="1"/>
  <c r="A9" i="2"/>
  <c r="B17" i="6" s="1"/>
  <c r="K8" i="2"/>
  <c r="D8" i="2"/>
  <c r="C8" i="2"/>
  <c r="B8" i="2"/>
  <c r="B20" i="25" s="1"/>
  <c r="A8" i="2"/>
  <c r="A20" i="25" s="1"/>
  <c r="K7" i="2"/>
  <c r="I7" i="2"/>
  <c r="G7" i="2"/>
  <c r="E7" i="2"/>
  <c r="D7" i="2"/>
  <c r="D19" i="25" s="1"/>
  <c r="C7" i="2"/>
  <c r="B7" i="2"/>
  <c r="B19" i="25" s="1"/>
  <c r="A7" i="2"/>
  <c r="A19" i="25" s="1"/>
  <c r="J3" i="2"/>
  <c r="C2" i="2"/>
  <c r="E2" i="2" s="1"/>
  <c r="B45" i="2" s="1"/>
  <c r="B2" i="2"/>
  <c r="A1" i="2"/>
  <c r="C109" i="1"/>
  <c r="O108" i="8" s="1"/>
  <c r="B109" i="1"/>
  <c r="N108" i="8" s="1"/>
  <c r="A109" i="1"/>
  <c r="C108" i="1"/>
  <c r="B108" i="1"/>
  <c r="N107" i="8" s="1"/>
  <c r="A108" i="1"/>
  <c r="C107" i="1"/>
  <c r="O106" i="8" s="1"/>
  <c r="B107" i="1"/>
  <c r="N106" i="8" s="1"/>
  <c r="A107" i="1"/>
  <c r="C106" i="1"/>
  <c r="B106" i="1"/>
  <c r="A106" i="1"/>
  <c r="C105" i="1"/>
  <c r="O104" i="8" s="1"/>
  <c r="B105" i="1"/>
  <c r="N104" i="8" s="1"/>
  <c r="A105" i="1"/>
  <c r="C104" i="1"/>
  <c r="B104" i="1"/>
  <c r="A104" i="1"/>
  <c r="C103" i="1"/>
  <c r="B103" i="1"/>
  <c r="A103" i="1"/>
  <c r="C102" i="1"/>
  <c r="B102" i="1"/>
  <c r="A102" i="1"/>
  <c r="C101" i="1"/>
  <c r="O100" i="8" s="1"/>
  <c r="B101" i="1"/>
  <c r="N100" i="8" s="1"/>
  <c r="A101" i="1"/>
  <c r="C100" i="1"/>
  <c r="O99" i="8" s="1"/>
  <c r="B100" i="1"/>
  <c r="N99" i="8" s="1"/>
  <c r="A100" i="1"/>
  <c r="C99" i="1"/>
  <c r="O98" i="8" s="1"/>
  <c r="B99" i="1"/>
  <c r="N98" i="8" s="1"/>
  <c r="A99" i="1"/>
  <c r="C98" i="1"/>
  <c r="B98" i="1"/>
  <c r="A98" i="1"/>
  <c r="C97" i="1"/>
  <c r="O96" i="8" s="1"/>
  <c r="B97" i="1"/>
  <c r="N96" i="8" s="1"/>
  <c r="A97" i="1"/>
  <c r="C96" i="1"/>
  <c r="B96" i="1"/>
  <c r="A96" i="1"/>
  <c r="C95" i="1"/>
  <c r="B95" i="1"/>
  <c r="A95" i="1"/>
  <c r="C94" i="1"/>
  <c r="B94" i="1"/>
  <c r="A94" i="1"/>
  <c r="C93" i="1"/>
  <c r="O92" i="8" s="1"/>
  <c r="B93" i="1"/>
  <c r="N92" i="8" s="1"/>
  <c r="A93" i="1"/>
  <c r="C92" i="1"/>
  <c r="O91" i="8" s="1"/>
  <c r="B92" i="1"/>
  <c r="N91" i="8" s="1"/>
  <c r="A92" i="1"/>
  <c r="C91" i="1"/>
  <c r="O90" i="8" s="1"/>
  <c r="B91" i="1"/>
  <c r="N90" i="8" s="1"/>
  <c r="A91" i="1"/>
  <c r="C90" i="1"/>
  <c r="B90" i="1"/>
  <c r="A90" i="1"/>
  <c r="C89" i="1"/>
  <c r="O88" i="8" s="1"/>
  <c r="B89" i="1"/>
  <c r="N88" i="8" s="1"/>
  <c r="A89" i="1"/>
  <c r="C88" i="1"/>
  <c r="B88" i="1"/>
  <c r="A88" i="1"/>
  <c r="C87" i="1"/>
  <c r="B87" i="1"/>
  <c r="A87" i="1"/>
  <c r="C86" i="1"/>
  <c r="B86" i="1"/>
  <c r="A86" i="1"/>
  <c r="C85" i="1"/>
  <c r="O84" i="8" s="1"/>
  <c r="B85" i="1"/>
  <c r="N84" i="8" s="1"/>
  <c r="A85" i="1"/>
  <c r="C84" i="1"/>
  <c r="O83" i="8" s="1"/>
  <c r="B84" i="1"/>
  <c r="N83" i="8" s="1"/>
  <c r="A84" i="1"/>
  <c r="C83" i="1"/>
  <c r="O82" i="8" s="1"/>
  <c r="B83" i="1"/>
  <c r="N82" i="8" s="1"/>
  <c r="A83" i="1"/>
  <c r="C82" i="1"/>
  <c r="B82" i="1"/>
  <c r="A82" i="1"/>
  <c r="C81" i="1"/>
  <c r="O80" i="8" s="1"/>
  <c r="B81" i="1"/>
  <c r="N80" i="8" s="1"/>
  <c r="A81" i="1"/>
  <c r="C80" i="1"/>
  <c r="B80" i="1"/>
  <c r="A80" i="1"/>
  <c r="C79" i="1"/>
  <c r="B79" i="1"/>
  <c r="A79" i="1"/>
  <c r="C78" i="1"/>
  <c r="B78" i="1"/>
  <c r="A78" i="1"/>
  <c r="C1" i="1"/>
  <c r="B1" i="1"/>
  <c r="A1" i="1"/>
  <c r="K3" i="21"/>
  <c r="I6" i="21"/>
  <c r="I4" i="21"/>
  <c r="I5" i="21"/>
  <c r="H3" i="17"/>
  <c r="H11" i="17"/>
  <c r="H10" i="17"/>
  <c r="H4" i="17"/>
  <c r="H12" i="17"/>
  <c r="F11" i="12"/>
  <c r="F9" i="12"/>
  <c r="E11" i="12"/>
  <c r="E9" i="12"/>
  <c r="F7" i="12"/>
  <c r="E7" i="12"/>
  <c r="F6" i="12"/>
  <c r="E6" i="12"/>
  <c r="B8" i="5"/>
  <c r="B5" i="5"/>
  <c r="B10" i="5"/>
  <c r="B6" i="5"/>
  <c r="K6" i="5" l="1"/>
  <c r="J6" i="5"/>
  <c r="D6" i="5"/>
  <c r="O6" i="5" s="1"/>
  <c r="G6" i="5"/>
  <c r="K10" i="5"/>
  <c r="D10" i="5"/>
  <c r="K5" i="5"/>
  <c r="J5" i="5"/>
  <c r="D5" i="5"/>
  <c r="O5" i="5" s="1"/>
  <c r="G5" i="5"/>
  <c r="K8" i="5"/>
  <c r="J8" i="5"/>
  <c r="D8" i="5"/>
  <c r="O8" i="5" s="1"/>
  <c r="G8" i="5"/>
  <c r="C6" i="12"/>
  <c r="C7" i="12"/>
  <c r="C9" i="12"/>
  <c r="C11" i="12"/>
  <c r="I12" i="17"/>
  <c r="I4" i="17"/>
  <c r="I10" i="17"/>
  <c r="I11" i="17"/>
  <c r="I3" i="17"/>
  <c r="O64" i="2"/>
  <c r="P64" i="2" s="1"/>
  <c r="G25" i="15" s="1"/>
  <c r="G64" i="2"/>
  <c r="H64" i="2" s="1"/>
  <c r="C25" i="15" s="1"/>
  <c r="F64" i="2"/>
  <c r="M64" i="2"/>
  <c r="N64" i="2" s="1"/>
  <c r="F25" i="15" s="1"/>
  <c r="D224" i="15" s="1"/>
  <c r="K64" i="2"/>
  <c r="L64" i="2" s="1"/>
  <c r="E25" i="15" s="1"/>
  <c r="C64" i="2"/>
  <c r="I64" i="2"/>
  <c r="J64" i="2" s="1"/>
  <c r="D25" i="15" s="1"/>
  <c r="D64" i="2"/>
  <c r="Q64" i="2"/>
  <c r="R64" i="2" s="1"/>
  <c r="H25" i="15" s="1"/>
  <c r="S19" i="2"/>
  <c r="R19" i="2"/>
  <c r="Q19" i="2"/>
  <c r="P19" i="2"/>
  <c r="O19" i="2"/>
  <c r="S26" i="2"/>
  <c r="R26" i="2"/>
  <c r="Q26" i="2"/>
  <c r="P26" i="2"/>
  <c r="O24" i="2"/>
  <c r="D48" i="2"/>
  <c r="B48" i="2"/>
  <c r="S18" i="2"/>
  <c r="R18" i="2"/>
  <c r="Q18" i="2"/>
  <c r="P18" i="2"/>
  <c r="N18" i="2"/>
  <c r="S27" i="2"/>
  <c r="R27" i="2"/>
  <c r="Q27" i="2"/>
  <c r="P27" i="2"/>
  <c r="Q15" i="2"/>
  <c r="P15" i="2"/>
  <c r="B28" i="21"/>
  <c r="I18" i="6"/>
  <c r="H18" i="6"/>
  <c r="K18" i="6" s="1"/>
  <c r="E18" i="6"/>
  <c r="B28" i="25"/>
  <c r="G16" i="2"/>
  <c r="B33" i="25"/>
  <c r="G21" i="2"/>
  <c r="B41" i="25"/>
  <c r="G29" i="2"/>
  <c r="N29" i="2" s="1"/>
  <c r="J18" i="6"/>
  <c r="C21" i="25"/>
  <c r="O3" i="23"/>
  <c r="P3" i="23" s="1"/>
  <c r="M23" i="23" s="1"/>
  <c r="B21" i="15"/>
  <c r="G9" i="2"/>
  <c r="B32" i="25"/>
  <c r="G20" i="2"/>
  <c r="Q9" i="2"/>
  <c r="P9" i="2"/>
  <c r="O10" i="2"/>
  <c r="A25" i="25"/>
  <c r="B21" i="6"/>
  <c r="C26" i="25"/>
  <c r="B26" i="15"/>
  <c r="G14" i="2"/>
  <c r="B34" i="25"/>
  <c r="G22" i="2"/>
  <c r="B42" i="25"/>
  <c r="G30" i="2"/>
  <c r="B54" i="2"/>
  <c r="B10" i="6"/>
  <c r="B40" i="25"/>
  <c r="G28" i="2"/>
  <c r="P10" i="2"/>
  <c r="D23" i="25"/>
  <c r="H11" i="2"/>
  <c r="D26" i="25"/>
  <c r="H14" i="2"/>
  <c r="R15" i="2"/>
  <c r="H20" i="2"/>
  <c r="B35" i="25"/>
  <c r="G23" i="2"/>
  <c r="H28" i="2"/>
  <c r="S17" i="2"/>
  <c r="R17" i="2"/>
  <c r="Q17" i="2"/>
  <c r="P17" i="2"/>
  <c r="N17" i="2"/>
  <c r="B1" i="25"/>
  <c r="B4" i="25" s="1"/>
  <c r="B1" i="21"/>
  <c r="F308" i="15"/>
  <c r="F245" i="15"/>
  <c r="F277" i="15"/>
  <c r="C16" i="15"/>
  <c r="N239" i="7"/>
  <c r="H239" i="7"/>
  <c r="T239" i="7"/>
  <c r="J2" i="2"/>
  <c r="B18" i="7"/>
  <c r="H2" i="2"/>
  <c r="G2" i="2"/>
  <c r="B50" i="2"/>
  <c r="B46" i="2"/>
  <c r="D6" i="14" s="1"/>
  <c r="D54" i="2"/>
  <c r="Z239" i="7"/>
  <c r="B53" i="2"/>
  <c r="B239" i="7"/>
  <c r="K2" i="2"/>
  <c r="B25" i="21"/>
  <c r="F35" i="17"/>
  <c r="F34" i="17"/>
  <c r="G43" i="2"/>
  <c r="J33" i="2"/>
  <c r="C15" i="6"/>
  <c r="B58" i="2"/>
  <c r="G32" i="2"/>
  <c r="O2" i="23"/>
  <c r="P2" i="23" s="1"/>
  <c r="M10" i="23" s="1"/>
  <c r="C20" i="25"/>
  <c r="B20" i="15"/>
  <c r="G8" i="2"/>
  <c r="A27" i="25"/>
  <c r="B23" i="6"/>
  <c r="S15" i="2"/>
  <c r="Q16" i="2"/>
  <c r="P16" i="2"/>
  <c r="O16" i="2"/>
  <c r="N16" i="2"/>
  <c r="S21" i="2"/>
  <c r="R21" i="2"/>
  <c r="Q21" i="2"/>
  <c r="P21" i="2"/>
  <c r="N21" i="2"/>
  <c r="B36" i="25"/>
  <c r="G24" i="2"/>
  <c r="S29" i="2"/>
  <c r="R29" i="2"/>
  <c r="Q29" i="2"/>
  <c r="P29" i="2"/>
  <c r="D20" i="25"/>
  <c r="H8" i="2"/>
  <c r="F10" i="2" s="1"/>
  <c r="I11" i="2"/>
  <c r="B62" i="2"/>
  <c r="C19" i="6"/>
  <c r="C8" i="6"/>
  <c r="D8" i="6" s="1"/>
  <c r="E8" i="6" s="1"/>
  <c r="A24" i="25"/>
  <c r="B9" i="6"/>
  <c r="B20" i="6"/>
  <c r="B29" i="25"/>
  <c r="G17" i="2"/>
  <c r="S22" i="2"/>
  <c r="R22" i="2"/>
  <c r="Q22" i="2"/>
  <c r="P22" i="2"/>
  <c r="A21" i="25"/>
  <c r="A2" i="8"/>
  <c r="B3" i="8" s="1"/>
  <c r="A234" i="7"/>
  <c r="B235" i="7" s="1"/>
  <c r="B6" i="6"/>
  <c r="A13" i="7"/>
  <c r="B14" i="7" s="1"/>
  <c r="F45" i="17"/>
  <c r="F44" i="17"/>
  <c r="F28" i="17"/>
  <c r="E10" i="2"/>
  <c r="C7" i="6"/>
  <c r="D7" i="6" s="1"/>
  <c r="E7" i="6" s="1"/>
  <c r="T10" i="2"/>
  <c r="U10" i="2" s="1"/>
  <c r="I10" i="2"/>
  <c r="B24" i="25"/>
  <c r="H12" i="2"/>
  <c r="C27" i="25"/>
  <c r="B27" i="15"/>
  <c r="G15" i="2"/>
  <c r="B30" i="25"/>
  <c r="G18" i="2"/>
  <c r="O18" i="2" s="1"/>
  <c r="S23" i="2"/>
  <c r="R23" i="2"/>
  <c r="Q23" i="2"/>
  <c r="P23" i="2"/>
  <c r="N23" i="2"/>
  <c r="B38" i="25"/>
  <c r="G26" i="2"/>
  <c r="S25" i="2"/>
  <c r="R25" i="2"/>
  <c r="Q25" i="2"/>
  <c r="P25" i="2"/>
  <c r="N25" i="2"/>
  <c r="B37" i="25"/>
  <c r="G25" i="2"/>
  <c r="S30" i="2"/>
  <c r="R30" i="2"/>
  <c r="Q30" i="2"/>
  <c r="P30" i="2"/>
  <c r="N30" i="2"/>
  <c r="N10" i="2"/>
  <c r="S10" i="2"/>
  <c r="Q10" i="2"/>
  <c r="F36" i="17"/>
  <c r="F39" i="17"/>
  <c r="E13" i="2"/>
  <c r="C21" i="6"/>
  <c r="C10" i="6"/>
  <c r="D10" i="6" s="1"/>
  <c r="E10" i="6" s="1"/>
  <c r="B31" i="25"/>
  <c r="G19" i="2"/>
  <c r="N19" i="2" s="1"/>
  <c r="O22" i="2"/>
  <c r="S24" i="2"/>
  <c r="R24" i="2"/>
  <c r="Q24" i="2"/>
  <c r="P24" i="2"/>
  <c r="N24" i="2"/>
  <c r="B39" i="25"/>
  <c r="G27" i="2"/>
  <c r="O27" i="2" s="1"/>
  <c r="O30" i="2"/>
  <c r="B49" i="2"/>
  <c r="B61" i="2"/>
  <c r="H7" i="2"/>
  <c r="C24" i="25"/>
  <c r="B24" i="15"/>
  <c r="H13" i="2"/>
  <c r="B5" i="6"/>
  <c r="B18" i="6"/>
  <c r="I11" i="9"/>
  <c r="N11" i="9"/>
  <c r="I27" i="9"/>
  <c r="N27" i="9"/>
  <c r="I43" i="9"/>
  <c r="N43" i="9"/>
  <c r="C22" i="25"/>
  <c r="B22" i="15"/>
  <c r="C362" i="15" s="1"/>
  <c r="C28" i="25"/>
  <c r="B28" i="15"/>
  <c r="B7" i="6"/>
  <c r="B15" i="6"/>
  <c r="V236" i="7"/>
  <c r="C25" i="25"/>
  <c r="B25" i="15"/>
  <c r="C340" i="15" s="1"/>
  <c r="C19" i="25"/>
  <c r="O4" i="23"/>
  <c r="P4" i="23" s="1"/>
  <c r="B19" i="15"/>
  <c r="G12" i="2"/>
  <c r="B22" i="6"/>
  <c r="I3" i="9"/>
  <c r="N3" i="9"/>
  <c r="I19" i="9"/>
  <c r="N19" i="9"/>
  <c r="I35" i="9"/>
  <c r="N35" i="9"/>
  <c r="I51" i="9"/>
  <c r="N51" i="9"/>
  <c r="C23" i="25"/>
  <c r="B23" i="15"/>
  <c r="Y234" i="7"/>
  <c r="Z235" i="7" s="1"/>
  <c r="T237" i="7"/>
  <c r="K32" i="8"/>
  <c r="B17" i="8"/>
  <c r="B65" i="8"/>
  <c r="B129" i="8"/>
  <c r="L4" i="9"/>
  <c r="L12" i="9"/>
  <c r="L20" i="9"/>
  <c r="L28" i="9"/>
  <c r="L36" i="9"/>
  <c r="L44" i="9"/>
  <c r="I9" i="9"/>
  <c r="I17" i="9"/>
  <c r="L23" i="9"/>
  <c r="I25" i="9"/>
  <c r="I33" i="9"/>
  <c r="I41" i="9"/>
  <c r="I49" i="9"/>
  <c r="N52" i="9"/>
  <c r="L52" i="9" s="1"/>
  <c r="L55" i="9"/>
  <c r="B329" i="8"/>
  <c r="B313" i="8"/>
  <c r="B297" i="8"/>
  <c r="B281" i="8"/>
  <c r="B265" i="8"/>
  <c r="B249" i="8"/>
  <c r="B201" i="8"/>
  <c r="B185" i="8"/>
  <c r="B169" i="8"/>
  <c r="B153" i="8"/>
  <c r="B137" i="8"/>
  <c r="B121" i="8"/>
  <c r="B105" i="8"/>
  <c r="B89" i="8"/>
  <c r="B73" i="8"/>
  <c r="B57" i="8"/>
  <c r="B41" i="8"/>
  <c r="B321" i="8"/>
  <c r="B305" i="8"/>
  <c r="B289" i="8"/>
  <c r="B273" i="8"/>
  <c r="B257" i="8"/>
  <c r="B241" i="8"/>
  <c r="B25" i="8"/>
  <c r="B81" i="8"/>
  <c r="B233" i="8"/>
  <c r="L2" i="9"/>
  <c r="I4" i="9"/>
  <c r="N7" i="9"/>
  <c r="L7" i="9" s="1"/>
  <c r="L10" i="9"/>
  <c r="I12" i="9"/>
  <c r="N15" i="9"/>
  <c r="L15" i="9" s="1"/>
  <c r="L18" i="9"/>
  <c r="I20" i="9"/>
  <c r="N23" i="9"/>
  <c r="L26" i="9"/>
  <c r="I28" i="9"/>
  <c r="N31" i="9"/>
  <c r="L31" i="9" s="1"/>
  <c r="L34" i="9"/>
  <c r="I36" i="9"/>
  <c r="N39" i="9"/>
  <c r="L39" i="9" s="1"/>
  <c r="L42" i="9"/>
  <c r="I44" i="9"/>
  <c r="N47" i="9"/>
  <c r="L47" i="9" s="1"/>
  <c r="L50" i="9"/>
  <c r="B145" i="8"/>
  <c r="B225" i="8"/>
  <c r="L5" i="9"/>
  <c r="L13" i="9"/>
  <c r="L21" i="9"/>
  <c r="L29" i="9"/>
  <c r="L37" i="9"/>
  <c r="L45" i="9"/>
  <c r="L53" i="9"/>
  <c r="M59" i="9"/>
  <c r="L59" i="9" s="1"/>
  <c r="B193" i="8"/>
  <c r="L8" i="9"/>
  <c r="L16" i="9"/>
  <c r="L24" i="9"/>
  <c r="L32" i="9"/>
  <c r="L40" i="9"/>
  <c r="L48" i="9"/>
  <c r="L56" i="9"/>
  <c r="B49" i="8"/>
  <c r="B113" i="8"/>
  <c r="L3" i="9"/>
  <c r="I5" i="9"/>
  <c r="L11" i="9"/>
  <c r="I13" i="9"/>
  <c r="L19" i="9"/>
  <c r="I21" i="9"/>
  <c r="L27" i="9"/>
  <c r="I29" i="9"/>
  <c r="L35" i="9"/>
  <c r="I37" i="9"/>
  <c r="L43" i="9"/>
  <c r="I45" i="9"/>
  <c r="L51" i="9"/>
  <c r="I53" i="9"/>
  <c r="B33" i="8"/>
  <c r="B161" i="8"/>
  <c r="L6" i="9"/>
  <c r="I8" i="9"/>
  <c r="L14" i="9"/>
  <c r="I16" i="9"/>
  <c r="L22" i="9"/>
  <c r="I24" i="9"/>
  <c r="L30" i="9"/>
  <c r="I32" i="9"/>
  <c r="L38" i="9"/>
  <c r="I40" i="9"/>
  <c r="L46" i="9"/>
  <c r="I48" i="9"/>
  <c r="L54" i="9"/>
  <c r="I56" i="9"/>
  <c r="L61" i="9"/>
  <c r="L65" i="9"/>
  <c r="L69" i="9"/>
  <c r="L73" i="9"/>
  <c r="L77" i="9"/>
  <c r="L81" i="9"/>
  <c r="L85" i="9"/>
  <c r="L89" i="9"/>
  <c r="L93" i="9"/>
  <c r="L97" i="9"/>
  <c r="L101" i="9"/>
  <c r="L105" i="9"/>
  <c r="L109" i="9"/>
  <c r="L113" i="9"/>
  <c r="L117" i="9"/>
  <c r="L121" i="9"/>
  <c r="L125" i="9"/>
  <c r="E52" i="10"/>
  <c r="E58" i="10" s="1"/>
  <c r="E51" i="10"/>
  <c r="I58" i="9"/>
  <c r="M58" i="9"/>
  <c r="L58" i="9" s="1"/>
  <c r="L62" i="9"/>
  <c r="L66" i="9"/>
  <c r="L70" i="9"/>
  <c r="L74" i="9"/>
  <c r="L78" i="9"/>
  <c r="L82" i="9"/>
  <c r="L86" i="9"/>
  <c r="L90" i="9"/>
  <c r="L94" i="9"/>
  <c r="L98" i="9"/>
  <c r="L102" i="9"/>
  <c r="L106" i="9"/>
  <c r="L110" i="9"/>
  <c r="L114" i="9"/>
  <c r="L118" i="9"/>
  <c r="L122" i="9"/>
  <c r="L126" i="9"/>
  <c r="AA58" i="10"/>
  <c r="M60" i="9"/>
  <c r="L60" i="9" s="1"/>
  <c r="I60" i="9"/>
  <c r="L63" i="9"/>
  <c r="L67" i="9"/>
  <c r="L71" i="9"/>
  <c r="L75" i="9"/>
  <c r="L79" i="9"/>
  <c r="L83" i="9"/>
  <c r="L87" i="9"/>
  <c r="L91" i="9"/>
  <c r="L95" i="9"/>
  <c r="L99" i="9"/>
  <c r="L103" i="9"/>
  <c r="L107" i="9"/>
  <c r="L111" i="9"/>
  <c r="L115" i="9"/>
  <c r="L119" i="9"/>
  <c r="L123" i="9"/>
  <c r="L127" i="9"/>
  <c r="C45" i="10"/>
  <c r="C46" i="10" s="1"/>
  <c r="C47" i="10" s="1"/>
  <c r="C48" i="10" s="1"/>
  <c r="C49" i="10" s="1"/>
  <c r="C50" i="10" s="1"/>
  <c r="Q51" i="10"/>
  <c r="Q58" i="10" s="1"/>
  <c r="P58" i="10" s="1"/>
  <c r="Q52" i="10"/>
  <c r="I57" i="9"/>
  <c r="M57" i="9"/>
  <c r="L57" i="9" s="1"/>
  <c r="I61" i="9"/>
  <c r="I62" i="9"/>
  <c r="I63" i="9"/>
  <c r="I64" i="9"/>
  <c r="I65" i="9"/>
  <c r="I66" i="9"/>
  <c r="I67" i="9"/>
  <c r="I68" i="9"/>
  <c r="I69" i="9"/>
  <c r="I70" i="9"/>
  <c r="I71" i="9"/>
  <c r="I72" i="9"/>
  <c r="I73" i="9"/>
  <c r="I74" i="9"/>
  <c r="I75" i="9"/>
  <c r="I76" i="9"/>
  <c r="I77" i="9"/>
  <c r="I78" i="9"/>
  <c r="I79" i="9"/>
  <c r="I80" i="9"/>
  <c r="I81" i="9"/>
  <c r="I82" i="9"/>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G31" i="10"/>
  <c r="G32" i="10" s="1"/>
  <c r="I31" i="10"/>
  <c r="I58" i="10" s="1"/>
  <c r="I52" i="10"/>
  <c r="S58" i="10"/>
  <c r="U58" i="10"/>
  <c r="M16" i="11"/>
  <c r="L16" i="11"/>
  <c r="K16" i="11"/>
  <c r="B37" i="12"/>
  <c r="B107" i="12"/>
  <c r="B139" i="12"/>
  <c r="B129" i="12"/>
  <c r="B119" i="12"/>
  <c r="B81" i="12"/>
  <c r="B93" i="12" s="1"/>
  <c r="K97" i="12"/>
  <c r="B48" i="12"/>
  <c r="B70" i="12"/>
  <c r="O31" i="10"/>
  <c r="O32" i="10" s="1"/>
  <c r="AA31" i="10"/>
  <c r="X14" i="11"/>
  <c r="P14" i="11"/>
  <c r="W14" i="11"/>
  <c r="V14" i="11"/>
  <c r="U14" i="11"/>
  <c r="T14" i="11"/>
  <c r="R14" i="11"/>
  <c r="Q14" i="11"/>
  <c r="J18" i="11"/>
  <c r="G11" i="26"/>
  <c r="G15" i="26"/>
  <c r="G7" i="26"/>
  <c r="G19" i="26"/>
  <c r="O8" i="11"/>
  <c r="O14" i="11" s="1"/>
  <c r="B103" i="12"/>
  <c r="B135" i="12"/>
  <c r="B125" i="12"/>
  <c r="B115" i="12"/>
  <c r="G97" i="12"/>
  <c r="B77" i="12"/>
  <c r="B89" i="12" s="1"/>
  <c r="B31" i="12"/>
  <c r="B161" i="12"/>
  <c r="B17" i="12" s="1"/>
  <c r="A151" i="12"/>
  <c r="AO161" i="12"/>
  <c r="AW161" i="12"/>
  <c r="AX272" i="12"/>
  <c r="AX216" i="12"/>
  <c r="AX230" i="12"/>
  <c r="AX244" i="12"/>
  <c r="AX188" i="12"/>
  <c r="AX202" i="12"/>
  <c r="AX160" i="12"/>
  <c r="AX258" i="12"/>
  <c r="AX174" i="12"/>
  <c r="Y161" i="12"/>
  <c r="B133" i="12"/>
  <c r="B123" i="12"/>
  <c r="B113" i="12"/>
  <c r="E97" i="12"/>
  <c r="B101" i="12"/>
  <c r="B75" i="12"/>
  <c r="B87" i="12" s="1"/>
  <c r="A276" i="12"/>
  <c r="A277" i="12" s="1"/>
  <c r="A278" i="12" s="1"/>
  <c r="A279" i="12" s="1"/>
  <c r="A280" i="12"/>
  <c r="B33" i="12"/>
  <c r="B53" i="12"/>
  <c r="B44" i="12"/>
  <c r="B66" i="12"/>
  <c r="AX267" i="12"/>
  <c r="AX211" i="12"/>
  <c r="AX225" i="12"/>
  <c r="AX239" i="12"/>
  <c r="AX183" i="12"/>
  <c r="AX253" i="12"/>
  <c r="AX197" i="12"/>
  <c r="AX169" i="12"/>
  <c r="AX155" i="12"/>
  <c r="Y151" i="12"/>
  <c r="AX265" i="12"/>
  <c r="AX223" i="12"/>
  <c r="AX237" i="12"/>
  <c r="AX181" i="12"/>
  <c r="AX251" i="12"/>
  <c r="AX195" i="12"/>
  <c r="AM175" i="12"/>
  <c r="AU175" i="12"/>
  <c r="A185" i="12"/>
  <c r="AL231" i="12"/>
  <c r="AT231" i="12"/>
  <c r="AO245" i="12"/>
  <c r="AW245" i="12"/>
  <c r="AO265" i="12"/>
  <c r="Y265" i="12"/>
  <c r="AX271" i="12"/>
  <c r="AX229" i="12"/>
  <c r="AX173" i="12"/>
  <c r="AX243" i="12"/>
  <c r="AX187" i="12"/>
  <c r="AX201" i="12"/>
  <c r="AX257" i="12"/>
  <c r="AX215" i="12"/>
  <c r="B28" i="14"/>
  <c r="B29" i="14" s="1"/>
  <c r="B30" i="14" s="1"/>
  <c r="B31" i="14" s="1"/>
  <c r="B32" i="14" s="1"/>
  <c r="B33" i="14" s="1"/>
  <c r="B34" i="14" s="1"/>
  <c r="B35" i="14" s="1"/>
  <c r="B36" i="14" s="1"/>
  <c r="B37" i="14" s="1"/>
  <c r="B38" i="14" s="1"/>
  <c r="B39" i="14" s="1"/>
  <c r="B40" i="14" s="1"/>
  <c r="B41" i="14" s="1"/>
  <c r="E12" i="14" s="1"/>
  <c r="AO175" i="12"/>
  <c r="AW175" i="12"/>
  <c r="A190" i="12"/>
  <c r="AO203" i="12"/>
  <c r="AW203" i="12"/>
  <c r="AS217" i="12"/>
  <c r="Y207" i="12"/>
  <c r="AX255" i="12"/>
  <c r="AX269" i="12"/>
  <c r="AX241" i="12"/>
  <c r="AX185" i="12"/>
  <c r="AX199" i="12"/>
  <c r="AX213" i="12"/>
  <c r="AX227" i="12"/>
  <c r="AX171" i="12"/>
  <c r="AX256" i="12"/>
  <c r="AX270" i="12"/>
  <c r="AX242" i="12"/>
  <c r="AX186" i="12"/>
  <c r="AX200" i="12"/>
  <c r="AX214" i="12"/>
  <c r="AX228" i="12"/>
  <c r="AX172" i="12"/>
  <c r="AX167" i="12"/>
  <c r="AO189" i="12"/>
  <c r="AW189" i="12"/>
  <c r="AX196" i="12"/>
  <c r="B231" i="12"/>
  <c r="B22" i="12" s="1"/>
  <c r="A221" i="12"/>
  <c r="AO231" i="12"/>
  <c r="AW231" i="12"/>
  <c r="A165" i="12"/>
  <c r="AQ175" i="12"/>
  <c r="AM189" i="12"/>
  <c r="AU189" i="12"/>
  <c r="AP203" i="12"/>
  <c r="AM217" i="12"/>
  <c r="AU217" i="12"/>
  <c r="AS245" i="12"/>
  <c r="AM245" i="12"/>
  <c r="AU245" i="12"/>
  <c r="AN259" i="12"/>
  <c r="AV259" i="12"/>
  <c r="Z83" i="12"/>
  <c r="AX198" i="12"/>
  <c r="AX212" i="12"/>
  <c r="AX226" i="12"/>
  <c r="AX170" i="12"/>
  <c r="AX268" i="12"/>
  <c r="AX254" i="12"/>
  <c r="AX240" i="12"/>
  <c r="AX184" i="12"/>
  <c r="AR175" i="12"/>
  <c r="AQ189" i="12"/>
  <c r="AQ231" i="12"/>
  <c r="Y268" i="12"/>
  <c r="AL268" i="12"/>
  <c r="AX266" i="12"/>
  <c r="AX252" i="12"/>
  <c r="AX210" i="12"/>
  <c r="AX224" i="12"/>
  <c r="AX168" i="12"/>
  <c r="AX238" i="12"/>
  <c r="AX159" i="12"/>
  <c r="A181" i="12"/>
  <c r="A188" i="12"/>
  <c r="A182" i="12"/>
  <c r="A189" i="12"/>
  <c r="A184" i="12"/>
  <c r="A183" i="12"/>
  <c r="A192" i="12"/>
  <c r="A191" i="12"/>
  <c r="Y217" i="12"/>
  <c r="AP259" i="12"/>
  <c r="A207" i="12"/>
  <c r="B217" i="12"/>
  <c r="B21" i="12" s="1"/>
  <c r="A247" i="12"/>
  <c r="AO259" i="12"/>
  <c r="AW259" i="12"/>
  <c r="AS295" i="12"/>
  <c r="A241" i="12"/>
  <c r="A248" i="12"/>
  <c r="Y259" i="12"/>
  <c r="Y267" i="12"/>
  <c r="AM267" i="12"/>
  <c r="A193" i="12"/>
  <c r="A239" i="12"/>
  <c r="A258" i="12"/>
  <c r="A259" i="12"/>
  <c r="A254" i="12"/>
  <c r="A262" i="12"/>
  <c r="A255" i="12"/>
  <c r="A252" i="12"/>
  <c r="A257" i="12"/>
  <c r="A261" i="12"/>
  <c r="B512" i="13"/>
  <c r="C514" i="13"/>
  <c r="A240" i="12"/>
  <c r="A245" i="12"/>
  <c r="AR259" i="12"/>
  <c r="Y271" i="12"/>
  <c r="AL271" i="12"/>
  <c r="B189" i="12"/>
  <c r="B19" i="12" s="1"/>
  <c r="A238" i="12"/>
  <c r="B245" i="12"/>
  <c r="B23" i="12" s="1"/>
  <c r="N238" i="13"/>
  <c r="N239" i="13" s="1"/>
  <c r="N240" i="13" s="1"/>
  <c r="N241" i="13" s="1"/>
  <c r="N242" i="13" s="1"/>
  <c r="N237" i="13"/>
  <c r="N236" i="13"/>
  <c r="A244" i="12"/>
  <c r="AP295" i="12"/>
  <c r="Y270" i="12"/>
  <c r="AM270" i="12"/>
  <c r="S3" i="14"/>
  <c r="S4" i="14" s="1"/>
  <c r="I4" i="14"/>
  <c r="B295" i="12"/>
  <c r="I88" i="15"/>
  <c r="J88" i="15"/>
  <c r="K88" i="15" s="1"/>
  <c r="L88" i="15" s="1"/>
  <c r="M88" i="15" s="1"/>
  <c r="N88" i="15" s="1"/>
  <c r="O88" i="15" s="1"/>
  <c r="P88" i="15" s="1"/>
  <c r="Q88" i="15" s="1"/>
  <c r="R88" i="15" s="1"/>
  <c r="S88" i="15" s="1"/>
  <c r="B92" i="15"/>
  <c r="H92" i="15"/>
  <c r="Y266" i="12"/>
  <c r="AL272" i="12"/>
  <c r="A285" i="12"/>
  <c r="B39" i="15"/>
  <c r="D55" i="15"/>
  <c r="I49" i="15"/>
  <c r="J49" i="15" s="1"/>
  <c r="K49" i="15" s="1"/>
  <c r="L49" i="15" s="1"/>
  <c r="M49" i="15" s="1"/>
  <c r="N49" i="15" s="1"/>
  <c r="O49" i="15" s="1"/>
  <c r="P49" i="15" s="1"/>
  <c r="Q49" i="15" s="1"/>
  <c r="R49" i="15" s="1"/>
  <c r="S49" i="15" s="1"/>
  <c r="B57" i="15"/>
  <c r="H57" i="15"/>
  <c r="D59" i="15"/>
  <c r="B175" i="15"/>
  <c r="H175" i="15"/>
  <c r="D175" i="15"/>
  <c r="C175" i="15"/>
  <c r="I11" i="13"/>
  <c r="B51" i="15"/>
  <c r="K59" i="15"/>
  <c r="L59" i="15" s="1"/>
  <c r="M59" i="15" s="1"/>
  <c r="N59" i="15" s="1"/>
  <c r="O59" i="15" s="1"/>
  <c r="P59" i="15" s="1"/>
  <c r="Q59" i="15" s="1"/>
  <c r="R59" i="15" s="1"/>
  <c r="S59" i="15" s="1"/>
  <c r="I59" i="15"/>
  <c r="J59" i="15" s="1"/>
  <c r="I181" i="15"/>
  <c r="J181" i="15" s="1"/>
  <c r="K181" i="15" s="1"/>
  <c r="L181" i="15" s="1"/>
  <c r="M181" i="15" s="1"/>
  <c r="N181" i="15" s="1"/>
  <c r="O181" i="15" s="1"/>
  <c r="P181" i="15" s="1"/>
  <c r="Q181" i="15" s="1"/>
  <c r="R181" i="15" s="1"/>
  <c r="S181" i="15" s="1"/>
  <c r="D181" i="15"/>
  <c r="I41" i="15"/>
  <c r="J41" i="15" s="1"/>
  <c r="K41" i="15" s="1"/>
  <c r="L41" i="15" s="1"/>
  <c r="M41" i="15" s="1"/>
  <c r="N41" i="15" s="1"/>
  <c r="O41" i="15" s="1"/>
  <c r="P41" i="15" s="1"/>
  <c r="Q41" i="15" s="1"/>
  <c r="R41" i="15" s="1"/>
  <c r="S41" i="15" s="1"/>
  <c r="J43" i="15"/>
  <c r="K43" i="15" s="1"/>
  <c r="L43" i="15" s="1"/>
  <c r="M43" i="15" s="1"/>
  <c r="N43" i="15" s="1"/>
  <c r="O43" i="15" s="1"/>
  <c r="P43" i="15" s="1"/>
  <c r="Q43" i="15" s="1"/>
  <c r="R43" i="15" s="1"/>
  <c r="S43" i="15" s="1"/>
  <c r="I43" i="15"/>
  <c r="C90" i="15"/>
  <c r="I36" i="15"/>
  <c r="L151" i="15"/>
  <c r="M151" i="15" s="1"/>
  <c r="N151" i="15" s="1"/>
  <c r="O151" i="15" s="1"/>
  <c r="P151" i="15" s="1"/>
  <c r="Q151" i="15" s="1"/>
  <c r="R151" i="15" s="1"/>
  <c r="S151" i="15" s="1"/>
  <c r="J151" i="15"/>
  <c r="I151" i="15"/>
  <c r="K151" i="15"/>
  <c r="D90" i="15"/>
  <c r="E90" i="15" s="1"/>
  <c r="H96" i="15"/>
  <c r="I147" i="15"/>
  <c r="J147" i="15" s="1"/>
  <c r="K147" i="15" s="1"/>
  <c r="L147" i="15" s="1"/>
  <c r="M147" i="15" s="1"/>
  <c r="N147" i="15" s="1"/>
  <c r="O147" i="15" s="1"/>
  <c r="P147" i="15" s="1"/>
  <c r="Q147" i="15" s="1"/>
  <c r="R147" i="15" s="1"/>
  <c r="S147" i="15" s="1"/>
  <c r="C183" i="15"/>
  <c r="B183" i="15"/>
  <c r="H183" i="15"/>
  <c r="D183" i="15"/>
  <c r="E183" i="15" s="1"/>
  <c r="B61" i="15"/>
  <c r="B74" i="15"/>
  <c r="B96" i="15"/>
  <c r="I139" i="15"/>
  <c r="D151" i="15"/>
  <c r="E151" i="15" s="1"/>
  <c r="B161" i="15"/>
  <c r="D161" i="15" s="1"/>
  <c r="E161" i="15" s="1"/>
  <c r="H161" i="15"/>
  <c r="C161" i="15"/>
  <c r="H45" i="15"/>
  <c r="J47" i="15"/>
  <c r="I55" i="15"/>
  <c r="C59" i="15"/>
  <c r="I86" i="15"/>
  <c r="D155" i="15"/>
  <c r="E155" i="15" s="1"/>
  <c r="H210" i="15"/>
  <c r="B210" i="15"/>
  <c r="K47" i="15"/>
  <c r="L47" i="15" s="1"/>
  <c r="M47" i="15" s="1"/>
  <c r="N47" i="15" s="1"/>
  <c r="O47" i="15" s="1"/>
  <c r="P47" i="15" s="1"/>
  <c r="Q47" i="15" s="1"/>
  <c r="R47" i="15" s="1"/>
  <c r="S47" i="15" s="1"/>
  <c r="J55" i="15"/>
  <c r="L84" i="15"/>
  <c r="M84" i="15" s="1"/>
  <c r="N84" i="15" s="1"/>
  <c r="O84" i="15" s="1"/>
  <c r="P84" i="15" s="1"/>
  <c r="Q84" i="15" s="1"/>
  <c r="R84" i="15" s="1"/>
  <c r="S84" i="15" s="1"/>
  <c r="I195" i="15"/>
  <c r="J195" i="15"/>
  <c r="K195" i="15" s="1"/>
  <c r="L195" i="15" s="1"/>
  <c r="M195" i="15" s="1"/>
  <c r="N195" i="15" s="1"/>
  <c r="O195" i="15" s="1"/>
  <c r="P195" i="15" s="1"/>
  <c r="Q195" i="15" s="1"/>
  <c r="R195" i="15" s="1"/>
  <c r="S195" i="15" s="1"/>
  <c r="B45" i="15"/>
  <c r="J53" i="15"/>
  <c r="R53" i="15"/>
  <c r="S53" i="15" s="1"/>
  <c r="C55" i="15"/>
  <c r="K55" i="15"/>
  <c r="L55" i="15" s="1"/>
  <c r="M55" i="15" s="1"/>
  <c r="N55" i="15" s="1"/>
  <c r="O55" i="15" s="1"/>
  <c r="P55" i="15" s="1"/>
  <c r="Q55" i="15" s="1"/>
  <c r="R55" i="15" s="1"/>
  <c r="S55" i="15" s="1"/>
  <c r="H76" i="15"/>
  <c r="I82" i="15"/>
  <c r="J82" i="15" s="1"/>
  <c r="K82" i="15" s="1"/>
  <c r="L82" i="15" s="1"/>
  <c r="M82" i="15" s="1"/>
  <c r="N82" i="15" s="1"/>
  <c r="O82" i="15" s="1"/>
  <c r="P82" i="15" s="1"/>
  <c r="Q82" i="15" s="1"/>
  <c r="R82" i="15" s="1"/>
  <c r="S82" i="15" s="1"/>
  <c r="D94" i="15"/>
  <c r="C94" i="15"/>
  <c r="J139" i="15"/>
  <c r="E179" i="15"/>
  <c r="D187" i="15"/>
  <c r="I187" i="15"/>
  <c r="J187" i="15" s="1"/>
  <c r="K187" i="15" s="1"/>
  <c r="L187" i="15" s="1"/>
  <c r="M187" i="15" s="1"/>
  <c r="N187" i="15" s="1"/>
  <c r="O187" i="15" s="1"/>
  <c r="P187" i="15" s="1"/>
  <c r="Q187" i="15" s="1"/>
  <c r="R187" i="15" s="1"/>
  <c r="S187" i="15" s="1"/>
  <c r="K53" i="15"/>
  <c r="L53" i="15" s="1"/>
  <c r="M53" i="15" s="1"/>
  <c r="N53" i="15" s="1"/>
  <c r="O53" i="15" s="1"/>
  <c r="P53" i="15" s="1"/>
  <c r="Q53" i="15" s="1"/>
  <c r="I76" i="15"/>
  <c r="J76" i="15" s="1"/>
  <c r="K76" i="15" s="1"/>
  <c r="L76" i="15" s="1"/>
  <c r="M76" i="15" s="1"/>
  <c r="N76" i="15" s="1"/>
  <c r="O76" i="15" s="1"/>
  <c r="P76" i="15" s="1"/>
  <c r="Q76" i="15" s="1"/>
  <c r="R76" i="15" s="1"/>
  <c r="S76" i="15" s="1"/>
  <c r="M90" i="15"/>
  <c r="N90" i="15" s="1"/>
  <c r="O90" i="15" s="1"/>
  <c r="P90" i="15" s="1"/>
  <c r="Q90" i="15" s="1"/>
  <c r="R90" i="15" s="1"/>
  <c r="S90" i="15" s="1"/>
  <c r="K94" i="15"/>
  <c r="L94" i="15" s="1"/>
  <c r="M94" i="15" s="1"/>
  <c r="N94" i="15" s="1"/>
  <c r="O94" i="15" s="1"/>
  <c r="P94" i="15" s="1"/>
  <c r="Q94" i="15" s="1"/>
  <c r="R94" i="15" s="1"/>
  <c r="S94" i="15" s="1"/>
  <c r="I106" i="15"/>
  <c r="J106" i="15" s="1"/>
  <c r="K106" i="15" s="1"/>
  <c r="L106" i="15" s="1"/>
  <c r="M106" i="15" s="1"/>
  <c r="N106" i="15" s="1"/>
  <c r="O106" i="15" s="1"/>
  <c r="P106" i="15" s="1"/>
  <c r="Q106" i="15" s="1"/>
  <c r="R106" i="15" s="1"/>
  <c r="S106" i="15" s="1"/>
  <c r="C112" i="15"/>
  <c r="E112" i="15" s="1"/>
  <c r="H112" i="15"/>
  <c r="H126" i="15"/>
  <c r="I126" i="15" s="1"/>
  <c r="J126" i="15" s="1"/>
  <c r="K126" i="15" s="1"/>
  <c r="L126" i="15" s="1"/>
  <c r="M126" i="15" s="1"/>
  <c r="N126" i="15" s="1"/>
  <c r="O126" i="15" s="1"/>
  <c r="P126" i="15" s="1"/>
  <c r="Q126" i="15" s="1"/>
  <c r="R126" i="15" s="1"/>
  <c r="S126" i="15" s="1"/>
  <c r="K139" i="15"/>
  <c r="L139" i="15" s="1"/>
  <c r="M139" i="15" s="1"/>
  <c r="N139" i="15" s="1"/>
  <c r="O139" i="15" s="1"/>
  <c r="P139" i="15" s="1"/>
  <c r="Q139" i="15" s="1"/>
  <c r="R139" i="15" s="1"/>
  <c r="S139" i="15" s="1"/>
  <c r="J86" i="15"/>
  <c r="K86" i="15" s="1"/>
  <c r="L86" i="15" s="1"/>
  <c r="M86" i="15" s="1"/>
  <c r="N86" i="15" s="1"/>
  <c r="O86" i="15" s="1"/>
  <c r="P86" i="15" s="1"/>
  <c r="Q86" i="15" s="1"/>
  <c r="R86" i="15" s="1"/>
  <c r="S86" i="15" s="1"/>
  <c r="B110" i="15"/>
  <c r="I112" i="15"/>
  <c r="J112" i="15" s="1"/>
  <c r="K112" i="15" s="1"/>
  <c r="L112" i="15" s="1"/>
  <c r="M112" i="15" s="1"/>
  <c r="N112" i="15" s="1"/>
  <c r="O112" i="15" s="1"/>
  <c r="P112" i="15" s="1"/>
  <c r="Q112" i="15" s="1"/>
  <c r="R112" i="15" s="1"/>
  <c r="S112" i="15" s="1"/>
  <c r="I116" i="15"/>
  <c r="J116" i="15" s="1"/>
  <c r="K116" i="15" s="1"/>
  <c r="L116" i="15" s="1"/>
  <c r="M116" i="15" s="1"/>
  <c r="N116" i="15" s="1"/>
  <c r="O116" i="15" s="1"/>
  <c r="P116" i="15" s="1"/>
  <c r="Q116" i="15" s="1"/>
  <c r="R116" i="15" s="1"/>
  <c r="S116" i="15" s="1"/>
  <c r="I120" i="15"/>
  <c r="J120" i="15" s="1"/>
  <c r="K120" i="15" s="1"/>
  <c r="L120" i="15" s="1"/>
  <c r="M120" i="15" s="1"/>
  <c r="N120" i="15" s="1"/>
  <c r="O120" i="15" s="1"/>
  <c r="P120" i="15" s="1"/>
  <c r="Q120" i="15" s="1"/>
  <c r="R120" i="15" s="1"/>
  <c r="S120" i="15" s="1"/>
  <c r="B124" i="15"/>
  <c r="I128" i="15"/>
  <c r="J128" i="15" s="1"/>
  <c r="K128" i="15" s="1"/>
  <c r="L128" i="15" s="1"/>
  <c r="M128" i="15" s="1"/>
  <c r="N128" i="15" s="1"/>
  <c r="O128" i="15" s="1"/>
  <c r="P128" i="15" s="1"/>
  <c r="Q128" i="15" s="1"/>
  <c r="R128" i="15" s="1"/>
  <c r="S128" i="15" s="1"/>
  <c r="D145" i="15"/>
  <c r="E145" i="15" s="1"/>
  <c r="C145" i="15"/>
  <c r="B145" i="15"/>
  <c r="H145" i="15"/>
  <c r="D147" i="15"/>
  <c r="E147" i="15" s="1"/>
  <c r="I90" i="15"/>
  <c r="J114" i="15"/>
  <c r="K114" i="15" s="1"/>
  <c r="L114" i="15" s="1"/>
  <c r="M114" i="15" s="1"/>
  <c r="N114" i="15" s="1"/>
  <c r="O114" i="15" s="1"/>
  <c r="P114" i="15" s="1"/>
  <c r="Q114" i="15" s="1"/>
  <c r="R114" i="15" s="1"/>
  <c r="S114" i="15" s="1"/>
  <c r="I122" i="15"/>
  <c r="D139" i="15"/>
  <c r="E139" i="15" s="1"/>
  <c r="B149" i="15"/>
  <c r="H155" i="15"/>
  <c r="I155" i="15" s="1"/>
  <c r="J155" i="15" s="1"/>
  <c r="K155" i="15" s="1"/>
  <c r="L155" i="15" s="1"/>
  <c r="M155" i="15" s="1"/>
  <c r="N155" i="15" s="1"/>
  <c r="O155" i="15" s="1"/>
  <c r="P155" i="15" s="1"/>
  <c r="Q155" i="15" s="1"/>
  <c r="R155" i="15" s="1"/>
  <c r="S155" i="15" s="1"/>
  <c r="I157" i="15"/>
  <c r="B159" i="15"/>
  <c r="K185" i="15"/>
  <c r="J90" i="15"/>
  <c r="K90" i="15" s="1"/>
  <c r="L90" i="15" s="1"/>
  <c r="J122" i="15"/>
  <c r="K122" i="15" s="1"/>
  <c r="L122" i="15" s="1"/>
  <c r="M122" i="15" s="1"/>
  <c r="N122" i="15" s="1"/>
  <c r="O122" i="15" s="1"/>
  <c r="P122" i="15" s="1"/>
  <c r="Q122" i="15" s="1"/>
  <c r="R122" i="15" s="1"/>
  <c r="S122" i="15" s="1"/>
  <c r="J157" i="15"/>
  <c r="K157" i="15" s="1"/>
  <c r="L157" i="15" s="1"/>
  <c r="M157" i="15" s="1"/>
  <c r="N157" i="15" s="1"/>
  <c r="O157" i="15" s="1"/>
  <c r="P157" i="15" s="1"/>
  <c r="Q157" i="15" s="1"/>
  <c r="R157" i="15" s="1"/>
  <c r="S157" i="15" s="1"/>
  <c r="K191" i="15"/>
  <c r="L191" i="15" s="1"/>
  <c r="M191" i="15" s="1"/>
  <c r="N191" i="15" s="1"/>
  <c r="O191" i="15" s="1"/>
  <c r="P191" i="15" s="1"/>
  <c r="Q191" i="15" s="1"/>
  <c r="R191" i="15" s="1"/>
  <c r="S191" i="15" s="1"/>
  <c r="J191" i="15"/>
  <c r="I191" i="15"/>
  <c r="D195" i="15"/>
  <c r="D214" i="15"/>
  <c r="C181" i="15"/>
  <c r="L185" i="15"/>
  <c r="M185" i="15" s="1"/>
  <c r="N185" i="15" s="1"/>
  <c r="O185" i="15" s="1"/>
  <c r="P185" i="15" s="1"/>
  <c r="Q185" i="15" s="1"/>
  <c r="R185" i="15" s="1"/>
  <c r="S185" i="15" s="1"/>
  <c r="J185" i="15"/>
  <c r="I108" i="15"/>
  <c r="J118" i="15"/>
  <c r="K118" i="15" s="1"/>
  <c r="L118" i="15" s="1"/>
  <c r="M118" i="15" s="1"/>
  <c r="N118" i="15" s="1"/>
  <c r="O118" i="15" s="1"/>
  <c r="P118" i="15" s="1"/>
  <c r="Q118" i="15" s="1"/>
  <c r="R118" i="15" s="1"/>
  <c r="S118" i="15" s="1"/>
  <c r="I141" i="15"/>
  <c r="B143" i="15"/>
  <c r="B153" i="15"/>
  <c r="B177" i="15"/>
  <c r="C189" i="15"/>
  <c r="E189" i="15" s="1"/>
  <c r="J108" i="15"/>
  <c r="K108" i="15" s="1"/>
  <c r="L108" i="15" s="1"/>
  <c r="M108" i="15" s="1"/>
  <c r="N108" i="15" s="1"/>
  <c r="O108" i="15" s="1"/>
  <c r="P108" i="15" s="1"/>
  <c r="Q108" i="15" s="1"/>
  <c r="R108" i="15" s="1"/>
  <c r="S108" i="15" s="1"/>
  <c r="J141" i="15"/>
  <c r="K141" i="15" s="1"/>
  <c r="L141" i="15" s="1"/>
  <c r="M141" i="15" s="1"/>
  <c r="N141" i="15" s="1"/>
  <c r="O141" i="15" s="1"/>
  <c r="P141" i="15" s="1"/>
  <c r="Q141" i="15" s="1"/>
  <c r="R141" i="15" s="1"/>
  <c r="S141" i="15" s="1"/>
  <c r="C177" i="15"/>
  <c r="I179" i="15"/>
  <c r="J179" i="15" s="1"/>
  <c r="K179" i="15" s="1"/>
  <c r="L179" i="15" s="1"/>
  <c r="M179" i="15" s="1"/>
  <c r="N179" i="15" s="1"/>
  <c r="O179" i="15" s="1"/>
  <c r="P179" i="15" s="1"/>
  <c r="Q179" i="15" s="1"/>
  <c r="R179" i="15" s="1"/>
  <c r="S179" i="15" s="1"/>
  <c r="C187" i="15"/>
  <c r="I189" i="15"/>
  <c r="J189" i="15" s="1"/>
  <c r="K189" i="15" s="1"/>
  <c r="L189" i="15" s="1"/>
  <c r="M189" i="15" s="1"/>
  <c r="N189" i="15" s="1"/>
  <c r="O189" i="15" s="1"/>
  <c r="P189" i="15" s="1"/>
  <c r="Q189" i="15" s="1"/>
  <c r="R189" i="15" s="1"/>
  <c r="S189" i="15" s="1"/>
  <c r="C193" i="15"/>
  <c r="B193" i="15"/>
  <c r="H193" i="15"/>
  <c r="H197" i="15"/>
  <c r="D197" i="15"/>
  <c r="E197" i="15" s="1"/>
  <c r="B197" i="15"/>
  <c r="C224" i="15"/>
  <c r="C247" i="15"/>
  <c r="B247" i="15"/>
  <c r="I251" i="15"/>
  <c r="D251" i="15"/>
  <c r="E251" i="15" s="1"/>
  <c r="C185" i="15"/>
  <c r="E185" i="15" s="1"/>
  <c r="C195" i="15"/>
  <c r="D255" i="15"/>
  <c r="E255" i="15" s="1"/>
  <c r="C255" i="15"/>
  <c r="C257" i="15"/>
  <c r="I226" i="15"/>
  <c r="J226" i="15" s="1"/>
  <c r="H247" i="15"/>
  <c r="J251" i="15"/>
  <c r="K251" i="15" s="1"/>
  <c r="L251" i="15" s="1"/>
  <c r="M251" i="15" s="1"/>
  <c r="N251" i="15" s="1"/>
  <c r="O251" i="15" s="1"/>
  <c r="P251" i="15" s="1"/>
  <c r="Q251" i="15" s="1"/>
  <c r="R251" i="15" s="1"/>
  <c r="S251" i="15" s="1"/>
  <c r="B308" i="15"/>
  <c r="H308" i="15"/>
  <c r="C214" i="15"/>
  <c r="D267" i="15"/>
  <c r="C263" i="15"/>
  <c r="D261" i="15"/>
  <c r="D253" i="15"/>
  <c r="E253" i="15" s="1"/>
  <c r="C251" i="15"/>
  <c r="H249" i="15"/>
  <c r="D249" i="15"/>
  <c r="E249" i="15" s="1"/>
  <c r="C249" i="15"/>
  <c r="C261" i="15"/>
  <c r="I212" i="15"/>
  <c r="K226" i="15"/>
  <c r="L226" i="15" s="1"/>
  <c r="M226" i="15" s="1"/>
  <c r="N226" i="15" s="1"/>
  <c r="O226" i="15" s="1"/>
  <c r="P226" i="15" s="1"/>
  <c r="Q226" i="15" s="1"/>
  <c r="R226" i="15" s="1"/>
  <c r="S226" i="15" s="1"/>
  <c r="R228" i="15"/>
  <c r="S228" i="15" s="1"/>
  <c r="C245" i="15"/>
  <c r="B249" i="15"/>
  <c r="J212" i="15"/>
  <c r="K212" i="15" s="1"/>
  <c r="L212" i="15" s="1"/>
  <c r="M212" i="15" s="1"/>
  <c r="N212" i="15" s="1"/>
  <c r="O212" i="15" s="1"/>
  <c r="P212" i="15" s="1"/>
  <c r="Q212" i="15" s="1"/>
  <c r="R212" i="15" s="1"/>
  <c r="S212" i="15" s="1"/>
  <c r="C259" i="15"/>
  <c r="B259" i="15"/>
  <c r="D285" i="15"/>
  <c r="E285" i="15" s="1"/>
  <c r="C283" i="15"/>
  <c r="I285" i="15"/>
  <c r="P222" i="15"/>
  <c r="Q222" i="15" s="1"/>
  <c r="R222" i="15" s="1"/>
  <c r="S222" i="15" s="1"/>
  <c r="K224" i="15"/>
  <c r="L224" i="15" s="1"/>
  <c r="M224" i="15" s="1"/>
  <c r="N224" i="15" s="1"/>
  <c r="O224" i="15" s="1"/>
  <c r="P224" i="15" s="1"/>
  <c r="Q224" i="15" s="1"/>
  <c r="R224" i="15" s="1"/>
  <c r="S224" i="15" s="1"/>
  <c r="O228" i="15"/>
  <c r="P228" i="15" s="1"/>
  <c r="Q228" i="15" s="1"/>
  <c r="I230" i="15"/>
  <c r="J230" i="15" s="1"/>
  <c r="K230" i="15" s="1"/>
  <c r="L230" i="15" s="1"/>
  <c r="M230" i="15" s="1"/>
  <c r="N230" i="15" s="1"/>
  <c r="O230" i="15" s="1"/>
  <c r="P230" i="15" s="1"/>
  <c r="Q230" i="15" s="1"/>
  <c r="R230" i="15" s="1"/>
  <c r="S230" i="15" s="1"/>
  <c r="B232" i="15"/>
  <c r="B245" i="15"/>
  <c r="B257" i="15"/>
  <c r="J263" i="15"/>
  <c r="K263" i="15" s="1"/>
  <c r="L263" i="15" s="1"/>
  <c r="M263" i="15" s="1"/>
  <c r="N263" i="15" s="1"/>
  <c r="O263" i="15" s="1"/>
  <c r="P263" i="15" s="1"/>
  <c r="Q263" i="15" s="1"/>
  <c r="R263" i="15" s="1"/>
  <c r="S263" i="15" s="1"/>
  <c r="J277" i="15"/>
  <c r="K277" i="15" s="1"/>
  <c r="L277" i="15" s="1"/>
  <c r="M277" i="15" s="1"/>
  <c r="N277" i="15" s="1"/>
  <c r="O277" i="15" s="1"/>
  <c r="P277" i="15" s="1"/>
  <c r="Q277" i="15" s="1"/>
  <c r="R277" i="15" s="1"/>
  <c r="S277" i="15" s="1"/>
  <c r="D281" i="15"/>
  <c r="C281" i="15"/>
  <c r="B281" i="15"/>
  <c r="B283" i="15"/>
  <c r="I263" i="15"/>
  <c r="E289" i="15"/>
  <c r="B265" i="15"/>
  <c r="H265" i="15"/>
  <c r="C267" i="15"/>
  <c r="I277" i="15"/>
  <c r="H283" i="15"/>
  <c r="J285" i="15"/>
  <c r="K285" i="15" s="1"/>
  <c r="L285" i="15" s="1"/>
  <c r="M285" i="15" s="1"/>
  <c r="N285" i="15" s="1"/>
  <c r="O285" i="15" s="1"/>
  <c r="P285" i="15" s="1"/>
  <c r="Q285" i="15" s="1"/>
  <c r="R285" i="15" s="1"/>
  <c r="S285" i="15" s="1"/>
  <c r="I299" i="15"/>
  <c r="J299" i="15" s="1"/>
  <c r="K299" i="15" s="1"/>
  <c r="L299" i="15" s="1"/>
  <c r="M299" i="15" s="1"/>
  <c r="N299" i="15" s="1"/>
  <c r="O299" i="15" s="1"/>
  <c r="P299" i="15" s="1"/>
  <c r="Q299" i="15" s="1"/>
  <c r="R299" i="15" s="1"/>
  <c r="S299" i="15" s="1"/>
  <c r="C344" i="15"/>
  <c r="K222" i="15"/>
  <c r="L222" i="15" s="1"/>
  <c r="M222" i="15" s="1"/>
  <c r="N222" i="15" s="1"/>
  <c r="O222" i="15" s="1"/>
  <c r="J228" i="15"/>
  <c r="K228" i="15" s="1"/>
  <c r="L228" i="15" s="1"/>
  <c r="M228" i="15" s="1"/>
  <c r="N228" i="15" s="1"/>
  <c r="I253" i="15"/>
  <c r="J253" i="15" s="1"/>
  <c r="K253" i="15" s="1"/>
  <c r="L253" i="15" s="1"/>
  <c r="M253" i="15" s="1"/>
  <c r="N253" i="15" s="1"/>
  <c r="O253" i="15" s="1"/>
  <c r="P253" i="15" s="1"/>
  <c r="Q253" i="15" s="1"/>
  <c r="R253" i="15" s="1"/>
  <c r="S253" i="15" s="1"/>
  <c r="I261" i="15"/>
  <c r="D263" i="15"/>
  <c r="E263" i="15" s="1"/>
  <c r="C265" i="15"/>
  <c r="K267" i="15"/>
  <c r="L267" i="15" s="1"/>
  <c r="I267" i="15"/>
  <c r="J267" i="15" s="1"/>
  <c r="M267" i="15"/>
  <c r="N267" i="15" s="1"/>
  <c r="O267" i="15" s="1"/>
  <c r="P267" i="15" s="1"/>
  <c r="Q267" i="15" s="1"/>
  <c r="R267" i="15" s="1"/>
  <c r="S267" i="15" s="1"/>
  <c r="D277" i="15"/>
  <c r="E277" i="15" s="1"/>
  <c r="H281" i="15"/>
  <c r="D287" i="15"/>
  <c r="E287" i="15" s="1"/>
  <c r="K295" i="15"/>
  <c r="L295" i="15" s="1"/>
  <c r="M295" i="15" s="1"/>
  <c r="N295" i="15" s="1"/>
  <c r="O295" i="15" s="1"/>
  <c r="P295" i="15" s="1"/>
  <c r="Q295" i="15" s="1"/>
  <c r="R295" i="15" s="1"/>
  <c r="S295" i="15" s="1"/>
  <c r="J295" i="15"/>
  <c r="D299" i="15"/>
  <c r="J261" i="15"/>
  <c r="K261" i="15" s="1"/>
  <c r="L261" i="15" s="1"/>
  <c r="M261" i="15" s="1"/>
  <c r="N261" i="15" s="1"/>
  <c r="O261" i="15" s="1"/>
  <c r="P261" i="15" s="1"/>
  <c r="Q261" i="15" s="1"/>
  <c r="R261" i="15" s="1"/>
  <c r="S261" i="15" s="1"/>
  <c r="C291" i="15"/>
  <c r="B291" i="15"/>
  <c r="I310" i="15"/>
  <c r="J310" i="15" s="1"/>
  <c r="K310" i="15" s="1"/>
  <c r="L310" i="15" s="1"/>
  <c r="M310" i="15" s="1"/>
  <c r="N310" i="15" s="1"/>
  <c r="O310" i="15" s="1"/>
  <c r="P310" i="15" s="1"/>
  <c r="Q310" i="15" s="1"/>
  <c r="R310" i="15" s="1"/>
  <c r="S310" i="15" s="1"/>
  <c r="C295" i="15"/>
  <c r="E295" i="15" s="1"/>
  <c r="C299" i="15"/>
  <c r="J312" i="15"/>
  <c r="K312" i="15" s="1"/>
  <c r="L312" i="15" s="1"/>
  <c r="M312" i="15" s="1"/>
  <c r="N312" i="15" s="1"/>
  <c r="O312" i="15" s="1"/>
  <c r="P312" i="15" s="1"/>
  <c r="Q312" i="15" s="1"/>
  <c r="R312" i="15" s="1"/>
  <c r="S312" i="15" s="1"/>
  <c r="C324" i="15"/>
  <c r="D324" i="15"/>
  <c r="E324" i="15" s="1"/>
  <c r="C356" i="15"/>
  <c r="D350" i="15"/>
  <c r="E350" i="15" s="1"/>
  <c r="C350" i="15"/>
  <c r="D348" i="15"/>
  <c r="C348" i="15"/>
  <c r="D356" i="15"/>
  <c r="C346" i="15"/>
  <c r="C342" i="15"/>
  <c r="D360" i="15"/>
  <c r="C354" i="15"/>
  <c r="C360" i="15"/>
  <c r="C352" i="15"/>
  <c r="D344" i="15"/>
  <c r="K352" i="15"/>
  <c r="I289" i="15"/>
  <c r="J322" i="15"/>
  <c r="I322" i="15"/>
  <c r="D328" i="15"/>
  <c r="B330" i="15"/>
  <c r="B279" i="15"/>
  <c r="J289" i="15"/>
  <c r="K289" i="15" s="1"/>
  <c r="L289" i="15" s="1"/>
  <c r="M289" i="15" s="1"/>
  <c r="N289" i="15" s="1"/>
  <c r="O289" i="15" s="1"/>
  <c r="P289" i="15" s="1"/>
  <c r="Q289" i="15" s="1"/>
  <c r="R289" i="15" s="1"/>
  <c r="S289" i="15" s="1"/>
  <c r="I293" i="15"/>
  <c r="B297" i="15"/>
  <c r="D297" i="15" s="1"/>
  <c r="E297" i="15" s="1"/>
  <c r="I314" i="15"/>
  <c r="J314" i="15" s="1"/>
  <c r="K314" i="15" s="1"/>
  <c r="L314" i="15" s="1"/>
  <c r="M314" i="15"/>
  <c r="N314" i="15" s="1"/>
  <c r="O314" i="15" s="1"/>
  <c r="P314" i="15" s="1"/>
  <c r="Q314" i="15" s="1"/>
  <c r="R314" i="15" s="1"/>
  <c r="S314" i="15" s="1"/>
  <c r="H330" i="15"/>
  <c r="J293" i="15"/>
  <c r="K293" i="15"/>
  <c r="L293" i="15" s="1"/>
  <c r="M293" i="15" s="1"/>
  <c r="N293" i="15" s="1"/>
  <c r="O293" i="15" s="1"/>
  <c r="P293" i="15" s="1"/>
  <c r="Q293" i="15" s="1"/>
  <c r="R293" i="15" s="1"/>
  <c r="S293" i="15" s="1"/>
  <c r="C297" i="15"/>
  <c r="B320" i="15"/>
  <c r="C293" i="15"/>
  <c r="E293" i="15" s="1"/>
  <c r="K322" i="15"/>
  <c r="L322" i="15" s="1"/>
  <c r="M322" i="15" s="1"/>
  <c r="N322" i="15" s="1"/>
  <c r="O322" i="15" s="1"/>
  <c r="P322" i="15" s="1"/>
  <c r="Q322" i="15" s="1"/>
  <c r="R322" i="15" s="1"/>
  <c r="S322" i="15" s="1"/>
  <c r="R340" i="15"/>
  <c r="S340" i="15" s="1"/>
  <c r="H326" i="15"/>
  <c r="J342" i="15"/>
  <c r="K342" i="15" s="1"/>
  <c r="L342" i="15" s="1"/>
  <c r="M342" i="15" s="1"/>
  <c r="N342" i="15" s="1"/>
  <c r="O342" i="15" s="1"/>
  <c r="P342" i="15" s="1"/>
  <c r="Q342" i="15" s="1"/>
  <c r="R342" i="15" s="1"/>
  <c r="S342" i="15" s="1"/>
  <c r="D346" i="15"/>
  <c r="K346" i="15"/>
  <c r="L346" i="15" s="1"/>
  <c r="M346" i="15" s="1"/>
  <c r="N346" i="15" s="1"/>
  <c r="O346" i="15" s="1"/>
  <c r="P346" i="15" s="1"/>
  <c r="Q346" i="15" s="1"/>
  <c r="R346" i="15" s="1"/>
  <c r="S346" i="15" s="1"/>
  <c r="D354" i="15"/>
  <c r="E354" i="15" s="1"/>
  <c r="B328" i="15"/>
  <c r="I316" i="15"/>
  <c r="J316" i="15" s="1"/>
  <c r="K316" i="15" s="1"/>
  <c r="L316" i="15" s="1"/>
  <c r="M316" i="15" s="1"/>
  <c r="N316" i="15" s="1"/>
  <c r="O316" i="15" s="1"/>
  <c r="P316" i="15" s="1"/>
  <c r="Q316" i="15" s="1"/>
  <c r="R316" i="15" s="1"/>
  <c r="S316" i="15" s="1"/>
  <c r="I324" i="15"/>
  <c r="B326" i="15"/>
  <c r="C328" i="15"/>
  <c r="J340" i="15"/>
  <c r="K340" i="15" s="1"/>
  <c r="L340" i="15" s="1"/>
  <c r="M340" i="15" s="1"/>
  <c r="N340" i="15" s="1"/>
  <c r="O340" i="15" s="1"/>
  <c r="P340" i="15" s="1"/>
  <c r="Q340" i="15" s="1"/>
  <c r="D342" i="15"/>
  <c r="E342" i="15" s="1"/>
  <c r="L348" i="15"/>
  <c r="M348" i="15" s="1"/>
  <c r="N348" i="15" s="1"/>
  <c r="O348" i="15" s="1"/>
  <c r="P348" i="15" s="1"/>
  <c r="Q348" i="15" s="1"/>
  <c r="R348" i="15" s="1"/>
  <c r="S348" i="15" s="1"/>
  <c r="I352" i="15"/>
  <c r="I360" i="15"/>
  <c r="J324" i="15"/>
  <c r="K324" i="15" s="1"/>
  <c r="L324" i="15" s="1"/>
  <c r="M324" i="15" s="1"/>
  <c r="N324" i="15" s="1"/>
  <c r="O324" i="15" s="1"/>
  <c r="P324" i="15" s="1"/>
  <c r="Q324" i="15" s="1"/>
  <c r="R324" i="15" s="1"/>
  <c r="S324" i="15" s="1"/>
  <c r="J350" i="15"/>
  <c r="K350" i="15" s="1"/>
  <c r="L350" i="15" s="1"/>
  <c r="M350" i="15" s="1"/>
  <c r="N350" i="15" s="1"/>
  <c r="O350" i="15" s="1"/>
  <c r="P350" i="15" s="1"/>
  <c r="Q350" i="15" s="1"/>
  <c r="R350" i="15" s="1"/>
  <c r="S350" i="15" s="1"/>
  <c r="J352" i="15"/>
  <c r="I354" i="15"/>
  <c r="J360" i="15"/>
  <c r="K360" i="15" s="1"/>
  <c r="L360" i="15" s="1"/>
  <c r="M360" i="15" s="1"/>
  <c r="N360" i="15" s="1"/>
  <c r="O360" i="15" s="1"/>
  <c r="P360" i="15" s="1"/>
  <c r="Q360" i="15" s="1"/>
  <c r="R360" i="15" s="1"/>
  <c r="S360" i="15" s="1"/>
  <c r="I362" i="15"/>
  <c r="J362" i="15" s="1"/>
  <c r="K362" i="15" s="1"/>
  <c r="L362" i="15" s="1"/>
  <c r="M362" i="15" s="1"/>
  <c r="N362" i="15" s="1"/>
  <c r="O362" i="15" s="1"/>
  <c r="P362" i="15" s="1"/>
  <c r="Q362" i="15" s="1"/>
  <c r="R362" i="15" s="1"/>
  <c r="S362" i="15" s="1"/>
  <c r="J354" i="15"/>
  <c r="K354" i="15" s="1"/>
  <c r="L354" i="15" s="1"/>
  <c r="M354" i="15" s="1"/>
  <c r="N354" i="15" s="1"/>
  <c r="O354" i="15" s="1"/>
  <c r="P354" i="15" s="1"/>
  <c r="Q354" i="15" s="1"/>
  <c r="R354" i="15" s="1"/>
  <c r="S354" i="15" s="1"/>
  <c r="I358" i="15"/>
  <c r="J358" i="15" s="1"/>
  <c r="K358" i="15" s="1"/>
  <c r="L358" i="15" s="1"/>
  <c r="M358" i="15" s="1"/>
  <c r="N358" i="15" s="1"/>
  <c r="O358" i="15" s="1"/>
  <c r="P358" i="15" s="1"/>
  <c r="Q358" i="15" s="1"/>
  <c r="R358" i="15" s="1"/>
  <c r="S358" i="15" s="1"/>
  <c r="R344" i="15"/>
  <c r="S344" i="15" s="1"/>
  <c r="D352" i="15"/>
  <c r="E352" i="15" s="1"/>
  <c r="L352" i="15"/>
  <c r="M352" i="15" s="1"/>
  <c r="N352" i="15" s="1"/>
  <c r="O352" i="15" s="1"/>
  <c r="P352" i="15" s="1"/>
  <c r="Q352" i="15" s="1"/>
  <c r="R352" i="15" s="1"/>
  <c r="S352" i="15" s="1"/>
  <c r="J344" i="15"/>
  <c r="K344" i="15" s="1"/>
  <c r="L344" i="15" s="1"/>
  <c r="M344" i="15" s="1"/>
  <c r="N344" i="15" s="1"/>
  <c r="O344" i="15" s="1"/>
  <c r="P344" i="15" s="1"/>
  <c r="Q344" i="15" s="1"/>
  <c r="J356" i="15"/>
  <c r="K356" i="15" s="1"/>
  <c r="L356" i="15" s="1"/>
  <c r="M356" i="15" s="1"/>
  <c r="N356" i="15" s="1"/>
  <c r="O356" i="15" s="1"/>
  <c r="P356" i="15" s="1"/>
  <c r="Q356" i="15" s="1"/>
  <c r="R356" i="15" s="1"/>
  <c r="S356" i="15" s="1"/>
  <c r="J52" i="17"/>
  <c r="K54" i="17"/>
  <c r="H4" i="21"/>
  <c r="J4" i="21" s="1"/>
  <c r="H6" i="21"/>
  <c r="J6" i="21" s="1"/>
  <c r="J58" i="17"/>
  <c r="F31" i="26"/>
  <c r="J54" i="17"/>
  <c r="I21" i="21"/>
  <c r="I18" i="21"/>
  <c r="G12" i="26"/>
  <c r="Y15" i="21"/>
  <c r="G13" i="26"/>
  <c r="B41" i="26"/>
  <c r="E35" i="26"/>
  <c r="G14" i="26"/>
  <c r="G20" i="26"/>
  <c r="Y16" i="21"/>
  <c r="G8" i="26"/>
  <c r="G21" i="26"/>
  <c r="F36" i="26"/>
  <c r="Q26" i="21"/>
  <c r="R26" i="21" s="1"/>
  <c r="S26" i="21" s="1"/>
  <c r="R25" i="21"/>
  <c r="S25" i="21" s="1"/>
  <c r="G22" i="26"/>
  <c r="O18" i="21"/>
  <c r="Q24" i="21"/>
  <c r="R21" i="21"/>
  <c r="S21" i="21" s="1"/>
  <c r="G10" i="26"/>
  <c r="G16" i="26"/>
  <c r="F32" i="26"/>
  <c r="Q28" i="21"/>
  <c r="R28" i="21" s="1"/>
  <c r="S28" i="21" s="1"/>
  <c r="R23" i="21"/>
  <c r="S23" i="21" s="1"/>
  <c r="G17" i="26"/>
  <c r="F38" i="26"/>
  <c r="B54" i="26"/>
  <c r="E51" i="26"/>
  <c r="G5" i="26"/>
  <c r="G18" i="26"/>
  <c r="H25" i="26"/>
  <c r="G9" i="26"/>
  <c r="F28" i="26"/>
  <c r="F29" i="26" s="1"/>
  <c r="F33" i="26" s="1"/>
  <c r="E45" i="26"/>
  <c r="G6" i="26"/>
  <c r="E34" i="26"/>
  <c r="G7" i="12"/>
  <c r="D193" i="12"/>
  <c r="G9" i="12"/>
  <c r="C24" i="12"/>
  <c r="G11" i="12"/>
  <c r="J24" i="8"/>
  <c r="C20" i="12"/>
  <c r="C18" i="12"/>
  <c r="D249" i="12"/>
  <c r="B9" i="5"/>
  <c r="F10" i="12"/>
  <c r="E10" i="12"/>
  <c r="H8" i="17"/>
  <c r="H7" i="17"/>
  <c r="I24" i="8"/>
  <c r="D207" i="12"/>
  <c r="H5" i="17"/>
  <c r="F12" i="12"/>
  <c r="E12" i="12"/>
  <c r="B7" i="5"/>
  <c r="F8" i="12"/>
  <c r="E8" i="12"/>
  <c r="H6" i="17"/>
  <c r="H9" i="17"/>
  <c r="G6" i="12"/>
  <c r="B4" i="5"/>
  <c r="E5" i="12"/>
  <c r="F5" i="12"/>
  <c r="H13" i="17"/>
  <c r="B3" i="5"/>
  <c r="E4" i="12"/>
  <c r="F4" i="12"/>
  <c r="H2" i="17"/>
  <c r="D165" i="12"/>
  <c r="I2" i="17" l="1"/>
  <c r="F20" i="17"/>
  <c r="G20" i="17" s="1"/>
  <c r="C4" i="12"/>
  <c r="K3" i="5"/>
  <c r="J3" i="5"/>
  <c r="D3" i="5"/>
  <c r="O3" i="5" s="1"/>
  <c r="G3" i="5"/>
  <c r="I13" i="17"/>
  <c r="C5" i="12"/>
  <c r="K4" i="5"/>
  <c r="J4" i="5"/>
  <c r="D4" i="5"/>
  <c r="O4" i="5" s="1"/>
  <c r="G4" i="5"/>
  <c r="I9" i="17"/>
  <c r="I6" i="17"/>
  <c r="C8" i="12"/>
  <c r="K7" i="5"/>
  <c r="J7" i="5"/>
  <c r="D7" i="5"/>
  <c r="O7" i="5" s="1"/>
  <c r="G7" i="5"/>
  <c r="C12" i="12"/>
  <c r="I5" i="17"/>
  <c r="I7" i="17"/>
  <c r="I8" i="17"/>
  <c r="C10" i="12"/>
  <c r="K9" i="5"/>
  <c r="J9" i="5"/>
  <c r="D9" i="5"/>
  <c r="O9" i="5" s="1"/>
  <c r="G9" i="5"/>
  <c r="C133" i="12"/>
  <c r="C123" i="12"/>
  <c r="C113" i="12"/>
  <c r="E99" i="12"/>
  <c r="C101" i="12"/>
  <c r="C64" i="12"/>
  <c r="C135" i="12"/>
  <c r="C125" i="12"/>
  <c r="C115" i="12"/>
  <c r="G99" i="12"/>
  <c r="C103" i="12"/>
  <c r="C66" i="12"/>
  <c r="J20" i="8"/>
  <c r="J19" i="8"/>
  <c r="C139" i="12"/>
  <c r="C129" i="12"/>
  <c r="C119" i="12"/>
  <c r="K99" i="12"/>
  <c r="C70" i="12"/>
  <c r="C107" i="12"/>
  <c r="O16" i="11"/>
  <c r="N14" i="11"/>
  <c r="D124" i="15"/>
  <c r="AC236" i="7"/>
  <c r="Z237" i="7" s="1"/>
  <c r="AC251" i="7" s="1"/>
  <c r="AB236" i="7"/>
  <c r="AC238" i="7"/>
  <c r="I2" i="14"/>
  <c r="I1" i="14"/>
  <c r="R14" i="2"/>
  <c r="Q14" i="2"/>
  <c r="P14" i="2"/>
  <c r="O14" i="2"/>
  <c r="N14" i="2"/>
  <c r="F14" i="2"/>
  <c r="S14" i="2"/>
  <c r="E299" i="15"/>
  <c r="I265" i="15"/>
  <c r="J265" i="15" s="1"/>
  <c r="K265" i="15" s="1"/>
  <c r="L265" i="15" s="1"/>
  <c r="M265" i="15" s="1"/>
  <c r="N265" i="15" s="1"/>
  <c r="O265" i="15" s="1"/>
  <c r="P265" i="15" s="1"/>
  <c r="Q265" i="15" s="1"/>
  <c r="R265" i="15" s="1"/>
  <c r="S265" i="15" s="1"/>
  <c r="D257" i="15"/>
  <c r="E257" i="15" s="1"/>
  <c r="I257" i="15"/>
  <c r="J257" i="15" s="1"/>
  <c r="K257" i="15" s="1"/>
  <c r="L257" i="15" s="1"/>
  <c r="M257" i="15" s="1"/>
  <c r="N257" i="15" s="1"/>
  <c r="O257" i="15" s="1"/>
  <c r="P257" i="15" s="1"/>
  <c r="Q257" i="15" s="1"/>
  <c r="R257" i="15" s="1"/>
  <c r="S257" i="15" s="1"/>
  <c r="I247" i="15"/>
  <c r="J247" i="15" s="1"/>
  <c r="K247" i="15" s="1"/>
  <c r="L247" i="15" s="1"/>
  <c r="M247" i="15" s="1"/>
  <c r="N247" i="15" s="1"/>
  <c r="O247" i="15" s="1"/>
  <c r="P247" i="15" s="1"/>
  <c r="Q247" i="15" s="1"/>
  <c r="R247" i="15" s="1"/>
  <c r="S247" i="15" s="1"/>
  <c r="J193" i="15"/>
  <c r="K193" i="15" s="1"/>
  <c r="L193" i="15" s="1"/>
  <c r="M193" i="15" s="1"/>
  <c r="N193" i="15" s="1"/>
  <c r="O193" i="15" s="1"/>
  <c r="P193" i="15" s="1"/>
  <c r="Q193" i="15" s="1"/>
  <c r="R193" i="15" s="1"/>
  <c r="S193" i="15" s="1"/>
  <c r="I193" i="15"/>
  <c r="I177" i="15"/>
  <c r="J177" i="15" s="1"/>
  <c r="K177" i="15" s="1"/>
  <c r="L177" i="15" s="1"/>
  <c r="M177" i="15" s="1"/>
  <c r="N177" i="15" s="1"/>
  <c r="O177" i="15" s="1"/>
  <c r="P177" i="15" s="1"/>
  <c r="Q177" i="15" s="1"/>
  <c r="R177" i="15" s="1"/>
  <c r="S177" i="15" s="1"/>
  <c r="D177" i="15"/>
  <c r="E177" i="15" s="1"/>
  <c r="I39" i="15"/>
  <c r="J39" i="15" s="1"/>
  <c r="K39" i="15" s="1"/>
  <c r="L39" i="15" s="1"/>
  <c r="M39" i="15" s="1"/>
  <c r="N39" i="15" s="1"/>
  <c r="O39" i="15" s="1"/>
  <c r="P39" i="15" s="1"/>
  <c r="Q39" i="15" s="1"/>
  <c r="R39" i="15" s="1"/>
  <c r="S39" i="15" s="1"/>
  <c r="R3" i="14"/>
  <c r="S5" i="14"/>
  <c r="A211" i="12"/>
  <c r="A220" i="12"/>
  <c r="A213" i="12"/>
  <c r="A208" i="12"/>
  <c r="A219" i="12"/>
  <c r="A218" i="12"/>
  <c r="A215" i="12"/>
  <c r="A214" i="12"/>
  <c r="A209" i="12"/>
  <c r="A216" i="12"/>
  <c r="A210" i="12"/>
  <c r="A217" i="12"/>
  <c r="A212" i="12"/>
  <c r="B137" i="12"/>
  <c r="B127" i="12"/>
  <c r="B117" i="12"/>
  <c r="B105" i="12"/>
  <c r="B68" i="12"/>
  <c r="I97" i="12"/>
  <c r="B57" i="12"/>
  <c r="B79" i="12"/>
  <c r="B91" i="12" s="1"/>
  <c r="B35" i="12"/>
  <c r="B46" i="12"/>
  <c r="M18" i="11"/>
  <c r="L18" i="11"/>
  <c r="J20" i="11"/>
  <c r="K18" i="11"/>
  <c r="C53" i="10"/>
  <c r="C54" i="10" s="1"/>
  <c r="C55" i="10" s="1"/>
  <c r="C56" i="10" s="1"/>
  <c r="C57" i="10" s="1"/>
  <c r="C58" i="10" s="1"/>
  <c r="C51" i="10"/>
  <c r="O58" i="10"/>
  <c r="S13" i="2"/>
  <c r="T13" i="2" s="1"/>
  <c r="U13" i="2" s="1"/>
  <c r="R13" i="2"/>
  <c r="P13" i="2"/>
  <c r="F13" i="2"/>
  <c r="Q13" i="2"/>
  <c r="O13" i="2"/>
  <c r="N13" i="2"/>
  <c r="E26" i="2"/>
  <c r="T26" i="2"/>
  <c r="U26" i="2" s="1"/>
  <c r="I26" i="2"/>
  <c r="D62" i="2"/>
  <c r="K62" i="2"/>
  <c r="L62" i="2" s="1"/>
  <c r="E23" i="15" s="1"/>
  <c r="C62" i="2"/>
  <c r="Q62" i="2"/>
  <c r="R62" i="2" s="1"/>
  <c r="H23" i="15" s="1"/>
  <c r="I62" i="2"/>
  <c r="J62" i="2" s="1"/>
  <c r="D23" i="15" s="1"/>
  <c r="O62" i="2"/>
  <c r="P62" i="2" s="1"/>
  <c r="G23" i="15" s="1"/>
  <c r="G62" i="2"/>
  <c r="H62" i="2" s="1"/>
  <c r="C23" i="15" s="1"/>
  <c r="F62" i="2"/>
  <c r="M62" i="2"/>
  <c r="N62" i="2" s="1"/>
  <c r="F23" i="15" s="1"/>
  <c r="B7" i="25"/>
  <c r="H51" i="17"/>
  <c r="B29" i="21"/>
  <c r="F15" i="17"/>
  <c r="B59" i="2"/>
  <c r="G37" i="2"/>
  <c r="G36" i="2"/>
  <c r="I8" i="2"/>
  <c r="B27" i="4"/>
  <c r="G39" i="2"/>
  <c r="G40" i="2"/>
  <c r="E8" i="2"/>
  <c r="C5" i="6"/>
  <c r="D5" i="6" s="1"/>
  <c r="E5" i="6" s="1"/>
  <c r="F21" i="7"/>
  <c r="C16" i="6"/>
  <c r="G41" i="2"/>
  <c r="B6" i="21"/>
  <c r="B8" i="21" s="1"/>
  <c r="B2" i="21"/>
  <c r="B9" i="21" s="1"/>
  <c r="S28" i="2"/>
  <c r="R28" i="2"/>
  <c r="Q28" i="2"/>
  <c r="P28" i="2"/>
  <c r="N28" i="2"/>
  <c r="O28" i="2"/>
  <c r="E22" i="2"/>
  <c r="I22" i="2"/>
  <c r="T22" i="2"/>
  <c r="U22" i="2" s="1"/>
  <c r="F59" i="17"/>
  <c r="F50" i="17"/>
  <c r="H50" i="17" s="1"/>
  <c r="I50" i="17" s="1"/>
  <c r="F60" i="17"/>
  <c r="H60" i="17" s="1"/>
  <c r="I60" i="17" s="1"/>
  <c r="F14" i="17"/>
  <c r="F25" i="17"/>
  <c r="G34" i="2"/>
  <c r="G35" i="2"/>
  <c r="G31" i="2"/>
  <c r="L13" i="2"/>
  <c r="M13" i="2" s="1"/>
  <c r="E9" i="2"/>
  <c r="L7" i="2"/>
  <c r="L10" i="2"/>
  <c r="M10" i="2" s="1"/>
  <c r="C17" i="6"/>
  <c r="T9" i="2"/>
  <c r="U9" i="2" s="1"/>
  <c r="L11" i="2"/>
  <c r="M11" i="2" s="1"/>
  <c r="D1" i="4"/>
  <c r="L14" i="2"/>
  <c r="M14" i="2" s="1"/>
  <c r="G42" i="2"/>
  <c r="B42" i="2" s="1"/>
  <c r="I42" i="2" s="1"/>
  <c r="B60" i="2"/>
  <c r="L8" i="2"/>
  <c r="M8" i="2" s="1"/>
  <c r="L12" i="2"/>
  <c r="M12" i="2" s="1"/>
  <c r="C6" i="6"/>
  <c r="D6" i="6" s="1"/>
  <c r="E6" i="6" s="1"/>
  <c r="I9" i="2"/>
  <c r="N26" i="2"/>
  <c r="E224" i="15"/>
  <c r="L4" i="17"/>
  <c r="K4" i="17"/>
  <c r="J4" i="17"/>
  <c r="I291" i="15"/>
  <c r="J291" i="15"/>
  <c r="K291" i="15" s="1"/>
  <c r="L291" i="15" s="1"/>
  <c r="M291" i="15" s="1"/>
  <c r="N291" i="15" s="1"/>
  <c r="O291" i="15" s="1"/>
  <c r="P291" i="15" s="1"/>
  <c r="Q291" i="15" s="1"/>
  <c r="R291" i="15" s="1"/>
  <c r="S291" i="15" s="1"/>
  <c r="E29" i="2"/>
  <c r="T29" i="2"/>
  <c r="U29" i="2" s="1"/>
  <c r="O29" i="2"/>
  <c r="I29" i="2"/>
  <c r="F34" i="26"/>
  <c r="I20" i="21"/>
  <c r="I19" i="21"/>
  <c r="E346" i="15"/>
  <c r="D340" i="15"/>
  <c r="E340" i="15" s="1"/>
  <c r="I283" i="15"/>
  <c r="J283" i="15" s="1"/>
  <c r="K283" i="15" s="1"/>
  <c r="L283" i="15" s="1"/>
  <c r="M283" i="15" s="1"/>
  <c r="N283" i="15" s="1"/>
  <c r="O283" i="15" s="1"/>
  <c r="P283" i="15" s="1"/>
  <c r="Q283" i="15" s="1"/>
  <c r="R283" i="15" s="1"/>
  <c r="S283" i="15" s="1"/>
  <c r="I259" i="15"/>
  <c r="J259" i="15"/>
  <c r="K259" i="15" s="1"/>
  <c r="L259" i="15" s="1"/>
  <c r="M259" i="15" s="1"/>
  <c r="N259" i="15" s="1"/>
  <c r="O259" i="15" s="1"/>
  <c r="P259" i="15" s="1"/>
  <c r="Q259" i="15" s="1"/>
  <c r="R259" i="15" s="1"/>
  <c r="S259" i="15" s="1"/>
  <c r="J153" i="15"/>
  <c r="K153" i="15" s="1"/>
  <c r="L153" i="15" s="1"/>
  <c r="M153" i="15" s="1"/>
  <c r="N153" i="15" s="1"/>
  <c r="O153" i="15" s="1"/>
  <c r="P153" i="15" s="1"/>
  <c r="Q153" i="15" s="1"/>
  <c r="R153" i="15" s="1"/>
  <c r="S153" i="15" s="1"/>
  <c r="I153" i="15"/>
  <c r="D153" i="15"/>
  <c r="E153" i="15" s="1"/>
  <c r="E214" i="15"/>
  <c r="E181" i="15"/>
  <c r="I175" i="15"/>
  <c r="J175" i="15"/>
  <c r="K175" i="15" s="1"/>
  <c r="L175" i="15" s="1"/>
  <c r="M175" i="15" s="1"/>
  <c r="N175" i="15" s="1"/>
  <c r="O175" i="15" s="1"/>
  <c r="P175" i="15" s="1"/>
  <c r="Q175" i="15" s="1"/>
  <c r="R175" i="15" s="1"/>
  <c r="S175" i="15" s="1"/>
  <c r="A292" i="12"/>
  <c r="A298" i="12"/>
  <c r="A293" i="12"/>
  <c r="A286" i="12"/>
  <c r="A297" i="12"/>
  <c r="A290" i="12"/>
  <c r="A289" i="12"/>
  <c r="A296" i="12"/>
  <c r="A294" i="12"/>
  <c r="A287" i="12"/>
  <c r="A291" i="12"/>
  <c r="A288" i="12"/>
  <c r="A295" i="12"/>
  <c r="B138" i="12"/>
  <c r="B128" i="12"/>
  <c r="B118" i="12"/>
  <c r="B80" i="12"/>
  <c r="B92" i="12" s="1"/>
  <c r="B106" i="12"/>
  <c r="J97" i="12"/>
  <c r="B69" i="12"/>
  <c r="B58" i="12"/>
  <c r="B36" i="12"/>
  <c r="B47" i="12"/>
  <c r="A154" i="12"/>
  <c r="A161" i="12"/>
  <c r="A156" i="12"/>
  <c r="A155" i="12"/>
  <c r="A164" i="12"/>
  <c r="A157" i="12"/>
  <c r="A152" i="12"/>
  <c r="A163" i="12"/>
  <c r="A162" i="12"/>
  <c r="A159" i="12"/>
  <c r="A158" i="12"/>
  <c r="A153" i="12"/>
  <c r="A160" i="12"/>
  <c r="K40" i="8"/>
  <c r="F22" i="17"/>
  <c r="F30" i="17"/>
  <c r="G61" i="17"/>
  <c r="F26" i="17"/>
  <c r="F61" i="17"/>
  <c r="F31" i="17"/>
  <c r="F21" i="17"/>
  <c r="H21" i="17" s="1"/>
  <c r="I21" i="17" s="1"/>
  <c r="C9" i="6"/>
  <c r="D9" i="6" s="1"/>
  <c r="E9" i="6" s="1"/>
  <c r="B63" i="2"/>
  <c r="C20" i="6"/>
  <c r="E12" i="2"/>
  <c r="I12" i="2"/>
  <c r="E25" i="2"/>
  <c r="T25" i="2"/>
  <c r="U25" i="2" s="1"/>
  <c r="I25" i="2"/>
  <c r="B66" i="2"/>
  <c r="E15" i="2"/>
  <c r="T15" i="2"/>
  <c r="U15" i="2" s="1"/>
  <c r="C23" i="6"/>
  <c r="I15" i="2"/>
  <c r="D236" i="7"/>
  <c r="E236" i="7"/>
  <c r="E238" i="7" s="1"/>
  <c r="E17" i="2"/>
  <c r="T17" i="2"/>
  <c r="U17" i="2" s="1"/>
  <c r="I17" i="2"/>
  <c r="B15" i="25"/>
  <c r="B13" i="25"/>
  <c r="B11" i="25"/>
  <c r="B9" i="25"/>
  <c r="B12" i="25"/>
  <c r="B10" i="25"/>
  <c r="B16" i="25"/>
  <c r="B8" i="25"/>
  <c r="B14" i="25"/>
  <c r="E23" i="2"/>
  <c r="I23" i="2"/>
  <c r="T23" i="2"/>
  <c r="U23" i="2" s="1"/>
  <c r="O23" i="2"/>
  <c r="N9" i="2"/>
  <c r="B67" i="2"/>
  <c r="E16" i="2"/>
  <c r="T16" i="2"/>
  <c r="U16" i="2" s="1"/>
  <c r="I16" i="2"/>
  <c r="C24" i="6"/>
  <c r="N15" i="2"/>
  <c r="E64" i="2"/>
  <c r="S64" i="2"/>
  <c r="K12" i="17"/>
  <c r="J12" i="17"/>
  <c r="L12" i="17"/>
  <c r="C289" i="12"/>
  <c r="Q289" i="12" s="1"/>
  <c r="C225" i="12"/>
  <c r="Q225" i="12" s="1"/>
  <c r="C267" i="12"/>
  <c r="C239" i="12"/>
  <c r="Q239" i="12" s="1"/>
  <c r="C183" i="12"/>
  <c r="Q183" i="12" s="1"/>
  <c r="C197" i="12"/>
  <c r="Q197" i="12" s="1"/>
  <c r="C253" i="12"/>
  <c r="Q253" i="12" s="1"/>
  <c r="C169" i="12"/>
  <c r="Q169" i="12" s="1"/>
  <c r="C155" i="12"/>
  <c r="Q155" i="12" s="1"/>
  <c r="C211" i="12"/>
  <c r="Q211" i="12" s="1"/>
  <c r="I57" i="15"/>
  <c r="J57" i="15" s="1"/>
  <c r="K57" i="15" s="1"/>
  <c r="L57" i="15" s="1"/>
  <c r="M57" i="15" s="1"/>
  <c r="N57" i="15" s="1"/>
  <c r="O57" i="15" s="1"/>
  <c r="P57" i="15" s="1"/>
  <c r="Q57" i="15" s="1"/>
  <c r="R57" i="15" s="1"/>
  <c r="S57" i="15" s="1"/>
  <c r="K320" i="15"/>
  <c r="L320" i="15" s="1"/>
  <c r="M320" i="15" s="1"/>
  <c r="N320" i="15" s="1"/>
  <c r="O320" i="15" s="1"/>
  <c r="P320" i="15" s="1"/>
  <c r="Q320" i="15" s="1"/>
  <c r="R320" i="15" s="1"/>
  <c r="S320" i="15" s="1"/>
  <c r="J320" i="15"/>
  <c r="I320" i="15"/>
  <c r="K328" i="15"/>
  <c r="L328" i="15" s="1"/>
  <c r="M328" i="15" s="1"/>
  <c r="N328" i="15" s="1"/>
  <c r="O328" i="15" s="1"/>
  <c r="P328" i="15" s="1"/>
  <c r="Q328" i="15" s="1"/>
  <c r="R328" i="15" s="1"/>
  <c r="S328" i="15" s="1"/>
  <c r="J328" i="15"/>
  <c r="I328" i="15"/>
  <c r="R24" i="21"/>
  <c r="Q27" i="21"/>
  <c r="F35" i="26"/>
  <c r="F41" i="26" s="1"/>
  <c r="F45" i="26" s="1"/>
  <c r="I27" i="21"/>
  <c r="J18" i="21"/>
  <c r="J279" i="15"/>
  <c r="K279" i="15" s="1"/>
  <c r="L279" i="15" s="1"/>
  <c r="M279" i="15" s="1"/>
  <c r="N279" i="15" s="1"/>
  <c r="O279" i="15" s="1"/>
  <c r="P279" i="15" s="1"/>
  <c r="Q279" i="15" s="1"/>
  <c r="R279" i="15" s="1"/>
  <c r="S279" i="15" s="1"/>
  <c r="I279" i="15"/>
  <c r="E360" i="15"/>
  <c r="E348" i="15"/>
  <c r="D265" i="15"/>
  <c r="E265" i="15" s="1"/>
  <c r="I281" i="15"/>
  <c r="J281" i="15" s="1"/>
  <c r="K281" i="15" s="1"/>
  <c r="L281" i="15" s="1"/>
  <c r="M281" i="15" s="1"/>
  <c r="N281" i="15" s="1"/>
  <c r="O281" i="15" s="1"/>
  <c r="P281" i="15" s="1"/>
  <c r="Q281" i="15" s="1"/>
  <c r="R281" i="15" s="1"/>
  <c r="S281" i="15" s="1"/>
  <c r="K245" i="15"/>
  <c r="J245" i="15"/>
  <c r="I245" i="15"/>
  <c r="D245" i="15"/>
  <c r="E245" i="15" s="1"/>
  <c r="L245" i="15"/>
  <c r="M245" i="15" s="1"/>
  <c r="N245" i="15" s="1"/>
  <c r="O245" i="15" s="1"/>
  <c r="P245" i="15" s="1"/>
  <c r="Q245" i="15" s="1"/>
  <c r="R245" i="15" s="1"/>
  <c r="S245" i="15" s="1"/>
  <c r="D283" i="15"/>
  <c r="E283" i="15" s="1"/>
  <c r="D247" i="15"/>
  <c r="E247" i="15" s="1"/>
  <c r="D193" i="15"/>
  <c r="E193" i="15" s="1"/>
  <c r="J143" i="15"/>
  <c r="K143" i="15" s="1"/>
  <c r="L143" i="15" s="1"/>
  <c r="M143" i="15" s="1"/>
  <c r="N143" i="15" s="1"/>
  <c r="O143" i="15" s="1"/>
  <c r="P143" i="15" s="1"/>
  <c r="Q143" i="15" s="1"/>
  <c r="R143" i="15" s="1"/>
  <c r="S143" i="15" s="1"/>
  <c r="I143" i="15"/>
  <c r="D143" i="15"/>
  <c r="E143" i="15" s="1"/>
  <c r="E195" i="15"/>
  <c r="I159" i="15"/>
  <c r="J159" i="15"/>
  <c r="K159" i="15" s="1"/>
  <c r="L159" i="15" s="1"/>
  <c r="M159" i="15" s="1"/>
  <c r="N159" i="15" s="1"/>
  <c r="O159" i="15" s="1"/>
  <c r="P159" i="15" s="1"/>
  <c r="Q159" i="15" s="1"/>
  <c r="R159" i="15" s="1"/>
  <c r="S159" i="15" s="1"/>
  <c r="D159" i="15"/>
  <c r="E159" i="15" s="1"/>
  <c r="I51" i="15"/>
  <c r="J51" i="15" s="1"/>
  <c r="K51" i="15" s="1"/>
  <c r="L51" i="15" s="1"/>
  <c r="M51" i="15" s="1"/>
  <c r="N51" i="15" s="1"/>
  <c r="O51" i="15" s="1"/>
  <c r="P51" i="15" s="1"/>
  <c r="Q51" i="15" s="1"/>
  <c r="R51" i="15" s="1"/>
  <c r="S51" i="15" s="1"/>
  <c r="B513" i="13"/>
  <c r="C515" i="13"/>
  <c r="A178" i="12"/>
  <c r="A171" i="12"/>
  <c r="A177" i="12"/>
  <c r="A170" i="12"/>
  <c r="A167" i="12"/>
  <c r="A176" i="12"/>
  <c r="A174" i="12"/>
  <c r="A169" i="12"/>
  <c r="A168" i="12"/>
  <c r="A175" i="12"/>
  <c r="A172" i="12"/>
  <c r="A166" i="12"/>
  <c r="A173" i="12"/>
  <c r="B132" i="12"/>
  <c r="B122" i="12"/>
  <c r="B112" i="12"/>
  <c r="B100" i="12"/>
  <c r="D97" i="12"/>
  <c r="B74" i="12"/>
  <c r="B86" i="12" s="1"/>
  <c r="B41" i="12"/>
  <c r="B63" i="12"/>
  <c r="B30" i="12"/>
  <c r="B52" i="12"/>
  <c r="E4" i="8"/>
  <c r="E6" i="8" s="1"/>
  <c r="D4" i="8"/>
  <c r="B4" i="8" s="1"/>
  <c r="E24" i="2"/>
  <c r="T24" i="2"/>
  <c r="U24" i="2" s="1"/>
  <c r="I24" i="2"/>
  <c r="E22" i="7"/>
  <c r="E28" i="2"/>
  <c r="T28" i="2"/>
  <c r="U28" i="2" s="1"/>
  <c r="I28" i="2"/>
  <c r="F46" i="17"/>
  <c r="F23" i="17"/>
  <c r="F27" i="17"/>
  <c r="F24" i="17"/>
  <c r="F19" i="17"/>
  <c r="H19" i="17" s="1"/>
  <c r="I19" i="17" s="1"/>
  <c r="C22" i="6"/>
  <c r="I14" i="2"/>
  <c r="E14" i="2"/>
  <c r="C11" i="6"/>
  <c r="D11" i="6" s="1"/>
  <c r="E11" i="6" s="1"/>
  <c r="B65" i="2"/>
  <c r="T14" i="2"/>
  <c r="U14" i="2" s="1"/>
  <c r="O9" i="2"/>
  <c r="M24" i="23"/>
  <c r="Q23" i="23"/>
  <c r="P23" i="23"/>
  <c r="O23" i="23"/>
  <c r="O15" i="2"/>
  <c r="C272" i="12"/>
  <c r="C258" i="12"/>
  <c r="Q258" i="12" s="1"/>
  <c r="C294" i="12"/>
  <c r="Q294" i="12" s="1"/>
  <c r="D263" i="12"/>
  <c r="C244" i="12"/>
  <c r="Q244" i="12" s="1"/>
  <c r="C188" i="12"/>
  <c r="Q188" i="12" s="1"/>
  <c r="C202" i="12"/>
  <c r="Q202" i="12" s="1"/>
  <c r="C216" i="12"/>
  <c r="Q216" i="12" s="1"/>
  <c r="C230" i="12"/>
  <c r="Q230" i="12" s="1"/>
  <c r="C174" i="12"/>
  <c r="Q174" i="12" s="1"/>
  <c r="C160" i="12"/>
  <c r="Q160" i="12" s="1"/>
  <c r="D15" i="12"/>
  <c r="I32" i="2"/>
  <c r="E32" i="2"/>
  <c r="C32" i="2"/>
  <c r="B68" i="2"/>
  <c r="B32" i="2"/>
  <c r="H278" i="15"/>
  <c r="I278" i="15" s="1"/>
  <c r="J278" i="15" s="1"/>
  <c r="K278" i="15" s="1"/>
  <c r="L278" i="15" s="1"/>
  <c r="M278" i="15" s="1"/>
  <c r="N278" i="15" s="1"/>
  <c r="O278" i="15" s="1"/>
  <c r="P278" i="15" s="1"/>
  <c r="Q278" i="15" s="1"/>
  <c r="R278" i="15" s="1"/>
  <c r="S278" i="15" s="1"/>
  <c r="G277" i="15"/>
  <c r="F279" i="15" s="1"/>
  <c r="K330" i="15"/>
  <c r="L330" i="15" s="1"/>
  <c r="M330" i="15" s="1"/>
  <c r="N330" i="15" s="1"/>
  <c r="O330" i="15" s="1"/>
  <c r="P330" i="15" s="1"/>
  <c r="Q330" i="15" s="1"/>
  <c r="R330" i="15" s="1"/>
  <c r="S330" i="15" s="1"/>
  <c r="J330" i="15"/>
  <c r="I330" i="15"/>
  <c r="C358" i="15"/>
  <c r="I232" i="15"/>
  <c r="J232" i="15" s="1"/>
  <c r="K232" i="15" s="1"/>
  <c r="L232" i="15" s="1"/>
  <c r="M232" i="15" s="1"/>
  <c r="N232" i="15" s="1"/>
  <c r="O232" i="15" s="1"/>
  <c r="P232" i="15" s="1"/>
  <c r="Q232" i="15" s="1"/>
  <c r="R232" i="15" s="1"/>
  <c r="S232" i="15" s="1"/>
  <c r="D279" i="15"/>
  <c r="E279" i="15" s="1"/>
  <c r="D259" i="15"/>
  <c r="E259" i="15" s="1"/>
  <c r="I249" i="15"/>
  <c r="J249" i="15" s="1"/>
  <c r="K249" i="15" s="1"/>
  <c r="L249" i="15" s="1"/>
  <c r="M249" i="15" s="1"/>
  <c r="N249" i="15" s="1"/>
  <c r="O249" i="15" s="1"/>
  <c r="P249" i="15" s="1"/>
  <c r="Q249" i="15" s="1"/>
  <c r="R249" i="15" s="1"/>
  <c r="S249" i="15" s="1"/>
  <c r="I308" i="15"/>
  <c r="J308" i="15" s="1"/>
  <c r="K308" i="15" s="1"/>
  <c r="L308" i="15" s="1"/>
  <c r="M308" i="15" s="1"/>
  <c r="N308" i="15" s="1"/>
  <c r="O308" i="15" s="1"/>
  <c r="P308" i="15" s="1"/>
  <c r="Q308" i="15" s="1"/>
  <c r="R308" i="15" s="1"/>
  <c r="S308" i="15" s="1"/>
  <c r="I161" i="15"/>
  <c r="J161" i="15" s="1"/>
  <c r="K161" i="15" s="1"/>
  <c r="L161" i="15" s="1"/>
  <c r="M161" i="15" s="1"/>
  <c r="N161" i="15" s="1"/>
  <c r="O161" i="15" s="1"/>
  <c r="P161" i="15" s="1"/>
  <c r="Q161" i="15" s="1"/>
  <c r="R161" i="15" s="1"/>
  <c r="S161" i="15" s="1"/>
  <c r="I96" i="15"/>
  <c r="J96" i="15" s="1"/>
  <c r="K96" i="15" s="1"/>
  <c r="L96" i="15" s="1"/>
  <c r="M96" i="15" s="1"/>
  <c r="N96" i="15" s="1"/>
  <c r="O96" i="15" s="1"/>
  <c r="P96" i="15" s="1"/>
  <c r="Q96" i="15" s="1"/>
  <c r="R96" i="15" s="1"/>
  <c r="S96" i="15" s="1"/>
  <c r="I74" i="15"/>
  <c r="J74" i="15" s="1"/>
  <c r="K74" i="15" s="1"/>
  <c r="L74" i="15" s="1"/>
  <c r="M74" i="15" s="1"/>
  <c r="N74" i="15" s="1"/>
  <c r="O74" i="15" s="1"/>
  <c r="P74" i="15" s="1"/>
  <c r="Q74" i="15" s="1"/>
  <c r="R74" i="15" s="1"/>
  <c r="S74" i="15" s="1"/>
  <c r="E59" i="15"/>
  <c r="B134" i="12"/>
  <c r="B124" i="12"/>
  <c r="B114" i="12"/>
  <c r="B76" i="12"/>
  <c r="B88" i="12" s="1"/>
  <c r="F97" i="12"/>
  <c r="B102" i="12"/>
  <c r="B32" i="12"/>
  <c r="B54" i="12"/>
  <c r="B65" i="12"/>
  <c r="B43" i="12"/>
  <c r="G58" i="10"/>
  <c r="O7" i="2"/>
  <c r="N7" i="2"/>
  <c r="R7" i="2"/>
  <c r="P7" i="2"/>
  <c r="Q7" i="2"/>
  <c r="S7" i="2"/>
  <c r="T7" i="2" s="1"/>
  <c r="U7" i="2" s="1"/>
  <c r="R8" i="2"/>
  <c r="Q8" i="2"/>
  <c r="P8" i="2"/>
  <c r="O8" i="2"/>
  <c r="F8" i="2"/>
  <c r="S8" i="2"/>
  <c r="T8" i="2" s="1"/>
  <c r="U8" i="2" s="1"/>
  <c r="N8" i="2"/>
  <c r="P10" i="23"/>
  <c r="O10" i="23"/>
  <c r="M11" i="23"/>
  <c r="S20" i="2"/>
  <c r="R20" i="2"/>
  <c r="Q20" i="2"/>
  <c r="P20" i="2"/>
  <c r="N20" i="2"/>
  <c r="O20" i="2"/>
  <c r="F9" i="2"/>
  <c r="F15" i="2"/>
  <c r="D122" i="15"/>
  <c r="E122" i="15" s="1"/>
  <c r="C122" i="15"/>
  <c r="I326" i="15"/>
  <c r="J326" i="15" s="1"/>
  <c r="K326" i="15" s="1"/>
  <c r="L326" i="15" s="1"/>
  <c r="M326" i="15" s="1"/>
  <c r="N326" i="15" s="1"/>
  <c r="O326" i="15" s="1"/>
  <c r="P326" i="15" s="1"/>
  <c r="Q326" i="15" s="1"/>
  <c r="R326" i="15" s="1"/>
  <c r="S326" i="15" s="1"/>
  <c r="I297" i="15"/>
  <c r="J297" i="15" s="1"/>
  <c r="K297" i="15" s="1"/>
  <c r="L297" i="15" s="1"/>
  <c r="M297" i="15" s="1"/>
  <c r="N297" i="15" s="1"/>
  <c r="O297" i="15" s="1"/>
  <c r="P297" i="15" s="1"/>
  <c r="Q297" i="15" s="1"/>
  <c r="R297" i="15" s="1"/>
  <c r="S297" i="15" s="1"/>
  <c r="I24" i="21"/>
  <c r="J21" i="21"/>
  <c r="I17" i="21"/>
  <c r="I22" i="21"/>
  <c r="F37" i="26"/>
  <c r="F30" i="26"/>
  <c r="D362" i="15"/>
  <c r="E362" i="15" s="1"/>
  <c r="E281" i="15"/>
  <c r="E261" i="15"/>
  <c r="J197" i="15"/>
  <c r="K197" i="15"/>
  <c r="L197" i="15" s="1"/>
  <c r="M197" i="15" s="1"/>
  <c r="N197" i="15" s="1"/>
  <c r="O197" i="15" s="1"/>
  <c r="P197" i="15" s="1"/>
  <c r="Q197" i="15" s="1"/>
  <c r="R197" i="15" s="1"/>
  <c r="S197" i="15" s="1"/>
  <c r="I197" i="15"/>
  <c r="I45" i="15"/>
  <c r="J45" i="15" s="1"/>
  <c r="K45" i="15" s="1"/>
  <c r="L45" i="15" s="1"/>
  <c r="M45" i="15" s="1"/>
  <c r="N45" i="15" s="1"/>
  <c r="O45" i="15" s="1"/>
  <c r="P45" i="15" s="1"/>
  <c r="Q45" i="15" s="1"/>
  <c r="R45" i="15" s="1"/>
  <c r="S45" i="15" s="1"/>
  <c r="I61" i="15"/>
  <c r="J61" i="15" s="1"/>
  <c r="K61" i="15" s="1"/>
  <c r="L61" i="15" s="1"/>
  <c r="M61" i="15" s="1"/>
  <c r="N61" i="15" s="1"/>
  <c r="O61" i="15" s="1"/>
  <c r="P61" i="15" s="1"/>
  <c r="Q61" i="15" s="1"/>
  <c r="R61" i="15" s="1"/>
  <c r="S61" i="15" s="1"/>
  <c r="A205" i="12"/>
  <c r="A204" i="12"/>
  <c r="A201" i="12"/>
  <c r="A200" i="12"/>
  <c r="A195" i="12"/>
  <c r="A202" i="12"/>
  <c r="A196" i="12"/>
  <c r="A203" i="12"/>
  <c r="A198" i="12"/>
  <c r="A197" i="12"/>
  <c r="A206" i="12"/>
  <c r="A194" i="12"/>
  <c r="A199" i="12"/>
  <c r="F61" i="2"/>
  <c r="M61" i="2"/>
  <c r="N61" i="2" s="1"/>
  <c r="F22" i="15" s="1"/>
  <c r="D61" i="2"/>
  <c r="K61" i="2"/>
  <c r="L61" i="2" s="1"/>
  <c r="E22" i="15" s="1"/>
  <c r="C61" i="2"/>
  <c r="Q61" i="2"/>
  <c r="R61" i="2" s="1"/>
  <c r="H22" i="15" s="1"/>
  <c r="I61" i="2"/>
  <c r="J61" i="2" s="1"/>
  <c r="D22" i="15" s="1"/>
  <c r="O61" i="2"/>
  <c r="P61" i="2" s="1"/>
  <c r="G22" i="15" s="1"/>
  <c r="G61" i="2"/>
  <c r="H61" i="2" s="1"/>
  <c r="C22" i="15" s="1"/>
  <c r="E21" i="6"/>
  <c r="I21" i="6"/>
  <c r="J21" i="6"/>
  <c r="H21" i="6"/>
  <c r="P12" i="2"/>
  <c r="O12" i="2"/>
  <c r="N12" i="2"/>
  <c r="F12" i="2"/>
  <c r="S12" i="2"/>
  <c r="T12" i="2" s="1"/>
  <c r="U12" i="2" s="1"/>
  <c r="R12" i="2"/>
  <c r="Q12" i="2"/>
  <c r="N22" i="2"/>
  <c r="D25" i="21"/>
  <c r="B32" i="21"/>
  <c r="B31" i="21"/>
  <c r="W251" i="7"/>
  <c r="F340" i="15"/>
  <c r="F210" i="15"/>
  <c r="F74" i="15"/>
  <c r="F139" i="15"/>
  <c r="F106" i="15"/>
  <c r="F39" i="15"/>
  <c r="D1" i="14"/>
  <c r="I5" i="14" s="1"/>
  <c r="D49" i="2"/>
  <c r="D2" i="14" s="1"/>
  <c r="I6" i="14" s="1"/>
  <c r="O25" i="2"/>
  <c r="C291" i="12"/>
  <c r="Q291" i="12" s="1"/>
  <c r="C269" i="12"/>
  <c r="C213" i="12"/>
  <c r="Q213" i="12" s="1"/>
  <c r="C227" i="12"/>
  <c r="Q227" i="12" s="1"/>
  <c r="C255" i="12"/>
  <c r="Q255" i="12" s="1"/>
  <c r="C241" i="12"/>
  <c r="Q241" i="12" s="1"/>
  <c r="C185" i="12"/>
  <c r="Q185" i="12" s="1"/>
  <c r="C199" i="12"/>
  <c r="Q199" i="12" s="1"/>
  <c r="C171" i="12"/>
  <c r="Q171" i="12" s="1"/>
  <c r="C157" i="12"/>
  <c r="Q157" i="12" s="1"/>
  <c r="L3" i="17"/>
  <c r="J3" i="17"/>
  <c r="K3" i="17"/>
  <c r="E328" i="15"/>
  <c r="E267" i="15"/>
  <c r="J149" i="15"/>
  <c r="K149" i="15" s="1"/>
  <c r="L149" i="15" s="1"/>
  <c r="M149" i="15" s="1"/>
  <c r="N149" i="15" s="1"/>
  <c r="O149" i="15" s="1"/>
  <c r="P149" i="15" s="1"/>
  <c r="Q149" i="15" s="1"/>
  <c r="R149" i="15" s="1"/>
  <c r="S149" i="15" s="1"/>
  <c r="I149" i="15"/>
  <c r="D149" i="15"/>
  <c r="E149" i="15" s="1"/>
  <c r="I124" i="15"/>
  <c r="J124" i="15" s="1"/>
  <c r="K124" i="15" s="1"/>
  <c r="L124" i="15" s="1"/>
  <c r="M124" i="15" s="1"/>
  <c r="N124" i="15" s="1"/>
  <c r="O124" i="15" s="1"/>
  <c r="P124" i="15" s="1"/>
  <c r="Q124" i="15" s="1"/>
  <c r="R124" i="15" s="1"/>
  <c r="S124" i="15" s="1"/>
  <c r="E187" i="15"/>
  <c r="E94" i="15"/>
  <c r="E55" i="15"/>
  <c r="Z285" i="12"/>
  <c r="Z249" i="12"/>
  <c r="Z193" i="12"/>
  <c r="Z207" i="12"/>
  <c r="Z221" i="12"/>
  <c r="Z235" i="12"/>
  <c r="Z179" i="12"/>
  <c r="Z151" i="12"/>
  <c r="Z165" i="12"/>
  <c r="D58" i="2"/>
  <c r="K58" i="2"/>
  <c r="L58" i="2" s="1"/>
  <c r="E19" i="15" s="1"/>
  <c r="C58" i="2"/>
  <c r="Q58" i="2"/>
  <c r="R58" i="2" s="1"/>
  <c r="H19" i="15" s="1"/>
  <c r="I58" i="2"/>
  <c r="J58" i="2" s="1"/>
  <c r="D19" i="15" s="1"/>
  <c r="O58" i="2"/>
  <c r="P58" i="2" s="1"/>
  <c r="G19" i="15" s="1"/>
  <c r="G58" i="2"/>
  <c r="H58" i="2" s="1"/>
  <c r="C19" i="15" s="1"/>
  <c r="M58" i="2"/>
  <c r="N58" i="2" s="1"/>
  <c r="F19" i="15" s="1"/>
  <c r="F58" i="2"/>
  <c r="B51" i="2"/>
  <c r="D50" i="2"/>
  <c r="E15" i="6" s="1"/>
  <c r="L18" i="6" s="1"/>
  <c r="H246" i="15"/>
  <c r="I246" i="15" s="1"/>
  <c r="J246" i="15" s="1"/>
  <c r="K246" i="15" s="1"/>
  <c r="L246" i="15" s="1"/>
  <c r="M246" i="15" s="1"/>
  <c r="N246" i="15" s="1"/>
  <c r="O246" i="15" s="1"/>
  <c r="P246" i="15" s="1"/>
  <c r="Q246" i="15" s="1"/>
  <c r="R246" i="15" s="1"/>
  <c r="S246" i="15" s="1"/>
  <c r="G245" i="15"/>
  <c r="F247" i="15" s="1"/>
  <c r="E30" i="2"/>
  <c r="I30" i="2"/>
  <c r="T30" i="2"/>
  <c r="U30" i="2" s="1"/>
  <c r="E20" i="2"/>
  <c r="T20" i="2"/>
  <c r="U20" i="2" s="1"/>
  <c r="I20" i="2"/>
  <c r="K33" i="2"/>
  <c r="L33" i="2" s="1"/>
  <c r="M33" i="2" s="1"/>
  <c r="G33" i="2" s="1"/>
  <c r="O17" i="2"/>
  <c r="L11" i="17"/>
  <c r="K11" i="17"/>
  <c r="J11" i="17"/>
  <c r="C270" i="12"/>
  <c r="C200" i="12"/>
  <c r="Q200" i="12" s="1"/>
  <c r="C214" i="12"/>
  <c r="Q214" i="12" s="1"/>
  <c r="C256" i="12"/>
  <c r="Q256" i="12" s="1"/>
  <c r="C228" i="12"/>
  <c r="Q228" i="12" s="1"/>
  <c r="C172" i="12"/>
  <c r="Q172" i="12" s="1"/>
  <c r="C292" i="12"/>
  <c r="Q292" i="12" s="1"/>
  <c r="C242" i="12"/>
  <c r="Q242" i="12" s="1"/>
  <c r="C186" i="12"/>
  <c r="Q186" i="12" s="1"/>
  <c r="C158" i="12"/>
  <c r="Q158" i="12" s="1"/>
  <c r="I110" i="15"/>
  <c r="J110" i="15" s="1"/>
  <c r="K110" i="15" s="1"/>
  <c r="L110" i="15" s="1"/>
  <c r="M110" i="15" s="1"/>
  <c r="N110" i="15" s="1"/>
  <c r="O110" i="15" s="1"/>
  <c r="P110" i="15" s="1"/>
  <c r="Q110" i="15" s="1"/>
  <c r="R110" i="15" s="1"/>
  <c r="S110" i="15" s="1"/>
  <c r="E344" i="15"/>
  <c r="E356" i="15"/>
  <c r="D358" i="15"/>
  <c r="E358" i="15" s="1"/>
  <c r="D326" i="15"/>
  <c r="D320" i="15"/>
  <c r="D291" i="15"/>
  <c r="E291" i="15" s="1"/>
  <c r="I145" i="15"/>
  <c r="J145" i="15" s="1"/>
  <c r="K145" i="15" s="1"/>
  <c r="L145" i="15" s="1"/>
  <c r="M145" i="15" s="1"/>
  <c r="N145" i="15" s="1"/>
  <c r="O145" i="15" s="1"/>
  <c r="P145" i="15" s="1"/>
  <c r="Q145" i="15" s="1"/>
  <c r="R145" i="15" s="1"/>
  <c r="S145" i="15" s="1"/>
  <c r="I210" i="15"/>
  <c r="J210" i="15" s="1"/>
  <c r="K210" i="15" s="1"/>
  <c r="L210" i="15" s="1"/>
  <c r="M210" i="15" s="1"/>
  <c r="N210" i="15" s="1"/>
  <c r="O210" i="15" s="1"/>
  <c r="P210" i="15" s="1"/>
  <c r="Q210" i="15" s="1"/>
  <c r="R210" i="15" s="1"/>
  <c r="S210" i="15" s="1"/>
  <c r="J183" i="15"/>
  <c r="K183" i="15" s="1"/>
  <c r="L183" i="15" s="1"/>
  <c r="M183" i="15" s="1"/>
  <c r="N183" i="15" s="1"/>
  <c r="O183" i="15" s="1"/>
  <c r="P183" i="15" s="1"/>
  <c r="Q183" i="15" s="1"/>
  <c r="R183" i="15" s="1"/>
  <c r="S183" i="15" s="1"/>
  <c r="I183" i="15"/>
  <c r="E175" i="15"/>
  <c r="D57" i="15"/>
  <c r="J92" i="15"/>
  <c r="K92" i="15" s="1"/>
  <c r="L92" i="15" s="1"/>
  <c r="M92" i="15" s="1"/>
  <c r="N92" i="15" s="1"/>
  <c r="O92" i="15" s="1"/>
  <c r="P92" i="15" s="1"/>
  <c r="Q92" i="15" s="1"/>
  <c r="R92" i="15" s="1"/>
  <c r="S92" i="15" s="1"/>
  <c r="I92" i="15"/>
  <c r="H97" i="12"/>
  <c r="B136" i="12"/>
  <c r="B126" i="12"/>
  <c r="B116" i="12"/>
  <c r="B104" i="12"/>
  <c r="B67" i="12"/>
  <c r="B78" i="12"/>
  <c r="B90" i="12" s="1"/>
  <c r="B45" i="12"/>
  <c r="B34" i="12"/>
  <c r="B56" i="12"/>
  <c r="A224" i="12"/>
  <c r="A231" i="12"/>
  <c r="A226" i="12"/>
  <c r="A225" i="12"/>
  <c r="A234" i="12"/>
  <c r="A227" i="12"/>
  <c r="A222" i="12"/>
  <c r="A233" i="12"/>
  <c r="A232" i="12"/>
  <c r="A229" i="12"/>
  <c r="A228" i="12"/>
  <c r="A223" i="12"/>
  <c r="A230" i="12"/>
  <c r="E11" i="14"/>
  <c r="F12" i="14"/>
  <c r="E13" i="14"/>
  <c r="E14" i="14" s="1"/>
  <c r="E15" i="14" s="1"/>
  <c r="E16" i="14" s="1"/>
  <c r="E17" i="14" s="1"/>
  <c r="E18" i="14" s="1"/>
  <c r="E19" i="14" s="1"/>
  <c r="E20" i="14" s="1"/>
  <c r="E21" i="14" s="1"/>
  <c r="E22" i="14" s="1"/>
  <c r="E23" i="14" s="1"/>
  <c r="E24" i="14" s="1"/>
  <c r="E25" i="14" s="1"/>
  <c r="E26" i="14" s="1"/>
  <c r="E27" i="14" s="1"/>
  <c r="W16" i="11"/>
  <c r="V16" i="11"/>
  <c r="U16" i="11"/>
  <c r="T16" i="11"/>
  <c r="S16" i="11"/>
  <c r="Q16" i="11"/>
  <c r="X16" i="11"/>
  <c r="P16" i="11"/>
  <c r="R16" i="11"/>
  <c r="T321" i="7"/>
  <c r="S314" i="7"/>
  <c r="S315" i="7" s="1"/>
  <c r="S316" i="7" s="1"/>
  <c r="S317" i="7" s="1"/>
  <c r="S318" i="7" s="1"/>
  <c r="S319" i="7" s="1"/>
  <c r="S320" i="7" s="1"/>
  <c r="S321" i="7" s="1"/>
  <c r="S322" i="7" s="1"/>
  <c r="T310" i="7"/>
  <c r="T299" i="7"/>
  <c r="T288" i="7"/>
  <c r="T285" i="7"/>
  <c r="S278" i="7"/>
  <c r="S279" i="7" s="1"/>
  <c r="S280" i="7" s="1"/>
  <c r="S281" i="7" s="1"/>
  <c r="S282" i="7" s="1"/>
  <c r="S283" i="7" s="1"/>
  <c r="S284" i="7" s="1"/>
  <c r="S285" i="7" s="1"/>
  <c r="S286" i="7" s="1"/>
  <c r="T274" i="7"/>
  <c r="T263" i="7"/>
  <c r="T252" i="7"/>
  <c r="T249" i="7"/>
  <c r="T322" i="7"/>
  <c r="T311" i="7"/>
  <c r="T300" i="7"/>
  <c r="T289" i="7"/>
  <c r="T286" i="7"/>
  <c r="T275" i="7"/>
  <c r="T264" i="7"/>
  <c r="T253" i="7"/>
  <c r="T250" i="7"/>
  <c r="T242" i="7"/>
  <c r="T315" i="7"/>
  <c r="T312" i="7"/>
  <c r="S305" i="7"/>
  <c r="S306" i="7" s="1"/>
  <c r="S307" i="7" s="1"/>
  <c r="S308" i="7" s="1"/>
  <c r="S309" i="7" s="1"/>
  <c r="S310" i="7" s="1"/>
  <c r="S311" i="7" s="1"/>
  <c r="S312" i="7" s="1"/>
  <c r="S313" i="7" s="1"/>
  <c r="T301" i="7"/>
  <c r="T290" i="7"/>
  <c r="T279" i="7"/>
  <c r="T276" i="7"/>
  <c r="S269" i="7"/>
  <c r="S270" i="7" s="1"/>
  <c r="S271" i="7" s="1"/>
  <c r="S272" i="7" s="1"/>
  <c r="S273" i="7" s="1"/>
  <c r="S274" i="7" s="1"/>
  <c r="S275" i="7" s="1"/>
  <c r="S276" i="7" s="1"/>
  <c r="S277" i="7" s="1"/>
  <c r="T265" i="7"/>
  <c r="T254" i="7"/>
  <c r="T243" i="7"/>
  <c r="S242" i="7"/>
  <c r="S243" i="7" s="1"/>
  <c r="S244" i="7" s="1"/>
  <c r="S245" i="7" s="1"/>
  <c r="S246" i="7" s="1"/>
  <c r="S247" i="7" s="1"/>
  <c r="S248" i="7" s="1"/>
  <c r="S249" i="7" s="1"/>
  <c r="S250" i="7" s="1"/>
  <c r="T316" i="7"/>
  <c r="T313" i="7"/>
  <c r="T302" i="7"/>
  <c r="T291" i="7"/>
  <c r="T280" i="7"/>
  <c r="T277" i="7"/>
  <c r="T266" i="7"/>
  <c r="T255" i="7"/>
  <c r="T244" i="7"/>
  <c r="T317" i="7"/>
  <c r="T306" i="7"/>
  <c r="T303" i="7"/>
  <c r="S296" i="7"/>
  <c r="S297" i="7" s="1"/>
  <c r="S298" i="7" s="1"/>
  <c r="S299" i="7" s="1"/>
  <c r="S300" i="7" s="1"/>
  <c r="S301" i="7" s="1"/>
  <c r="S302" i="7" s="1"/>
  <c r="S303" i="7" s="1"/>
  <c r="S304" i="7" s="1"/>
  <c r="T292" i="7"/>
  <c r="T281" i="7"/>
  <c r="T270" i="7"/>
  <c r="T267" i="7"/>
  <c r="S260" i="7"/>
  <c r="S261" i="7" s="1"/>
  <c r="S262" i="7" s="1"/>
  <c r="S263" i="7" s="1"/>
  <c r="S264" i="7" s="1"/>
  <c r="S265" i="7" s="1"/>
  <c r="S266" i="7" s="1"/>
  <c r="S267" i="7" s="1"/>
  <c r="S268" i="7" s="1"/>
  <c r="T256" i="7"/>
  <c r="T245" i="7"/>
  <c r="T318" i="7"/>
  <c r="T307" i="7"/>
  <c r="T304" i="7"/>
  <c r="T293" i="7"/>
  <c r="T282" i="7"/>
  <c r="T271" i="7"/>
  <c r="T268" i="7"/>
  <c r="T257" i="7"/>
  <c r="T246" i="7"/>
  <c r="T236" i="7"/>
  <c r="S323" i="7"/>
  <c r="T319" i="7"/>
  <c r="T308" i="7"/>
  <c r="T297" i="7"/>
  <c r="T294" i="7"/>
  <c r="S287" i="7"/>
  <c r="S288" i="7" s="1"/>
  <c r="S289" i="7" s="1"/>
  <c r="S290" i="7" s="1"/>
  <c r="S291" i="7" s="1"/>
  <c r="S292" i="7" s="1"/>
  <c r="S293" i="7" s="1"/>
  <c r="S294" i="7" s="1"/>
  <c r="S295" i="7" s="1"/>
  <c r="T283" i="7"/>
  <c r="T272" i="7"/>
  <c r="T261" i="7"/>
  <c r="T258" i="7"/>
  <c r="S251" i="7"/>
  <c r="S252" i="7" s="1"/>
  <c r="S253" i="7" s="1"/>
  <c r="S254" i="7" s="1"/>
  <c r="S255" i="7" s="1"/>
  <c r="S256" i="7" s="1"/>
  <c r="S257" i="7" s="1"/>
  <c r="S258" i="7" s="1"/>
  <c r="S259" i="7" s="1"/>
  <c r="T247" i="7"/>
  <c r="T309" i="7"/>
  <c r="T295" i="7"/>
  <c r="T273" i="7"/>
  <c r="T259" i="7"/>
  <c r="T320" i="7"/>
  <c r="T298" i="7"/>
  <c r="S239" i="7"/>
  <c r="T284" i="7"/>
  <c r="T262" i="7"/>
  <c r="T248" i="7"/>
  <c r="E27" i="2"/>
  <c r="T27" i="2"/>
  <c r="U27" i="2" s="1"/>
  <c r="I27" i="2"/>
  <c r="E19" i="2"/>
  <c r="T19" i="2"/>
  <c r="U19" i="2" s="1"/>
  <c r="I19" i="2"/>
  <c r="E18" i="2"/>
  <c r="T18" i="2"/>
  <c r="U18" i="2" s="1"/>
  <c r="I18" i="2"/>
  <c r="E15" i="7"/>
  <c r="D15" i="7"/>
  <c r="E17" i="7"/>
  <c r="E21" i="7" s="1"/>
  <c r="B16" i="7"/>
  <c r="F22" i="7" s="1"/>
  <c r="H19" i="6"/>
  <c r="K19" i="6" s="1"/>
  <c r="F19" i="6"/>
  <c r="E19" i="6"/>
  <c r="J19" i="6"/>
  <c r="I19" i="6"/>
  <c r="G46" i="17"/>
  <c r="H41" i="17"/>
  <c r="I41" i="17" s="1"/>
  <c r="G36" i="17"/>
  <c r="H31" i="17"/>
  <c r="I31" i="17" s="1"/>
  <c r="G30" i="17"/>
  <c r="H24" i="17"/>
  <c r="I24" i="17" s="1"/>
  <c r="G23" i="17"/>
  <c r="G60" i="17"/>
  <c r="H47" i="17"/>
  <c r="I47" i="17" s="1"/>
  <c r="G41" i="17"/>
  <c r="H37" i="17"/>
  <c r="I37" i="17" s="1"/>
  <c r="G31" i="17"/>
  <c r="H25" i="17"/>
  <c r="I25" i="17" s="1"/>
  <c r="G24" i="17"/>
  <c r="G17" i="17"/>
  <c r="G59" i="17"/>
  <c r="H45" i="17"/>
  <c r="I45" i="17" s="1"/>
  <c r="H40" i="17"/>
  <c r="I40" i="17" s="1"/>
  <c r="H48" i="17"/>
  <c r="I48" i="17" s="1"/>
  <c r="G45" i="17"/>
  <c r="H49" i="17"/>
  <c r="I49" i="17" s="1"/>
  <c r="H44" i="17"/>
  <c r="I44" i="17" s="1"/>
  <c r="G39" i="17"/>
  <c r="H34" i="17"/>
  <c r="I34" i="17" s="1"/>
  <c r="G26" i="17"/>
  <c r="H23" i="17"/>
  <c r="I23" i="17" s="1"/>
  <c r="H14" i="17"/>
  <c r="I14" i="17" s="1"/>
  <c r="G49" i="17"/>
  <c r="G47" i="17"/>
  <c r="G44" i="17"/>
  <c r="H42" i="17"/>
  <c r="I42" i="17" s="1"/>
  <c r="G37" i="17"/>
  <c r="G34" i="17"/>
  <c r="H32" i="17"/>
  <c r="I32" i="17" s="1"/>
  <c r="H29" i="17"/>
  <c r="I29" i="17" s="1"/>
  <c r="H18" i="17"/>
  <c r="I18" i="17" s="1"/>
  <c r="G14" i="17"/>
  <c r="H59" i="17"/>
  <c r="I59" i="17" s="1"/>
  <c r="G42" i="17"/>
  <c r="G32" i="17"/>
  <c r="G29" i="17"/>
  <c r="H27" i="17"/>
  <c r="I27" i="17" s="1"/>
  <c r="G18" i="17"/>
  <c r="H15" i="17"/>
  <c r="I15" i="17" s="1"/>
  <c r="H39" i="17"/>
  <c r="I39" i="17" s="1"/>
  <c r="H36" i="17"/>
  <c r="I36" i="17" s="1"/>
  <c r="H28" i="17"/>
  <c r="I28" i="17" s="1"/>
  <c r="H46" i="17"/>
  <c r="I46" i="17" s="1"/>
  <c r="H38" i="17"/>
  <c r="I38" i="17" s="1"/>
  <c r="H33" i="17"/>
  <c r="I33" i="17" s="1"/>
  <c r="G28" i="17"/>
  <c r="G38" i="17"/>
  <c r="H35" i="17"/>
  <c r="I35" i="17" s="1"/>
  <c r="G33" i="17"/>
  <c r="H30" i="17"/>
  <c r="I30" i="17" s="1"/>
  <c r="G25" i="17"/>
  <c r="G35" i="17"/>
  <c r="G27" i="17"/>
  <c r="G15" i="17"/>
  <c r="H22" i="17"/>
  <c r="I22" i="17" s="1"/>
  <c r="G48" i="17"/>
  <c r="G40" i="17"/>
  <c r="G22" i="17"/>
  <c r="H17" i="17"/>
  <c r="I17" i="17" s="1"/>
  <c r="H43" i="17"/>
  <c r="I43" i="17" s="1"/>
  <c r="G43" i="17"/>
  <c r="H26" i="17"/>
  <c r="I26" i="17" s="1"/>
  <c r="G21" i="17"/>
  <c r="D7" i="14"/>
  <c r="H309" i="15"/>
  <c r="S11" i="2"/>
  <c r="T11" i="2" s="1"/>
  <c r="U11" i="2" s="1"/>
  <c r="R11" i="2"/>
  <c r="Q11" i="2"/>
  <c r="P11" i="2"/>
  <c r="N11" i="2"/>
  <c r="F11" i="2"/>
  <c r="O11" i="2"/>
  <c r="E21" i="2"/>
  <c r="T21" i="2"/>
  <c r="U21" i="2" s="1"/>
  <c r="O21" i="2"/>
  <c r="I21" i="2"/>
  <c r="N27" i="2"/>
  <c r="O26" i="2"/>
  <c r="L10" i="17"/>
  <c r="K10" i="17"/>
  <c r="J10" i="17"/>
  <c r="D285" i="12"/>
  <c r="I32" i="8"/>
  <c r="G5" i="12"/>
  <c r="G8" i="12"/>
  <c r="D235" i="12"/>
  <c r="D221" i="12"/>
  <c r="D179" i="12"/>
  <c r="C21" i="12"/>
  <c r="G4" i="12"/>
  <c r="G10" i="12"/>
  <c r="G12" i="12"/>
  <c r="D151" i="12"/>
  <c r="C22" i="12"/>
  <c r="C17" i="12"/>
  <c r="C19" i="12"/>
  <c r="J32" i="8"/>
  <c r="C23" i="12"/>
  <c r="H20" i="17" l="1"/>
  <c r="I20" i="17" s="1"/>
  <c r="G50" i="17"/>
  <c r="G11" i="5"/>
  <c r="C138" i="12"/>
  <c r="C128" i="12"/>
  <c r="C118" i="12"/>
  <c r="C106" i="12"/>
  <c r="J99" i="12"/>
  <c r="C69" i="12"/>
  <c r="J27" i="8"/>
  <c r="J28" i="8"/>
  <c r="C134" i="12"/>
  <c r="C124" i="12"/>
  <c r="C114" i="12"/>
  <c r="F99" i="12"/>
  <c r="C102" i="12"/>
  <c r="C65" i="12"/>
  <c r="C132" i="12"/>
  <c r="C122" i="12"/>
  <c r="C112" i="12"/>
  <c r="C100" i="12"/>
  <c r="D99" i="12"/>
  <c r="I27" i="12"/>
  <c r="H27" i="12"/>
  <c r="O27" i="12"/>
  <c r="G27" i="12"/>
  <c r="C63" i="12"/>
  <c r="N27" i="12"/>
  <c r="F27" i="12"/>
  <c r="M27" i="12"/>
  <c r="E27" i="12"/>
  <c r="K27" i="12"/>
  <c r="J27" i="12"/>
  <c r="L27" i="12"/>
  <c r="D27" i="12"/>
  <c r="C137" i="12"/>
  <c r="C127" i="12"/>
  <c r="C117" i="12"/>
  <c r="C105" i="12"/>
  <c r="C68" i="12"/>
  <c r="I99" i="12"/>
  <c r="X7" i="12"/>
  <c r="C136" i="12"/>
  <c r="C126" i="12"/>
  <c r="C116" i="12"/>
  <c r="C104" i="12"/>
  <c r="C67" i="12"/>
  <c r="H99" i="12"/>
  <c r="B251" i="8"/>
  <c r="B227" i="8"/>
  <c r="B27" i="8"/>
  <c r="B195" i="8"/>
  <c r="B107" i="8"/>
  <c r="B43" i="8"/>
  <c r="B235" i="8"/>
  <c r="B155" i="8"/>
  <c r="B11" i="8"/>
  <c r="B123" i="8"/>
  <c r="B67" i="8"/>
  <c r="B307" i="8"/>
  <c r="B163" i="8"/>
  <c r="B171" i="8"/>
  <c r="B323" i="8"/>
  <c r="B315" i="8"/>
  <c r="B291" i="8"/>
  <c r="B211" i="8"/>
  <c r="B147" i="8"/>
  <c r="B99" i="8"/>
  <c r="B59" i="8"/>
  <c r="B35" i="8"/>
  <c r="B299" i="8"/>
  <c r="B275" i="8"/>
  <c r="B115" i="8"/>
  <c r="B219" i="8"/>
  <c r="B83" i="8"/>
  <c r="B203" i="8"/>
  <c r="B283" i="8"/>
  <c r="B259" i="8"/>
  <c r="B75" i="8"/>
  <c r="B139" i="8"/>
  <c r="B19" i="8"/>
  <c r="B179" i="8"/>
  <c r="B267" i="8"/>
  <c r="B243" i="8"/>
  <c r="B51" i="8"/>
  <c r="B91" i="8"/>
  <c r="B131" i="8"/>
  <c r="B187" i="8"/>
  <c r="L21" i="17"/>
  <c r="J21" i="17"/>
  <c r="K21" i="17"/>
  <c r="K19" i="17"/>
  <c r="J19" i="17"/>
  <c r="L19" i="17"/>
  <c r="K50" i="17"/>
  <c r="J50" i="17"/>
  <c r="L50" i="17"/>
  <c r="I33" i="2"/>
  <c r="C33" i="2"/>
  <c r="E33" i="2"/>
  <c r="B33" i="2"/>
  <c r="L31" i="17"/>
  <c r="K31" i="17"/>
  <c r="J31" i="17"/>
  <c r="E61" i="2"/>
  <c r="S61" i="2"/>
  <c r="J26" i="17"/>
  <c r="L26" i="17"/>
  <c r="K26" i="17"/>
  <c r="L28" i="17"/>
  <c r="K28" i="17"/>
  <c r="J28" i="17"/>
  <c r="K40" i="17"/>
  <c r="J40" i="17"/>
  <c r="L40" i="17"/>
  <c r="J37" i="17"/>
  <c r="L37" i="17"/>
  <c r="K37" i="17"/>
  <c r="J292" i="12"/>
  <c r="I292" i="12"/>
  <c r="H292" i="12"/>
  <c r="O292" i="12"/>
  <c r="G292" i="12"/>
  <c r="N292" i="12"/>
  <c r="F292" i="12"/>
  <c r="M292" i="12"/>
  <c r="E292" i="12"/>
  <c r="L292" i="12"/>
  <c r="D292" i="12"/>
  <c r="K292" i="12"/>
  <c r="M157" i="12"/>
  <c r="E157" i="12"/>
  <c r="L157" i="12"/>
  <c r="D157" i="12"/>
  <c r="K157" i="12"/>
  <c r="J157" i="12"/>
  <c r="I157" i="12"/>
  <c r="H157" i="12"/>
  <c r="O157" i="12"/>
  <c r="G157" i="12"/>
  <c r="N157" i="12"/>
  <c r="F157" i="12"/>
  <c r="H140" i="15"/>
  <c r="I140" i="15" s="1"/>
  <c r="J140" i="15" s="1"/>
  <c r="K140" i="15" s="1"/>
  <c r="L140" i="15" s="1"/>
  <c r="M140" i="15" s="1"/>
  <c r="N140" i="15" s="1"/>
  <c r="O140" i="15" s="1"/>
  <c r="P140" i="15" s="1"/>
  <c r="Q140" i="15" s="1"/>
  <c r="R140" i="15" s="1"/>
  <c r="S140" i="15" s="1"/>
  <c r="G139" i="15"/>
  <c r="F141" i="15" s="1"/>
  <c r="C124" i="15"/>
  <c r="C110" i="15"/>
  <c r="J24" i="21"/>
  <c r="P24" i="21" s="1"/>
  <c r="P21" i="21"/>
  <c r="I174" i="12"/>
  <c r="N174" i="12"/>
  <c r="F174" i="12"/>
  <c r="M174" i="12"/>
  <c r="E174" i="12"/>
  <c r="K174" i="12"/>
  <c r="D174" i="12"/>
  <c r="O174" i="12"/>
  <c r="L174" i="12"/>
  <c r="J174" i="12"/>
  <c r="H174" i="12"/>
  <c r="G174" i="12"/>
  <c r="K258" i="12"/>
  <c r="J258" i="12"/>
  <c r="H258" i="12"/>
  <c r="N258" i="12"/>
  <c r="F258" i="12"/>
  <c r="L258" i="12"/>
  <c r="I258" i="12"/>
  <c r="G258" i="12"/>
  <c r="E258" i="12"/>
  <c r="D258" i="12"/>
  <c r="O258" i="12"/>
  <c r="M258" i="12"/>
  <c r="B514" i="13"/>
  <c r="C509" i="13"/>
  <c r="R27" i="21"/>
  <c r="S27" i="21" s="1"/>
  <c r="N183" i="12"/>
  <c r="F183" i="12"/>
  <c r="M183" i="12"/>
  <c r="E183" i="12"/>
  <c r="L183" i="12"/>
  <c r="D183" i="12"/>
  <c r="K183" i="12"/>
  <c r="J183" i="12"/>
  <c r="H183" i="12"/>
  <c r="G183" i="12"/>
  <c r="O183" i="12"/>
  <c r="I183" i="12"/>
  <c r="M10" i="16"/>
  <c r="M6" i="16"/>
  <c r="H1" i="16"/>
  <c r="I13" i="16"/>
  <c r="M8" i="16"/>
  <c r="A4" i="16"/>
  <c r="H13" i="16"/>
  <c r="A8" i="16"/>
  <c r="J1" i="16"/>
  <c r="G13" i="16"/>
  <c r="M7" i="16"/>
  <c r="I1" i="16"/>
  <c r="A7" i="16"/>
  <c r="D1" i="16"/>
  <c r="A6" i="16"/>
  <c r="J13" i="16"/>
  <c r="M5" i="16"/>
  <c r="F13" i="16"/>
  <c r="A5" i="16"/>
  <c r="D13" i="16"/>
  <c r="M4" i="16"/>
  <c r="A10" i="16"/>
  <c r="G1" i="16"/>
  <c r="M9" i="16"/>
  <c r="F1" i="16"/>
  <c r="A9" i="16"/>
  <c r="E1" i="16"/>
  <c r="K5" i="3"/>
  <c r="H4" i="3"/>
  <c r="J2" i="3"/>
  <c r="J5" i="3"/>
  <c r="I2" i="3"/>
  <c r="Q67" i="2"/>
  <c r="R67" i="2" s="1"/>
  <c r="H28" i="15" s="1"/>
  <c r="I67" i="2"/>
  <c r="J67" i="2" s="1"/>
  <c r="D28" i="15" s="1"/>
  <c r="I5" i="3"/>
  <c r="H2" i="3"/>
  <c r="H5" i="3"/>
  <c r="K3" i="3"/>
  <c r="O67" i="2"/>
  <c r="G67" i="2"/>
  <c r="M67" i="2"/>
  <c r="C67" i="2"/>
  <c r="K2" i="3"/>
  <c r="D67" i="2"/>
  <c r="K67" i="2"/>
  <c r="L67" i="2" s="1"/>
  <c r="E28" i="15" s="1"/>
  <c r="K4" i="3"/>
  <c r="F67" i="2"/>
  <c r="H3" i="3"/>
  <c r="D16" i="25"/>
  <c r="E16" i="25" s="1"/>
  <c r="C16" i="25"/>
  <c r="J15" i="2"/>
  <c r="J12" i="2"/>
  <c r="K48" i="8"/>
  <c r="J19" i="21"/>
  <c r="I26" i="21"/>
  <c r="E31" i="2"/>
  <c r="B31" i="2"/>
  <c r="I31" i="2"/>
  <c r="C31" i="2"/>
  <c r="F36" i="2"/>
  <c r="E36" i="2"/>
  <c r="C36" i="2"/>
  <c r="B36" i="2"/>
  <c r="I36" i="2"/>
  <c r="D36" i="2"/>
  <c r="D216" i="15"/>
  <c r="C222" i="15"/>
  <c r="C86" i="15"/>
  <c r="C57" i="15"/>
  <c r="E57" i="15" s="1"/>
  <c r="D51" i="15"/>
  <c r="D86" i="15"/>
  <c r="E86" i="15" s="1"/>
  <c r="D222" i="15"/>
  <c r="C51" i="15"/>
  <c r="C216" i="15"/>
  <c r="D92" i="15"/>
  <c r="E92" i="15" s="1"/>
  <c r="C92" i="15"/>
  <c r="B11" i="14"/>
  <c r="C12" i="14"/>
  <c r="C27" i="14"/>
  <c r="O11" i="5"/>
  <c r="I28" i="21"/>
  <c r="J17" i="21"/>
  <c r="D8" i="25"/>
  <c r="E8" i="25" s="1"/>
  <c r="C8" i="25"/>
  <c r="M20" i="11"/>
  <c r="L20" i="11"/>
  <c r="K20" i="11"/>
  <c r="J22" i="11"/>
  <c r="K35" i="17"/>
  <c r="J35" i="17"/>
  <c r="L35" i="17"/>
  <c r="L36" i="17"/>
  <c r="K36" i="17"/>
  <c r="J36" i="17"/>
  <c r="J42" i="17"/>
  <c r="K42" i="17"/>
  <c r="L42" i="17"/>
  <c r="L34" i="17"/>
  <c r="K34" i="17"/>
  <c r="J34" i="17"/>
  <c r="K45" i="17"/>
  <c r="J45" i="17"/>
  <c r="L45" i="17"/>
  <c r="L41" i="17"/>
  <c r="K41" i="17"/>
  <c r="J41" i="17"/>
  <c r="O172" i="12"/>
  <c r="G172" i="12"/>
  <c r="L172" i="12"/>
  <c r="D172" i="12"/>
  <c r="K172" i="12"/>
  <c r="I172" i="12"/>
  <c r="J172" i="12"/>
  <c r="H172" i="12"/>
  <c r="F172" i="12"/>
  <c r="E172" i="12"/>
  <c r="N172" i="12"/>
  <c r="M172" i="12"/>
  <c r="M171" i="12"/>
  <c r="E171" i="12"/>
  <c r="J171" i="12"/>
  <c r="I171" i="12"/>
  <c r="O171" i="12"/>
  <c r="G171" i="12"/>
  <c r="D171" i="12"/>
  <c r="N171" i="12"/>
  <c r="L171" i="12"/>
  <c r="K171" i="12"/>
  <c r="H171" i="12"/>
  <c r="F171" i="12"/>
  <c r="O291" i="12"/>
  <c r="G291" i="12"/>
  <c r="N291" i="12"/>
  <c r="F291" i="12"/>
  <c r="M291" i="12"/>
  <c r="E291" i="12"/>
  <c r="L291" i="12"/>
  <c r="D291" i="12"/>
  <c r="K291" i="12"/>
  <c r="J291" i="12"/>
  <c r="I291" i="12"/>
  <c r="H291" i="12"/>
  <c r="H75" i="15"/>
  <c r="D32" i="2"/>
  <c r="H32" i="2" s="1"/>
  <c r="I230" i="12"/>
  <c r="H230" i="12"/>
  <c r="O230" i="12"/>
  <c r="G230" i="12"/>
  <c r="N230" i="12"/>
  <c r="F230" i="12"/>
  <c r="M230" i="12"/>
  <c r="E230" i="12"/>
  <c r="L230" i="12"/>
  <c r="D230" i="12"/>
  <c r="K230" i="12"/>
  <c r="J230" i="12"/>
  <c r="F65" i="2"/>
  <c r="M65" i="2"/>
  <c r="N65" i="2" s="1"/>
  <c r="F26" i="15" s="1"/>
  <c r="D65" i="2"/>
  <c r="K65" i="2"/>
  <c r="L65" i="2" s="1"/>
  <c r="E26" i="15" s="1"/>
  <c r="C65" i="2"/>
  <c r="Q65" i="2"/>
  <c r="R65" i="2" s="1"/>
  <c r="H26" i="15" s="1"/>
  <c r="I65" i="2"/>
  <c r="J65" i="2" s="1"/>
  <c r="D26" i="15" s="1"/>
  <c r="O65" i="2"/>
  <c r="P65" i="2" s="1"/>
  <c r="G26" i="15" s="1"/>
  <c r="G65" i="2"/>
  <c r="H65" i="2" s="1"/>
  <c r="C26" i="15" s="1"/>
  <c r="S24" i="21"/>
  <c r="N239" i="12"/>
  <c r="F239" i="12"/>
  <c r="M239" i="12"/>
  <c r="E239" i="12"/>
  <c r="L239" i="12"/>
  <c r="D239" i="12"/>
  <c r="K239" i="12"/>
  <c r="J239" i="12"/>
  <c r="I239" i="12"/>
  <c r="H239" i="12"/>
  <c r="O239" i="12"/>
  <c r="G239" i="12"/>
  <c r="D10" i="25"/>
  <c r="E10" i="25" s="1"/>
  <c r="C10" i="25"/>
  <c r="I25" i="21"/>
  <c r="J20" i="21"/>
  <c r="J9" i="2"/>
  <c r="E35" i="2"/>
  <c r="B35" i="2"/>
  <c r="D35" i="2" s="1"/>
  <c r="I35" i="2"/>
  <c r="C35" i="2"/>
  <c r="N235" i="7"/>
  <c r="G38" i="2"/>
  <c r="F37" i="2"/>
  <c r="E37" i="2"/>
  <c r="C37" i="2"/>
  <c r="I37" i="2"/>
  <c r="D37" i="2"/>
  <c r="B37" i="2"/>
  <c r="S62" i="2"/>
  <c r="E62" i="2"/>
  <c r="O18" i="11"/>
  <c r="N16" i="11"/>
  <c r="J11" i="5"/>
  <c r="J23" i="17"/>
  <c r="L23" i="17"/>
  <c r="K23" i="17"/>
  <c r="I242" i="12"/>
  <c r="H242" i="12"/>
  <c r="O242" i="12"/>
  <c r="G242" i="12"/>
  <c r="N242" i="12"/>
  <c r="F242" i="12"/>
  <c r="M242" i="12"/>
  <c r="E242" i="12"/>
  <c r="L242" i="12"/>
  <c r="D242" i="12"/>
  <c r="K242" i="12"/>
  <c r="J242" i="12"/>
  <c r="G19" i="17"/>
  <c r="L39" i="17"/>
  <c r="K39" i="17"/>
  <c r="J39" i="17"/>
  <c r="J47" i="17"/>
  <c r="L47" i="17"/>
  <c r="K47" i="17"/>
  <c r="B118" i="7"/>
  <c r="B116" i="7"/>
  <c r="B114" i="7"/>
  <c r="B112" i="7"/>
  <c r="B83" i="7"/>
  <c r="B81" i="7"/>
  <c r="B79" i="7"/>
  <c r="B77" i="7"/>
  <c r="B75" i="7"/>
  <c r="D27" i="7"/>
  <c r="B145" i="7"/>
  <c r="B143" i="7"/>
  <c r="B141" i="7"/>
  <c r="B139" i="7"/>
  <c r="B110" i="7"/>
  <c r="B108" i="7"/>
  <c r="B106" i="7"/>
  <c r="B104" i="7"/>
  <c r="B102" i="7"/>
  <c r="B73" i="7"/>
  <c r="B71" i="7"/>
  <c r="B69" i="7"/>
  <c r="B67" i="7"/>
  <c r="D30" i="7"/>
  <c r="D22" i="7"/>
  <c r="F23" i="7" s="1"/>
  <c r="F24" i="7" s="1"/>
  <c r="F25" i="7" s="1"/>
  <c r="F26" i="7" s="1"/>
  <c r="F27" i="7" s="1"/>
  <c r="F28" i="7" s="1"/>
  <c r="F29" i="7" s="1"/>
  <c r="F30" i="7" s="1"/>
  <c r="B119" i="7"/>
  <c r="B117" i="7"/>
  <c r="B111" i="7"/>
  <c r="B80" i="7"/>
  <c r="B137" i="7"/>
  <c r="B135" i="7"/>
  <c r="B133" i="7"/>
  <c r="B131" i="7"/>
  <c r="B129" i="7"/>
  <c r="B100" i="7"/>
  <c r="B98" i="7"/>
  <c r="B96" i="7"/>
  <c r="B94" i="7"/>
  <c r="D25" i="7"/>
  <c r="A18" i="7"/>
  <c r="B15" i="7"/>
  <c r="B113" i="7"/>
  <c r="B78" i="7"/>
  <c r="B127" i="7"/>
  <c r="B125" i="7"/>
  <c r="B123" i="7"/>
  <c r="B121" i="7"/>
  <c r="B92" i="7"/>
  <c r="B90" i="7"/>
  <c r="B88" i="7"/>
  <c r="B86" i="7"/>
  <c r="B84" i="7"/>
  <c r="B65" i="7"/>
  <c r="D65" i="7" s="1"/>
  <c r="D28" i="7"/>
  <c r="B115" i="7"/>
  <c r="B82" i="7"/>
  <c r="B76" i="7"/>
  <c r="B144" i="7"/>
  <c r="B142" i="7"/>
  <c r="B140" i="7"/>
  <c r="B138" i="7"/>
  <c r="B109" i="7"/>
  <c r="B107" i="7"/>
  <c r="B105" i="7"/>
  <c r="B103" i="7"/>
  <c r="B74" i="7"/>
  <c r="B72" i="7"/>
  <c r="B70" i="7"/>
  <c r="B68" i="7"/>
  <c r="B66" i="7"/>
  <c r="D26" i="7"/>
  <c r="B126" i="7"/>
  <c r="B87" i="7"/>
  <c r="D29" i="7"/>
  <c r="B132" i="7"/>
  <c r="B101" i="7"/>
  <c r="B93" i="7"/>
  <c r="D24" i="7"/>
  <c r="B124" i="7"/>
  <c r="B85" i="7"/>
  <c r="B130" i="7"/>
  <c r="B99" i="7"/>
  <c r="B148" i="7" s="1"/>
  <c r="B134" i="7"/>
  <c r="B122" i="7"/>
  <c r="B91" i="7"/>
  <c r="D21" i="7"/>
  <c r="B136" i="7"/>
  <c r="B97" i="7"/>
  <c r="D23" i="7"/>
  <c r="B128" i="7"/>
  <c r="B120" i="7"/>
  <c r="B89" i="7"/>
  <c r="B95" i="7"/>
  <c r="G175" i="15"/>
  <c r="F177" i="15" s="1"/>
  <c r="I176" i="15"/>
  <c r="J176" i="15" s="1"/>
  <c r="K176" i="15" s="1"/>
  <c r="L176" i="15" s="1"/>
  <c r="M176" i="15" s="1"/>
  <c r="N176" i="15" s="1"/>
  <c r="O176" i="15" s="1"/>
  <c r="P176" i="15" s="1"/>
  <c r="Q176" i="15" s="1"/>
  <c r="R176" i="15" s="1"/>
  <c r="S176" i="15" s="1"/>
  <c r="O228" i="12"/>
  <c r="G228" i="12"/>
  <c r="N228" i="12"/>
  <c r="F228" i="12"/>
  <c r="M228" i="12"/>
  <c r="E228" i="12"/>
  <c r="L228" i="12"/>
  <c r="D228" i="12"/>
  <c r="K228" i="12"/>
  <c r="J228" i="12"/>
  <c r="I228" i="12"/>
  <c r="H228" i="12"/>
  <c r="G247" i="15"/>
  <c r="F249" i="15" s="1"/>
  <c r="H248" i="15"/>
  <c r="I248" i="15" s="1"/>
  <c r="J248" i="15" s="1"/>
  <c r="K248" i="15" s="1"/>
  <c r="L248" i="15" s="1"/>
  <c r="M248" i="15" s="1"/>
  <c r="N248" i="15" s="1"/>
  <c r="O248" i="15" s="1"/>
  <c r="P248" i="15" s="1"/>
  <c r="Q248" i="15" s="1"/>
  <c r="R248" i="15" s="1"/>
  <c r="S248" i="15" s="1"/>
  <c r="I199" i="12"/>
  <c r="H199" i="12"/>
  <c r="O199" i="12"/>
  <c r="G199" i="12"/>
  <c r="N199" i="12"/>
  <c r="F199" i="12"/>
  <c r="M199" i="12"/>
  <c r="E199" i="12"/>
  <c r="L199" i="12"/>
  <c r="D199" i="12"/>
  <c r="K199" i="12"/>
  <c r="J199" i="12"/>
  <c r="H211" i="15"/>
  <c r="F21" i="6"/>
  <c r="C316" i="15"/>
  <c r="C312" i="15"/>
  <c r="D316" i="15"/>
  <c r="E316" i="15" s="1"/>
  <c r="D312" i="15"/>
  <c r="O68" i="2"/>
  <c r="P68" i="2" s="1"/>
  <c r="G68" i="2"/>
  <c r="H68" i="2" s="1"/>
  <c r="F68" i="2"/>
  <c r="M68" i="2"/>
  <c r="N68" i="2" s="1"/>
  <c r="K68" i="2"/>
  <c r="L68" i="2" s="1"/>
  <c r="C68" i="2"/>
  <c r="D68" i="2"/>
  <c r="Q68" i="2"/>
  <c r="R68" i="2" s="1"/>
  <c r="I68" i="2"/>
  <c r="J68" i="2" s="1"/>
  <c r="O216" i="12"/>
  <c r="G216" i="12"/>
  <c r="N216" i="12"/>
  <c r="F216" i="12"/>
  <c r="M216" i="12"/>
  <c r="E216" i="12"/>
  <c r="L216" i="12"/>
  <c r="D216" i="12"/>
  <c r="K216" i="12"/>
  <c r="J216" i="12"/>
  <c r="I216" i="12"/>
  <c r="H216" i="12"/>
  <c r="D12" i="25"/>
  <c r="E12" i="25" s="1"/>
  <c r="C12" i="25"/>
  <c r="E34" i="2"/>
  <c r="C34" i="2"/>
  <c r="I34" i="2"/>
  <c r="B34" i="2"/>
  <c r="D34" i="2" s="1"/>
  <c r="H235" i="7"/>
  <c r="B13" i="21"/>
  <c r="B12" i="21"/>
  <c r="J8" i="2"/>
  <c r="R4" i="14"/>
  <c r="S6" i="14"/>
  <c r="C287" i="12"/>
  <c r="Q287" i="12" s="1"/>
  <c r="C265" i="12"/>
  <c r="C251" i="12"/>
  <c r="Q251" i="12" s="1"/>
  <c r="C195" i="12"/>
  <c r="Q195" i="12" s="1"/>
  <c r="C209" i="12"/>
  <c r="Q209" i="12" s="1"/>
  <c r="C223" i="12"/>
  <c r="Q223" i="12" s="1"/>
  <c r="C181" i="12"/>
  <c r="Q181" i="12" s="1"/>
  <c r="C237" i="12"/>
  <c r="Q237" i="12" s="1"/>
  <c r="C153" i="12"/>
  <c r="Q153" i="12" s="1"/>
  <c r="C167" i="12"/>
  <c r="Q167" i="12" s="1"/>
  <c r="K11" i="5"/>
  <c r="L30" i="17"/>
  <c r="K30" i="17"/>
  <c r="J30" i="17"/>
  <c r="L22" i="17"/>
  <c r="K22" i="17"/>
  <c r="J22" i="17"/>
  <c r="K59" i="17"/>
  <c r="J59" i="17"/>
  <c r="L43" i="17"/>
  <c r="K43" i="17"/>
  <c r="J43" i="17"/>
  <c r="L20" i="17"/>
  <c r="K20" i="17"/>
  <c r="J20" i="17"/>
  <c r="L15" i="17"/>
  <c r="J15" i="17"/>
  <c r="K15" i="17"/>
  <c r="L44" i="17"/>
  <c r="K44" i="17"/>
  <c r="J44" i="17"/>
  <c r="H15" i="7"/>
  <c r="I15" i="7" s="1"/>
  <c r="G15" i="7"/>
  <c r="H13" i="7"/>
  <c r="E28" i="14"/>
  <c r="E29" i="14" s="1"/>
  <c r="E30" i="14" s="1"/>
  <c r="E31" i="14" s="1"/>
  <c r="E32" i="14" s="1"/>
  <c r="E33" i="14" s="1"/>
  <c r="E34" i="14" s="1"/>
  <c r="E35" i="14" s="1"/>
  <c r="E36" i="14" s="1"/>
  <c r="E37" i="14" s="1"/>
  <c r="E38" i="14" s="1"/>
  <c r="E39" i="14" s="1"/>
  <c r="E40" i="14" s="1"/>
  <c r="E41" i="14" s="1"/>
  <c r="H12" i="14" s="1"/>
  <c r="F27" i="14"/>
  <c r="I256" i="12"/>
  <c r="N256" i="12"/>
  <c r="F256" i="12"/>
  <c r="L256" i="12"/>
  <c r="D256" i="12"/>
  <c r="J256" i="12"/>
  <c r="H256" i="12"/>
  <c r="G256" i="12"/>
  <c r="E256" i="12"/>
  <c r="O256" i="12"/>
  <c r="M256" i="12"/>
  <c r="K256" i="12"/>
  <c r="O185" i="12"/>
  <c r="G185" i="12"/>
  <c r="N185" i="12"/>
  <c r="F185" i="12"/>
  <c r="M185" i="12"/>
  <c r="E185" i="12"/>
  <c r="L185" i="12"/>
  <c r="D185" i="12"/>
  <c r="K185" i="12"/>
  <c r="I185" i="12"/>
  <c r="J185" i="12"/>
  <c r="H185" i="12"/>
  <c r="H341" i="15"/>
  <c r="I341" i="15" s="1"/>
  <c r="J341" i="15" s="1"/>
  <c r="K341" i="15" s="1"/>
  <c r="L341" i="15" s="1"/>
  <c r="M341" i="15" s="1"/>
  <c r="N341" i="15" s="1"/>
  <c r="O341" i="15" s="1"/>
  <c r="P341" i="15" s="1"/>
  <c r="Q341" i="15" s="1"/>
  <c r="R341" i="15" s="1"/>
  <c r="S341" i="15" s="1"/>
  <c r="G340" i="15"/>
  <c r="F342" i="15" s="1"/>
  <c r="K21" i="6"/>
  <c r="L21" i="6" s="1"/>
  <c r="H39" i="26"/>
  <c r="D30" i="26"/>
  <c r="C31" i="26" s="1"/>
  <c r="D31" i="26" s="1"/>
  <c r="C32" i="26" s="1"/>
  <c r="D32" i="26" s="1"/>
  <c r="C33" i="26" s="1"/>
  <c r="D33" i="26" s="1"/>
  <c r="C34" i="26" s="1"/>
  <c r="D34" i="26" s="1"/>
  <c r="C35" i="26" s="1"/>
  <c r="M202" i="12"/>
  <c r="E202" i="12"/>
  <c r="L202" i="12"/>
  <c r="D202" i="12"/>
  <c r="K202" i="12"/>
  <c r="J202" i="12"/>
  <c r="I202" i="12"/>
  <c r="H202" i="12"/>
  <c r="O202" i="12"/>
  <c r="G202" i="12"/>
  <c r="N202" i="12"/>
  <c r="F202" i="12"/>
  <c r="B5" i="8"/>
  <c r="J211" i="12"/>
  <c r="I211" i="12"/>
  <c r="H211" i="12"/>
  <c r="O211" i="12"/>
  <c r="G211" i="12"/>
  <c r="N211" i="12"/>
  <c r="F211" i="12"/>
  <c r="M211" i="12"/>
  <c r="E211" i="12"/>
  <c r="L211" i="12"/>
  <c r="D211" i="12"/>
  <c r="K211" i="12"/>
  <c r="L225" i="12"/>
  <c r="D225" i="12"/>
  <c r="K225" i="12"/>
  <c r="J225" i="12"/>
  <c r="I225" i="12"/>
  <c r="H225" i="12"/>
  <c r="O225" i="12"/>
  <c r="G225" i="12"/>
  <c r="N225" i="12"/>
  <c r="F225" i="12"/>
  <c r="M225" i="12"/>
  <c r="E225" i="12"/>
  <c r="J24" i="6"/>
  <c r="I24" i="6"/>
  <c r="H24" i="6"/>
  <c r="K24" i="6" s="1"/>
  <c r="L24" i="6" s="1"/>
  <c r="E24" i="6"/>
  <c r="F24" i="6"/>
  <c r="D9" i="25"/>
  <c r="E9" i="25" s="1"/>
  <c r="C9" i="25"/>
  <c r="B237" i="7"/>
  <c r="E251" i="7" s="1"/>
  <c r="D66" i="2"/>
  <c r="K66" i="2"/>
  <c r="L66" i="2" s="1"/>
  <c r="E27" i="15" s="1"/>
  <c r="C66" i="2"/>
  <c r="Q66" i="2"/>
  <c r="R66" i="2" s="1"/>
  <c r="H27" i="15" s="1"/>
  <c r="I66" i="2"/>
  <c r="J66" i="2" s="1"/>
  <c r="D27" i="15" s="1"/>
  <c r="O66" i="2"/>
  <c r="P66" i="2" s="1"/>
  <c r="G27" i="15" s="1"/>
  <c r="G66" i="2"/>
  <c r="H66" i="2" s="1"/>
  <c r="C27" i="15" s="1"/>
  <c r="M66" i="2"/>
  <c r="N66" i="2" s="1"/>
  <c r="F27" i="15" s="1"/>
  <c r="F66" i="2"/>
  <c r="F20" i="6"/>
  <c r="E20" i="6"/>
  <c r="J20" i="6"/>
  <c r="H20" i="6"/>
  <c r="I20" i="6"/>
  <c r="J10" i="2"/>
  <c r="J17" i="6"/>
  <c r="I17" i="6"/>
  <c r="H17" i="6"/>
  <c r="K17" i="6" s="1"/>
  <c r="L17" i="6" s="1"/>
  <c r="F17" i="6"/>
  <c r="E17" i="6"/>
  <c r="Q59" i="2"/>
  <c r="R59" i="2" s="1"/>
  <c r="H20" i="15" s="1"/>
  <c r="I59" i="2"/>
  <c r="J59" i="2" s="1"/>
  <c r="D20" i="15" s="1"/>
  <c r="O59" i="2"/>
  <c r="P59" i="2" s="1"/>
  <c r="G20" i="15" s="1"/>
  <c r="G59" i="2"/>
  <c r="H59" i="2" s="1"/>
  <c r="C20" i="15" s="1"/>
  <c r="M59" i="2"/>
  <c r="N59" i="2" s="1"/>
  <c r="F20" i="15" s="1"/>
  <c r="K59" i="2"/>
  <c r="L59" i="2" s="1"/>
  <c r="E20" i="15" s="1"/>
  <c r="F59" i="2"/>
  <c r="D59" i="2"/>
  <c r="C59" i="2"/>
  <c r="D114" i="15"/>
  <c r="E114" i="15" s="1"/>
  <c r="C114" i="15"/>
  <c r="D120" i="15"/>
  <c r="C120" i="15"/>
  <c r="K213" i="12"/>
  <c r="J213" i="12"/>
  <c r="I213" i="12"/>
  <c r="H213" i="12"/>
  <c r="O213" i="12"/>
  <c r="G213" i="12"/>
  <c r="N213" i="12"/>
  <c r="F213" i="12"/>
  <c r="M213" i="12"/>
  <c r="E213" i="12"/>
  <c r="D213" i="12"/>
  <c r="L213" i="12"/>
  <c r="N294" i="12"/>
  <c r="F294" i="12"/>
  <c r="M294" i="12"/>
  <c r="E294" i="12"/>
  <c r="L294" i="12"/>
  <c r="D294" i="12"/>
  <c r="K294" i="12"/>
  <c r="J294" i="12"/>
  <c r="I294" i="12"/>
  <c r="H294" i="12"/>
  <c r="O294" i="12"/>
  <c r="G294" i="12"/>
  <c r="E124" i="15"/>
  <c r="L17" i="17"/>
  <c r="K17" i="17"/>
  <c r="J17" i="17"/>
  <c r="J18" i="17"/>
  <c r="K18" i="17"/>
  <c r="L18" i="17"/>
  <c r="M214" i="12"/>
  <c r="E214" i="12"/>
  <c r="L214" i="12"/>
  <c r="D214" i="12"/>
  <c r="K214" i="12"/>
  <c r="J214" i="12"/>
  <c r="I214" i="12"/>
  <c r="H214" i="12"/>
  <c r="O214" i="12"/>
  <c r="G214" i="12"/>
  <c r="N214" i="12"/>
  <c r="F214" i="12"/>
  <c r="D3" i="14"/>
  <c r="D4" i="14" s="1"/>
  <c r="D5" i="14" s="1"/>
  <c r="E43" i="2"/>
  <c r="B43" i="2"/>
  <c r="C43" i="2" s="1"/>
  <c r="J11" i="2"/>
  <c r="J13" i="2"/>
  <c r="O241" i="12"/>
  <c r="G241" i="12"/>
  <c r="N241" i="12"/>
  <c r="F241" i="12"/>
  <c r="M241" i="12"/>
  <c r="E241" i="12"/>
  <c r="L241" i="12"/>
  <c r="D241" i="12"/>
  <c r="K241" i="12"/>
  <c r="J241" i="12"/>
  <c r="I241" i="12"/>
  <c r="H241" i="12"/>
  <c r="K188" i="12"/>
  <c r="J188" i="12"/>
  <c r="I188" i="12"/>
  <c r="H188" i="12"/>
  <c r="O188" i="12"/>
  <c r="G188" i="12"/>
  <c r="N188" i="12"/>
  <c r="F188" i="12"/>
  <c r="M188" i="12"/>
  <c r="E188" i="12"/>
  <c r="L188" i="12"/>
  <c r="D188" i="12"/>
  <c r="B224" i="8"/>
  <c r="B208" i="8"/>
  <c r="B192" i="8"/>
  <c r="B176" i="8"/>
  <c r="B160" i="8"/>
  <c r="B144" i="8"/>
  <c r="B128" i="8"/>
  <c r="B112" i="8"/>
  <c r="B96" i="8"/>
  <c r="B80" i="8"/>
  <c r="B64" i="8"/>
  <c r="B48" i="8"/>
  <c r="B328" i="8"/>
  <c r="B312" i="8"/>
  <c r="B296" i="8"/>
  <c r="B280" i="8"/>
  <c r="B264" i="8"/>
  <c r="B216" i="8"/>
  <c r="B200" i="8"/>
  <c r="B184" i="8"/>
  <c r="B168" i="8"/>
  <c r="B152" i="8"/>
  <c r="B320" i="8"/>
  <c r="B256" i="8"/>
  <c r="B24" i="8"/>
  <c r="B16" i="8"/>
  <c r="B136" i="8"/>
  <c r="B88" i="8"/>
  <c r="B72" i="8"/>
  <c r="B232" i="8"/>
  <c r="B240" i="8"/>
  <c r="B120" i="8"/>
  <c r="B104" i="8"/>
  <c r="B56" i="8"/>
  <c r="B32" i="8"/>
  <c r="B272" i="8"/>
  <c r="B288" i="8"/>
  <c r="B248" i="8"/>
  <c r="B304" i="8"/>
  <c r="B40" i="8"/>
  <c r="L155" i="12"/>
  <c r="D155" i="12"/>
  <c r="K155" i="12"/>
  <c r="J155" i="12"/>
  <c r="I155" i="12"/>
  <c r="H155" i="12"/>
  <c r="O155" i="12"/>
  <c r="G155" i="12"/>
  <c r="N155" i="12"/>
  <c r="F155" i="12"/>
  <c r="M155" i="12"/>
  <c r="E155" i="12"/>
  <c r="L289" i="12"/>
  <c r="D289" i="12"/>
  <c r="K289" i="12"/>
  <c r="J289" i="12"/>
  <c r="I289" i="12"/>
  <c r="H289" i="12"/>
  <c r="O289" i="12"/>
  <c r="G289" i="12"/>
  <c r="N289" i="12"/>
  <c r="F289" i="12"/>
  <c r="M289" i="12"/>
  <c r="E289" i="12"/>
  <c r="D11" i="25"/>
  <c r="E11" i="25" s="1"/>
  <c r="C11" i="25"/>
  <c r="B320" i="7"/>
  <c r="B309" i="7"/>
  <c r="A305" i="7"/>
  <c r="A306" i="7" s="1"/>
  <c r="A307" i="7" s="1"/>
  <c r="A308" i="7" s="1"/>
  <c r="A309" i="7" s="1"/>
  <c r="A310" i="7" s="1"/>
  <c r="A311" i="7" s="1"/>
  <c r="A312" i="7" s="1"/>
  <c r="A313" i="7" s="1"/>
  <c r="B298" i="7"/>
  <c r="B295" i="7"/>
  <c r="B284" i="7"/>
  <c r="B273" i="7"/>
  <c r="A269" i="7"/>
  <c r="A270" i="7" s="1"/>
  <c r="A271" i="7" s="1"/>
  <c r="A272" i="7" s="1"/>
  <c r="A273" i="7" s="1"/>
  <c r="A274" i="7" s="1"/>
  <c r="A275" i="7" s="1"/>
  <c r="A276" i="7" s="1"/>
  <c r="A277" i="7" s="1"/>
  <c r="B262" i="7"/>
  <c r="B259" i="7"/>
  <c r="B248" i="7"/>
  <c r="B321" i="7"/>
  <c r="B310" i="7"/>
  <c r="B299" i="7"/>
  <c r="B288" i="7"/>
  <c r="B285" i="7"/>
  <c r="B274" i="7"/>
  <c r="B263" i="7"/>
  <c r="B252" i="7"/>
  <c r="B249" i="7"/>
  <c r="B322" i="7"/>
  <c r="B311" i="7"/>
  <c r="B300" i="7"/>
  <c r="A296" i="7"/>
  <c r="A297" i="7" s="1"/>
  <c r="A298" i="7" s="1"/>
  <c r="A299" i="7" s="1"/>
  <c r="A300" i="7" s="1"/>
  <c r="A301" i="7" s="1"/>
  <c r="A302" i="7" s="1"/>
  <c r="A303" i="7" s="1"/>
  <c r="A304" i="7" s="1"/>
  <c r="B289" i="7"/>
  <c r="B286" i="7"/>
  <c r="B275" i="7"/>
  <c r="B264" i="7"/>
  <c r="A260" i="7"/>
  <c r="A261" i="7" s="1"/>
  <c r="A262" i="7" s="1"/>
  <c r="A263" i="7" s="1"/>
  <c r="A264" i="7" s="1"/>
  <c r="A265" i="7" s="1"/>
  <c r="A266" i="7" s="1"/>
  <c r="A267" i="7" s="1"/>
  <c r="A268" i="7" s="1"/>
  <c r="B253" i="7"/>
  <c r="B250" i="7"/>
  <c r="B242" i="7"/>
  <c r="B315" i="7"/>
  <c r="B312" i="7"/>
  <c r="B301" i="7"/>
  <c r="B290" i="7"/>
  <c r="B279" i="7"/>
  <c r="B276" i="7"/>
  <c r="B265" i="7"/>
  <c r="B254" i="7"/>
  <c r="B243" i="7"/>
  <c r="A242" i="7"/>
  <c r="A243" i="7" s="1"/>
  <c r="A244" i="7" s="1"/>
  <c r="A245" i="7" s="1"/>
  <c r="A246" i="7" s="1"/>
  <c r="A247" i="7" s="1"/>
  <c r="A248" i="7" s="1"/>
  <c r="A249" i="7" s="1"/>
  <c r="A250" i="7" s="1"/>
  <c r="A323" i="7"/>
  <c r="B316" i="7"/>
  <c r="B313" i="7"/>
  <c r="B302" i="7"/>
  <c r="B291" i="7"/>
  <c r="A287" i="7"/>
  <c r="A288" i="7" s="1"/>
  <c r="A289" i="7" s="1"/>
  <c r="A290" i="7" s="1"/>
  <c r="A291" i="7" s="1"/>
  <c r="A292" i="7" s="1"/>
  <c r="A293" i="7" s="1"/>
  <c r="A294" i="7" s="1"/>
  <c r="A295" i="7" s="1"/>
  <c r="B280" i="7"/>
  <c r="B277" i="7"/>
  <c r="B266" i="7"/>
  <c r="B255" i="7"/>
  <c r="A251" i="7"/>
  <c r="A252" i="7" s="1"/>
  <c r="A253" i="7" s="1"/>
  <c r="A254" i="7" s="1"/>
  <c r="A255" i="7" s="1"/>
  <c r="A256" i="7" s="1"/>
  <c r="A257" i="7" s="1"/>
  <c r="A258" i="7" s="1"/>
  <c r="A259" i="7" s="1"/>
  <c r="B244" i="7"/>
  <c r="B317" i="7"/>
  <c r="B306" i="7"/>
  <c r="B303" i="7"/>
  <c r="B292" i="7"/>
  <c r="B281" i="7"/>
  <c r="B270" i="7"/>
  <c r="B267" i="7"/>
  <c r="B256" i="7"/>
  <c r="B245" i="7"/>
  <c r="A239" i="7"/>
  <c r="B318" i="7"/>
  <c r="A314" i="7"/>
  <c r="A315" i="7" s="1"/>
  <c r="A316" i="7" s="1"/>
  <c r="A317" i="7" s="1"/>
  <c r="A318" i="7" s="1"/>
  <c r="A319" i="7" s="1"/>
  <c r="A320" i="7" s="1"/>
  <c r="A321" i="7" s="1"/>
  <c r="A322" i="7" s="1"/>
  <c r="B307" i="7"/>
  <c r="B304" i="7"/>
  <c r="B293" i="7"/>
  <c r="B282" i="7"/>
  <c r="A278" i="7"/>
  <c r="A279" i="7" s="1"/>
  <c r="A280" i="7" s="1"/>
  <c r="A281" i="7" s="1"/>
  <c r="A282" i="7" s="1"/>
  <c r="A283" i="7" s="1"/>
  <c r="A284" i="7" s="1"/>
  <c r="A285" i="7" s="1"/>
  <c r="A286" i="7" s="1"/>
  <c r="B271" i="7"/>
  <c r="B268" i="7"/>
  <c r="B257" i="7"/>
  <c r="B246" i="7"/>
  <c r="B236" i="7"/>
  <c r="B319" i="7"/>
  <c r="B297" i="7"/>
  <c r="B283" i="7"/>
  <c r="B261" i="7"/>
  <c r="B247" i="7"/>
  <c r="B308" i="7"/>
  <c r="B294" i="7"/>
  <c r="B272" i="7"/>
  <c r="B258" i="7"/>
  <c r="Q63" i="2"/>
  <c r="R63" i="2" s="1"/>
  <c r="H24" i="15" s="1"/>
  <c r="I63" i="2"/>
  <c r="J63" i="2" s="1"/>
  <c r="D24" i="15" s="1"/>
  <c r="O63" i="2"/>
  <c r="P63" i="2" s="1"/>
  <c r="G24" i="15" s="1"/>
  <c r="G63" i="2"/>
  <c r="H63" i="2" s="1"/>
  <c r="C24" i="15" s="1"/>
  <c r="M63" i="2"/>
  <c r="N63" i="2" s="1"/>
  <c r="F24" i="15" s="1"/>
  <c r="K63" i="2"/>
  <c r="L63" i="2" s="1"/>
  <c r="E24" i="15" s="1"/>
  <c r="F63" i="2"/>
  <c r="D63" i="2"/>
  <c r="C63" i="2"/>
  <c r="O60" i="2"/>
  <c r="P60" i="2" s="1"/>
  <c r="G21" i="15" s="1"/>
  <c r="G60" i="2"/>
  <c r="H60" i="2" s="1"/>
  <c r="C21" i="15" s="1"/>
  <c r="F60" i="2"/>
  <c r="M60" i="2"/>
  <c r="N60" i="2" s="1"/>
  <c r="F21" i="15" s="1"/>
  <c r="K60" i="2"/>
  <c r="L60" i="2" s="1"/>
  <c r="E21" i="15" s="1"/>
  <c r="C60" i="2"/>
  <c r="Q60" i="2"/>
  <c r="R60" i="2" s="1"/>
  <c r="H21" i="15" s="1"/>
  <c r="I60" i="2"/>
  <c r="J60" i="2" s="1"/>
  <c r="D21" i="15" s="1"/>
  <c r="D60" i="2"/>
  <c r="I40" i="2"/>
  <c r="D40" i="2"/>
  <c r="E40" i="2"/>
  <c r="C40" i="2"/>
  <c r="B40" i="2"/>
  <c r="C52" i="10"/>
  <c r="B66" i="10"/>
  <c r="Z316" i="7"/>
  <c r="Z313" i="7"/>
  <c r="Y305" i="7"/>
  <c r="Y306" i="7" s="1"/>
  <c r="Y307" i="7" s="1"/>
  <c r="Y308" i="7" s="1"/>
  <c r="Y309" i="7" s="1"/>
  <c r="Y310" i="7" s="1"/>
  <c r="Y311" i="7" s="1"/>
  <c r="Y312" i="7" s="1"/>
  <c r="Y313" i="7" s="1"/>
  <c r="Z302" i="7"/>
  <c r="Z291" i="7"/>
  <c r="Z280" i="7"/>
  <c r="Z277" i="7"/>
  <c r="Y269" i="7"/>
  <c r="Y270" i="7" s="1"/>
  <c r="Y271" i="7" s="1"/>
  <c r="Y272" i="7" s="1"/>
  <c r="Y273" i="7" s="1"/>
  <c r="Y274" i="7" s="1"/>
  <c r="Y275" i="7" s="1"/>
  <c r="Y276" i="7" s="1"/>
  <c r="Y277" i="7" s="1"/>
  <c r="Z266" i="7"/>
  <c r="Z255" i="7"/>
  <c r="Z244" i="7"/>
  <c r="Z317" i="7"/>
  <c r="Z306" i="7"/>
  <c r="Z303" i="7"/>
  <c r="Z292" i="7"/>
  <c r="Z281" i="7"/>
  <c r="Z270" i="7"/>
  <c r="Z267" i="7"/>
  <c r="Z256" i="7"/>
  <c r="Z245" i="7"/>
  <c r="Z318" i="7"/>
  <c r="Z307" i="7"/>
  <c r="Z304" i="7"/>
  <c r="Y296" i="7"/>
  <c r="Y297" i="7" s="1"/>
  <c r="Y298" i="7" s="1"/>
  <c r="Y299" i="7" s="1"/>
  <c r="Y300" i="7" s="1"/>
  <c r="Y301" i="7" s="1"/>
  <c r="Y302" i="7" s="1"/>
  <c r="Y303" i="7" s="1"/>
  <c r="Y304" i="7" s="1"/>
  <c r="Z293" i="7"/>
  <c r="Z282" i="7"/>
  <c r="Z271" i="7"/>
  <c r="Z268" i="7"/>
  <c r="Y260" i="7"/>
  <c r="Y261" i="7" s="1"/>
  <c r="Y262" i="7" s="1"/>
  <c r="Y263" i="7" s="1"/>
  <c r="Y264" i="7" s="1"/>
  <c r="Y265" i="7" s="1"/>
  <c r="Y266" i="7" s="1"/>
  <c r="Y267" i="7" s="1"/>
  <c r="Y268" i="7" s="1"/>
  <c r="Z257" i="7"/>
  <c r="Z246" i="7"/>
  <c r="Z236" i="7"/>
  <c r="Z319" i="7"/>
  <c r="Z308" i="7"/>
  <c r="Z297" i="7"/>
  <c r="Z294" i="7"/>
  <c r="Z283" i="7"/>
  <c r="Z272" i="7"/>
  <c r="Z261" i="7"/>
  <c r="Z258" i="7"/>
  <c r="Z247" i="7"/>
  <c r="Y323" i="7"/>
  <c r="Z320" i="7"/>
  <c r="Z309" i="7"/>
  <c r="Z298" i="7"/>
  <c r="Z295" i="7"/>
  <c r="Y287" i="7"/>
  <c r="Y288" i="7" s="1"/>
  <c r="Y289" i="7" s="1"/>
  <c r="Y290" i="7" s="1"/>
  <c r="Y291" i="7" s="1"/>
  <c r="Y292" i="7" s="1"/>
  <c r="Y293" i="7" s="1"/>
  <c r="Y294" i="7" s="1"/>
  <c r="Y295" i="7" s="1"/>
  <c r="Z284" i="7"/>
  <c r="Z273" i="7"/>
  <c r="Z262" i="7"/>
  <c r="Z259" i="7"/>
  <c r="Y251" i="7"/>
  <c r="Y252" i="7" s="1"/>
  <c r="Y253" i="7" s="1"/>
  <c r="Y254" i="7" s="1"/>
  <c r="Y255" i="7" s="1"/>
  <c r="Y256" i="7" s="1"/>
  <c r="Y257" i="7" s="1"/>
  <c r="Y258" i="7" s="1"/>
  <c r="Y259" i="7" s="1"/>
  <c r="Z248" i="7"/>
  <c r="Z321" i="7"/>
  <c r="Z310" i="7"/>
  <c r="Z299" i="7"/>
  <c r="Z288" i="7"/>
  <c r="Z285" i="7"/>
  <c r="Z274" i="7"/>
  <c r="Z263" i="7"/>
  <c r="Z252" i="7"/>
  <c r="Z249" i="7"/>
  <c r="Y239" i="7"/>
  <c r="Z322" i="7"/>
  <c r="Y314" i="7"/>
  <c r="Y315" i="7" s="1"/>
  <c r="Y316" i="7" s="1"/>
  <c r="Y317" i="7" s="1"/>
  <c r="Y318" i="7" s="1"/>
  <c r="Y319" i="7" s="1"/>
  <c r="Y320" i="7" s="1"/>
  <c r="Y321" i="7" s="1"/>
  <c r="Y322" i="7" s="1"/>
  <c r="Z311" i="7"/>
  <c r="Z300" i="7"/>
  <c r="Z289" i="7"/>
  <c r="Z286" i="7"/>
  <c r="Y278" i="7"/>
  <c r="Y279" i="7" s="1"/>
  <c r="Y280" i="7" s="1"/>
  <c r="Y281" i="7" s="1"/>
  <c r="Y282" i="7" s="1"/>
  <c r="Y283" i="7" s="1"/>
  <c r="Y284" i="7" s="1"/>
  <c r="Y285" i="7" s="1"/>
  <c r="Y286" i="7" s="1"/>
  <c r="Z275" i="7"/>
  <c r="Z264" i="7"/>
  <c r="Z253" i="7"/>
  <c r="Z250" i="7"/>
  <c r="Z242" i="7"/>
  <c r="Z265" i="7"/>
  <c r="Z243" i="7"/>
  <c r="Y242" i="7"/>
  <c r="Y243" i="7" s="1"/>
  <c r="Y244" i="7" s="1"/>
  <c r="Y245" i="7" s="1"/>
  <c r="Y246" i="7" s="1"/>
  <c r="Y247" i="7" s="1"/>
  <c r="Y248" i="7" s="1"/>
  <c r="Y249" i="7" s="1"/>
  <c r="Y250" i="7" s="1"/>
  <c r="AC250" i="7" s="1"/>
  <c r="AC249" i="7" s="1"/>
  <c r="AC248" i="7" s="1"/>
  <c r="AC247" i="7" s="1"/>
  <c r="AC246" i="7" s="1"/>
  <c r="AC245" i="7" s="1"/>
  <c r="AC244" i="7" s="1"/>
  <c r="AC243" i="7" s="1"/>
  <c r="AC242" i="7" s="1"/>
  <c r="Z312" i="7"/>
  <c r="Z290" i="7"/>
  <c r="Z276" i="7"/>
  <c r="Z254" i="7"/>
  <c r="Z315" i="7"/>
  <c r="Z279" i="7"/>
  <c r="Z301" i="7"/>
  <c r="K8" i="17"/>
  <c r="L8" i="17"/>
  <c r="J8" i="17"/>
  <c r="C266" i="12"/>
  <c r="C288" i="12"/>
  <c r="Q288" i="12" s="1"/>
  <c r="C238" i="12"/>
  <c r="Q238" i="12" s="1"/>
  <c r="C182" i="12"/>
  <c r="Q182" i="12" s="1"/>
  <c r="C252" i="12"/>
  <c r="Q252" i="12" s="1"/>
  <c r="C196" i="12"/>
  <c r="Q196" i="12" s="1"/>
  <c r="C210" i="12"/>
  <c r="Q210" i="12" s="1"/>
  <c r="C168" i="12"/>
  <c r="Q168" i="12" s="1"/>
  <c r="C224" i="12"/>
  <c r="Q224" i="12" s="1"/>
  <c r="C154" i="12"/>
  <c r="Q154" i="12" s="1"/>
  <c r="C293" i="12"/>
  <c r="Q293" i="12" s="1"/>
  <c r="C271" i="12"/>
  <c r="C201" i="12"/>
  <c r="Q201" i="12" s="1"/>
  <c r="C215" i="12"/>
  <c r="Q215" i="12" s="1"/>
  <c r="C257" i="12"/>
  <c r="Q257" i="12" s="1"/>
  <c r="C229" i="12"/>
  <c r="Q229" i="12" s="1"/>
  <c r="C173" i="12"/>
  <c r="Q173" i="12" s="1"/>
  <c r="C243" i="12"/>
  <c r="Q243" i="12" s="1"/>
  <c r="C187" i="12"/>
  <c r="Q187" i="12" s="1"/>
  <c r="C159" i="12"/>
  <c r="Q159" i="12" s="1"/>
  <c r="C290" i="12"/>
  <c r="Q290" i="12" s="1"/>
  <c r="C268" i="12"/>
  <c r="C226" i="12"/>
  <c r="Q226" i="12" s="1"/>
  <c r="C170" i="12"/>
  <c r="Q170" i="12" s="1"/>
  <c r="C240" i="12"/>
  <c r="Q240" i="12" s="1"/>
  <c r="C184" i="12"/>
  <c r="Q184" i="12" s="1"/>
  <c r="C254" i="12"/>
  <c r="Q254" i="12" s="1"/>
  <c r="C198" i="12"/>
  <c r="Q198" i="12" s="1"/>
  <c r="C212" i="12"/>
  <c r="Q212" i="12" s="1"/>
  <c r="C156" i="12"/>
  <c r="Q156" i="12" s="1"/>
  <c r="I160" i="12"/>
  <c r="H160" i="12"/>
  <c r="O160" i="12"/>
  <c r="G160" i="12"/>
  <c r="N160" i="12"/>
  <c r="F160" i="12"/>
  <c r="M160" i="12"/>
  <c r="E160" i="12"/>
  <c r="L160" i="12"/>
  <c r="D160" i="12"/>
  <c r="K160" i="12"/>
  <c r="J160" i="12"/>
  <c r="F47" i="26"/>
  <c r="F46" i="26"/>
  <c r="F44" i="26"/>
  <c r="F49" i="26"/>
  <c r="F43" i="26"/>
  <c r="F50" i="26"/>
  <c r="F48" i="26"/>
  <c r="J23" i="6"/>
  <c r="I23" i="6"/>
  <c r="F23" i="6"/>
  <c r="H23" i="6"/>
  <c r="K23" i="6" s="1"/>
  <c r="L23" i="6" s="1"/>
  <c r="E23" i="6"/>
  <c r="D21" i="4"/>
  <c r="D18" i="4"/>
  <c r="D6" i="4"/>
  <c r="D19" i="4"/>
  <c r="D15" i="4"/>
  <c r="D7" i="4"/>
  <c r="D3" i="4"/>
  <c r="D24" i="4"/>
  <c r="D13" i="4"/>
  <c r="D10" i="4"/>
  <c r="H1" i="4"/>
  <c r="D25" i="4"/>
  <c r="D11" i="4"/>
  <c r="D23" i="4"/>
  <c r="D22" i="4"/>
  <c r="D9" i="4"/>
  <c r="E40" i="4"/>
  <c r="D17" i="4"/>
  <c r="D5" i="4"/>
  <c r="D20" i="4"/>
  <c r="D8" i="4"/>
  <c r="D16" i="4"/>
  <c r="D12" i="4"/>
  <c r="D4" i="4"/>
  <c r="L49" i="17"/>
  <c r="K49" i="17"/>
  <c r="J49" i="17"/>
  <c r="K38" i="17"/>
  <c r="J38" i="17"/>
  <c r="L38" i="17"/>
  <c r="L29" i="17"/>
  <c r="K29" i="17"/>
  <c r="J29" i="17"/>
  <c r="K14" i="17"/>
  <c r="L14" i="17"/>
  <c r="J14" i="17"/>
  <c r="K24" i="17"/>
  <c r="J24" i="17"/>
  <c r="L24" i="17"/>
  <c r="O158" i="12"/>
  <c r="G158" i="12"/>
  <c r="N158" i="12"/>
  <c r="F158" i="12"/>
  <c r="M158" i="12"/>
  <c r="E158" i="12"/>
  <c r="L158" i="12"/>
  <c r="D158" i="12"/>
  <c r="K158" i="12"/>
  <c r="J158" i="12"/>
  <c r="I158" i="12"/>
  <c r="H158" i="12"/>
  <c r="K200" i="12"/>
  <c r="J200" i="12"/>
  <c r="I200" i="12"/>
  <c r="H200" i="12"/>
  <c r="O200" i="12"/>
  <c r="G200" i="12"/>
  <c r="N200" i="12"/>
  <c r="F200" i="12"/>
  <c r="M200" i="12"/>
  <c r="E200" i="12"/>
  <c r="L200" i="12"/>
  <c r="D200" i="12"/>
  <c r="O255" i="12"/>
  <c r="G255" i="12"/>
  <c r="L255" i="12"/>
  <c r="D255" i="12"/>
  <c r="J255" i="12"/>
  <c r="I255" i="12"/>
  <c r="H255" i="12"/>
  <c r="F255" i="12"/>
  <c r="E255" i="12"/>
  <c r="N255" i="12"/>
  <c r="M255" i="12"/>
  <c r="K255" i="12"/>
  <c r="F18" i="6"/>
  <c r="W250" i="7"/>
  <c r="W249" i="7" s="1"/>
  <c r="W248" i="7" s="1"/>
  <c r="W247" i="7" s="1"/>
  <c r="W246" i="7" s="1"/>
  <c r="W245" i="7" s="1"/>
  <c r="W244" i="7" s="1"/>
  <c r="W243" i="7" s="1"/>
  <c r="W242" i="7" s="1"/>
  <c r="W260" i="7"/>
  <c r="F51" i="26"/>
  <c r="K244" i="12"/>
  <c r="J244" i="12"/>
  <c r="I244" i="12"/>
  <c r="H244" i="12"/>
  <c r="O244" i="12"/>
  <c r="G244" i="12"/>
  <c r="N244" i="12"/>
  <c r="F244" i="12"/>
  <c r="M244" i="12"/>
  <c r="E244" i="12"/>
  <c r="L244" i="12"/>
  <c r="D244" i="12"/>
  <c r="J14" i="2"/>
  <c r="J27" i="21"/>
  <c r="P27" i="21" s="1"/>
  <c r="P18" i="21"/>
  <c r="L169" i="12"/>
  <c r="D169" i="12"/>
  <c r="I169" i="12"/>
  <c r="N169" i="12"/>
  <c r="F169" i="12"/>
  <c r="E169" i="12"/>
  <c r="O169" i="12"/>
  <c r="M169" i="12"/>
  <c r="K169" i="12"/>
  <c r="J169" i="12"/>
  <c r="H169" i="12"/>
  <c r="G169" i="12"/>
  <c r="J16" i="2"/>
  <c r="D13" i="25"/>
  <c r="E13" i="25" s="1"/>
  <c r="C13" i="25"/>
  <c r="P2" i="2" a="1"/>
  <c r="P2" i="2" s="1"/>
  <c r="B41" i="2"/>
  <c r="I41" i="2"/>
  <c r="E41" i="2"/>
  <c r="C41" i="2"/>
  <c r="D41" i="2"/>
  <c r="I39" i="2"/>
  <c r="E39" i="2"/>
  <c r="C39" i="2"/>
  <c r="B39" i="2"/>
  <c r="C326" i="15"/>
  <c r="C320" i="15"/>
  <c r="E320" i="15" s="1"/>
  <c r="L7" i="17"/>
  <c r="K7" i="17"/>
  <c r="J7" i="17"/>
  <c r="J5" i="17"/>
  <c r="K5" i="17"/>
  <c r="L5" i="17"/>
  <c r="L19" i="6"/>
  <c r="S58" i="2"/>
  <c r="E58" i="2"/>
  <c r="H107" i="15"/>
  <c r="H197" i="12"/>
  <c r="O197" i="12"/>
  <c r="G197" i="12"/>
  <c r="N197" i="12"/>
  <c r="F197" i="12"/>
  <c r="M197" i="12"/>
  <c r="E197" i="12"/>
  <c r="L197" i="12"/>
  <c r="D197" i="12"/>
  <c r="K197" i="12"/>
  <c r="J197" i="12"/>
  <c r="I197" i="12"/>
  <c r="D7" i="25"/>
  <c r="E7" i="25" s="1"/>
  <c r="C7" i="25"/>
  <c r="L9" i="17"/>
  <c r="K9" i="17"/>
  <c r="J9" i="17"/>
  <c r="L33" i="17"/>
  <c r="K33" i="17"/>
  <c r="J33" i="17"/>
  <c r="K46" i="17"/>
  <c r="J46" i="17"/>
  <c r="L46" i="17"/>
  <c r="K27" i="17"/>
  <c r="J27" i="17"/>
  <c r="L27" i="17"/>
  <c r="J32" i="17"/>
  <c r="K32" i="17"/>
  <c r="L32" i="17"/>
  <c r="K48" i="17"/>
  <c r="J48" i="17"/>
  <c r="L48" i="17"/>
  <c r="L25" i="17"/>
  <c r="K25" i="17"/>
  <c r="J25" i="17"/>
  <c r="E326" i="15"/>
  <c r="I186" i="12"/>
  <c r="H186" i="12"/>
  <c r="O186" i="12"/>
  <c r="G186" i="12"/>
  <c r="N186" i="12"/>
  <c r="F186" i="12"/>
  <c r="M186" i="12"/>
  <c r="E186" i="12"/>
  <c r="K186" i="12"/>
  <c r="L186" i="12"/>
  <c r="J186" i="12"/>
  <c r="D186" i="12"/>
  <c r="M227" i="12"/>
  <c r="E227" i="12"/>
  <c r="L227" i="12"/>
  <c r="D227" i="12"/>
  <c r="K227" i="12"/>
  <c r="J227" i="12"/>
  <c r="I227" i="12"/>
  <c r="H227" i="12"/>
  <c r="O227" i="12"/>
  <c r="G227" i="12"/>
  <c r="N227" i="12"/>
  <c r="F227" i="12"/>
  <c r="H40" i="15"/>
  <c r="B33" i="21"/>
  <c r="B34" i="21" s="1"/>
  <c r="K21" i="21" s="1"/>
  <c r="C212" i="15"/>
  <c r="D43" i="15"/>
  <c r="E43" i="15" s="1"/>
  <c r="D226" i="15"/>
  <c r="C43" i="15"/>
  <c r="D82" i="15"/>
  <c r="D47" i="15"/>
  <c r="E47" i="15" s="1"/>
  <c r="C78" i="15"/>
  <c r="C47" i="15"/>
  <c r="D212" i="15"/>
  <c r="E212" i="15" s="1"/>
  <c r="D78" i="15"/>
  <c r="E78" i="15" s="1"/>
  <c r="C226" i="15"/>
  <c r="C82" i="15"/>
  <c r="I23" i="21"/>
  <c r="J22" i="21"/>
  <c r="P11" i="23"/>
  <c r="O11" i="23"/>
  <c r="M12" i="23"/>
  <c r="H280" i="15"/>
  <c r="I280" i="15" s="1"/>
  <c r="J280" i="15" s="1"/>
  <c r="K280" i="15" s="1"/>
  <c r="L280" i="15" s="1"/>
  <c r="M280" i="15" s="1"/>
  <c r="N280" i="15" s="1"/>
  <c r="O280" i="15" s="1"/>
  <c r="P280" i="15" s="1"/>
  <c r="Q280" i="15" s="1"/>
  <c r="R280" i="15" s="1"/>
  <c r="S280" i="15" s="1"/>
  <c r="G279" i="15"/>
  <c r="F281" i="15" s="1"/>
  <c r="M25" i="23"/>
  <c r="Q24" i="23"/>
  <c r="P24" i="23"/>
  <c r="O24" i="23"/>
  <c r="J22" i="6"/>
  <c r="H22" i="6"/>
  <c r="K22" i="6" s="1"/>
  <c r="L22" i="6" s="1"/>
  <c r="I22" i="6"/>
  <c r="F22" i="6"/>
  <c r="E22" i="6"/>
  <c r="N253" i="12"/>
  <c r="F253" i="12"/>
  <c r="K253" i="12"/>
  <c r="I253" i="12"/>
  <c r="L253" i="12"/>
  <c r="J253" i="12"/>
  <c r="H253" i="12"/>
  <c r="G253" i="12"/>
  <c r="E253" i="12"/>
  <c r="D253" i="12"/>
  <c r="O253" i="12"/>
  <c r="M253" i="12"/>
  <c r="D14" i="25"/>
  <c r="E14" i="25" s="1"/>
  <c r="C14" i="25"/>
  <c r="D15" i="25"/>
  <c r="E15" i="25" s="1"/>
  <c r="C15" i="25"/>
  <c r="F16" i="17"/>
  <c r="K60" i="17"/>
  <c r="J60" i="17"/>
  <c r="J16" i="6"/>
  <c r="I16" i="6"/>
  <c r="H16" i="6"/>
  <c r="K16" i="6" s="1"/>
  <c r="L16" i="6" s="1"/>
  <c r="E16" i="6"/>
  <c r="F16" i="6"/>
  <c r="H30" i="4"/>
  <c r="I30" i="4" s="1"/>
  <c r="D29" i="4"/>
  <c r="H33" i="4"/>
  <c r="I33" i="4" s="1"/>
  <c r="D32" i="4"/>
  <c r="D27" i="4"/>
  <c r="H36" i="4"/>
  <c r="I36" i="4" s="1"/>
  <c r="D35" i="4"/>
  <c r="H31" i="4"/>
  <c r="I31" i="4" s="1"/>
  <c r="D30" i="4"/>
  <c r="D36" i="4"/>
  <c r="H29" i="4"/>
  <c r="I29" i="4" s="1"/>
  <c r="H34" i="4"/>
  <c r="I34" i="4" s="1"/>
  <c r="D34" i="4"/>
  <c r="H35" i="4"/>
  <c r="I35" i="4" s="1"/>
  <c r="D33" i="4"/>
  <c r="H32" i="4"/>
  <c r="I32" i="4" s="1"/>
  <c r="D31" i="4"/>
  <c r="I51" i="17"/>
  <c r="J51" i="17" s="1"/>
  <c r="L51" i="17"/>
  <c r="K51" i="17"/>
  <c r="W18" i="11"/>
  <c r="V18" i="11"/>
  <c r="U18" i="11"/>
  <c r="T18" i="11"/>
  <c r="S18" i="11"/>
  <c r="Q18" i="11"/>
  <c r="X18" i="11"/>
  <c r="P18" i="11"/>
  <c r="R18" i="11"/>
  <c r="D110" i="15"/>
  <c r="E110" i="15" s="1"/>
  <c r="L6" i="17"/>
  <c r="K6" i="17"/>
  <c r="J6" i="17"/>
  <c r="J13" i="17"/>
  <c r="L13" i="17"/>
  <c r="K13" i="17"/>
  <c r="J2" i="17"/>
  <c r="L2" i="17"/>
  <c r="K2" i="17"/>
  <c r="J40" i="8"/>
  <c r="I40" i="8"/>
  <c r="P197" i="12" l="1"/>
  <c r="J267" i="12"/>
  <c r="L267" i="12"/>
  <c r="K267" i="12"/>
  <c r="P199" i="12"/>
  <c r="P228" i="12"/>
  <c r="O267" i="12"/>
  <c r="F267" i="12"/>
  <c r="G267" i="12"/>
  <c r="P225" i="12"/>
  <c r="G270" i="12"/>
  <c r="H269" i="12"/>
  <c r="J36" i="8"/>
  <c r="J35" i="8"/>
  <c r="L21" i="21"/>
  <c r="K20" i="21"/>
  <c r="D267" i="12"/>
  <c r="P253" i="12"/>
  <c r="W269" i="7"/>
  <c r="W259" i="7"/>
  <c r="W258" i="7" s="1"/>
  <c r="W257" i="7" s="1"/>
  <c r="W256" i="7" s="1"/>
  <c r="W255" i="7" s="1"/>
  <c r="W254" i="7" s="1"/>
  <c r="W253" i="7" s="1"/>
  <c r="W252" i="7" s="1"/>
  <c r="N209" i="12"/>
  <c r="F209" i="12"/>
  <c r="M209" i="12"/>
  <c r="E209" i="12"/>
  <c r="L209" i="12"/>
  <c r="D209" i="12"/>
  <c r="K209" i="12"/>
  <c r="J209" i="12"/>
  <c r="I209" i="12"/>
  <c r="H209" i="12"/>
  <c r="O209" i="12"/>
  <c r="G209" i="12"/>
  <c r="U70" i="2"/>
  <c r="D2" i="3"/>
  <c r="B14" i="8"/>
  <c r="C12" i="8" s="1"/>
  <c r="B12" i="8"/>
  <c r="E32" i="4"/>
  <c r="G32" i="4"/>
  <c r="M267" i="12"/>
  <c r="I267" i="12"/>
  <c r="P169" i="12"/>
  <c r="E269" i="12"/>
  <c r="O269" i="12"/>
  <c r="D40" i="4"/>
  <c r="E41" i="4"/>
  <c r="F40" i="4"/>
  <c r="F13" i="4"/>
  <c r="E13" i="4"/>
  <c r="F21" i="4"/>
  <c r="E21" i="4"/>
  <c r="H52" i="26"/>
  <c r="K226" i="12"/>
  <c r="J226" i="12"/>
  <c r="I226" i="12"/>
  <c r="H226" i="12"/>
  <c r="O226" i="12"/>
  <c r="G226" i="12"/>
  <c r="N226" i="12"/>
  <c r="F226" i="12"/>
  <c r="M226" i="12"/>
  <c r="E226" i="12"/>
  <c r="L226" i="12"/>
  <c r="D226" i="12"/>
  <c r="I257" i="12"/>
  <c r="N257" i="12"/>
  <c r="F257" i="12"/>
  <c r="L257" i="12"/>
  <c r="D257" i="12"/>
  <c r="H257" i="12"/>
  <c r="G257" i="12"/>
  <c r="E257" i="12"/>
  <c r="O257" i="12"/>
  <c r="M257" i="12"/>
  <c r="K257" i="12"/>
  <c r="J257" i="12"/>
  <c r="H210" i="12"/>
  <c r="O210" i="12"/>
  <c r="G210" i="12"/>
  <c r="N210" i="12"/>
  <c r="F210" i="12"/>
  <c r="M210" i="12"/>
  <c r="E210" i="12"/>
  <c r="L210" i="12"/>
  <c r="D210" i="12"/>
  <c r="K210" i="12"/>
  <c r="J210" i="12"/>
  <c r="I210" i="12"/>
  <c r="D318" i="15"/>
  <c r="C318" i="15"/>
  <c r="AA11" i="2"/>
  <c r="Z11" i="2"/>
  <c r="Y11" i="2"/>
  <c r="X11" i="2"/>
  <c r="V11" i="2"/>
  <c r="W11" i="2"/>
  <c r="E120" i="15"/>
  <c r="C61" i="15"/>
  <c r="C96" i="15"/>
  <c r="C232" i="15"/>
  <c r="D61" i="15"/>
  <c r="E61" i="15" s="1"/>
  <c r="D232" i="15"/>
  <c r="D96" i="15"/>
  <c r="E260" i="7"/>
  <c r="E250" i="7"/>
  <c r="E249" i="7" s="1"/>
  <c r="E248" i="7" s="1"/>
  <c r="E247" i="7" s="1"/>
  <c r="E246" i="7" s="1"/>
  <c r="E245" i="7" s="1"/>
  <c r="E244" i="7" s="1"/>
  <c r="E243" i="7" s="1"/>
  <c r="E242" i="7" s="1"/>
  <c r="G342" i="15"/>
  <c r="F344" i="15" s="1"/>
  <c r="H343" i="15"/>
  <c r="I343" i="15" s="1"/>
  <c r="J343" i="15" s="1"/>
  <c r="K343" i="15" s="1"/>
  <c r="L343" i="15" s="1"/>
  <c r="M343" i="15" s="1"/>
  <c r="N343" i="15" s="1"/>
  <c r="O343" i="15" s="1"/>
  <c r="P343" i="15" s="1"/>
  <c r="Q343" i="15" s="1"/>
  <c r="R343" i="15" s="1"/>
  <c r="S343" i="15" s="1"/>
  <c r="O270" i="12"/>
  <c r="N270" i="12"/>
  <c r="J181" i="12"/>
  <c r="I181" i="12"/>
  <c r="H181" i="12"/>
  <c r="O181" i="12"/>
  <c r="G181" i="12"/>
  <c r="N181" i="12"/>
  <c r="F181" i="12"/>
  <c r="L181" i="12"/>
  <c r="D181" i="12"/>
  <c r="M181" i="12"/>
  <c r="K181" i="12"/>
  <c r="E181" i="12"/>
  <c r="P216" i="12"/>
  <c r="E23" i="7"/>
  <c r="E24" i="7" s="1"/>
  <c r="D322" i="15"/>
  <c r="E322" i="15" s="1"/>
  <c r="C330" i="15"/>
  <c r="D330" i="15"/>
  <c r="C322" i="15"/>
  <c r="P230" i="12"/>
  <c r="H36" i="2"/>
  <c r="P183" i="12"/>
  <c r="L272" i="12"/>
  <c r="H142" i="15"/>
  <c r="I142" i="15" s="1"/>
  <c r="J142" i="15" s="1"/>
  <c r="K142" i="15" s="1"/>
  <c r="L142" i="15" s="1"/>
  <c r="M142" i="15" s="1"/>
  <c r="N142" i="15" s="1"/>
  <c r="O142" i="15" s="1"/>
  <c r="P142" i="15" s="1"/>
  <c r="Q142" i="15" s="1"/>
  <c r="R142" i="15" s="1"/>
  <c r="S142" i="15" s="1"/>
  <c r="G141" i="15"/>
  <c r="F143" i="15" s="1"/>
  <c r="B268" i="8"/>
  <c r="B84" i="8"/>
  <c r="B148" i="8"/>
  <c r="B68" i="8"/>
  <c r="B28" i="8"/>
  <c r="D82" i="12"/>
  <c r="D94" i="12" s="1"/>
  <c r="D83" i="12"/>
  <c r="D95" i="12" s="1"/>
  <c r="D84" i="12"/>
  <c r="G36" i="4"/>
  <c r="E36" i="4"/>
  <c r="F12" i="4"/>
  <c r="E12" i="4"/>
  <c r="I20" i="7"/>
  <c r="H21" i="7"/>
  <c r="H22" i="7" s="1"/>
  <c r="F3" i="3"/>
  <c r="W71" i="2"/>
  <c r="M272" i="12"/>
  <c r="G33" i="4"/>
  <c r="E33" i="4"/>
  <c r="H267" i="12"/>
  <c r="D39" i="2"/>
  <c r="H39" i="2" s="1"/>
  <c r="H41" i="2"/>
  <c r="F269" i="12"/>
  <c r="P200" i="12"/>
  <c r="P158" i="12"/>
  <c r="F4" i="4"/>
  <c r="E4" i="4"/>
  <c r="E9" i="4"/>
  <c r="F9" i="4"/>
  <c r="F24" i="4"/>
  <c r="E24" i="4"/>
  <c r="K156" i="12"/>
  <c r="J156" i="12"/>
  <c r="I156" i="12"/>
  <c r="H156" i="12"/>
  <c r="O156" i="12"/>
  <c r="G156" i="12"/>
  <c r="N156" i="12"/>
  <c r="F156" i="12"/>
  <c r="M156" i="12"/>
  <c r="E156" i="12"/>
  <c r="L156" i="12"/>
  <c r="D156" i="12"/>
  <c r="M215" i="12"/>
  <c r="E215" i="12"/>
  <c r="L215" i="12"/>
  <c r="D215" i="12"/>
  <c r="K215" i="12"/>
  <c r="J215" i="12"/>
  <c r="I215" i="12"/>
  <c r="H215" i="12"/>
  <c r="O215" i="12"/>
  <c r="G215" i="12"/>
  <c r="N215" i="12"/>
  <c r="F215" i="12"/>
  <c r="N196" i="12"/>
  <c r="F196" i="12"/>
  <c r="M196" i="12"/>
  <c r="E196" i="12"/>
  <c r="L196" i="12"/>
  <c r="D196" i="12"/>
  <c r="K196" i="12"/>
  <c r="J196" i="12"/>
  <c r="I196" i="12"/>
  <c r="H196" i="12"/>
  <c r="O196" i="12"/>
  <c r="G196" i="12"/>
  <c r="H40" i="2"/>
  <c r="E63" i="2"/>
  <c r="S63" i="2"/>
  <c r="P289" i="12"/>
  <c r="D116" i="15"/>
  <c r="C116" i="15"/>
  <c r="V10" i="2"/>
  <c r="AA10" i="2"/>
  <c r="Y10" i="2"/>
  <c r="Z10" i="2"/>
  <c r="X10" i="2"/>
  <c r="W10" i="2"/>
  <c r="P202" i="12"/>
  <c r="E270" i="12"/>
  <c r="I270" i="12"/>
  <c r="H223" i="12"/>
  <c r="O223" i="12"/>
  <c r="G223" i="12"/>
  <c r="N223" i="12"/>
  <c r="F223" i="12"/>
  <c r="M223" i="12"/>
  <c r="E223" i="12"/>
  <c r="L223" i="12"/>
  <c r="D223" i="12"/>
  <c r="K223" i="12"/>
  <c r="J223" i="12"/>
  <c r="I223" i="12"/>
  <c r="Z8" i="2"/>
  <c r="Y8" i="2"/>
  <c r="X8" i="2"/>
  <c r="W8" i="2"/>
  <c r="AA8" i="2"/>
  <c r="V8" i="2"/>
  <c r="E312" i="15"/>
  <c r="P291" i="12"/>
  <c r="E51" i="15"/>
  <c r="I73" i="2"/>
  <c r="I71" i="2"/>
  <c r="H73" i="2"/>
  <c r="F71" i="2"/>
  <c r="I70" i="2"/>
  <c r="G73" i="2"/>
  <c r="I72" i="2"/>
  <c r="H70" i="2"/>
  <c r="F73" i="2"/>
  <c r="F72" i="2"/>
  <c r="G70" i="2"/>
  <c r="F70" i="2"/>
  <c r="N67" i="2"/>
  <c r="F28" i="15" s="1"/>
  <c r="B515" i="13"/>
  <c r="C510" i="13"/>
  <c r="F272" i="12"/>
  <c r="B180" i="8"/>
  <c r="B220" i="8"/>
  <c r="B212" i="8"/>
  <c r="B124" i="8"/>
  <c r="B228" i="8"/>
  <c r="L82" i="12"/>
  <c r="L94" i="12" s="1"/>
  <c r="L83" i="12"/>
  <c r="L95" i="12" s="1"/>
  <c r="L84" i="12"/>
  <c r="F3" i="4"/>
  <c r="E3" i="4"/>
  <c r="L290" i="12"/>
  <c r="D290" i="12"/>
  <c r="K290" i="12"/>
  <c r="J290" i="12"/>
  <c r="I290" i="12"/>
  <c r="H290" i="12"/>
  <c r="O290" i="12"/>
  <c r="G290" i="12"/>
  <c r="N290" i="12"/>
  <c r="F290" i="12"/>
  <c r="M290" i="12"/>
  <c r="E290" i="12"/>
  <c r="B20" i="8"/>
  <c r="B22" i="8" s="1"/>
  <c r="B116" i="8"/>
  <c r="B292" i="8"/>
  <c r="B252" i="8"/>
  <c r="E31" i="4"/>
  <c r="G31" i="4"/>
  <c r="G30" i="4"/>
  <c r="E30" i="4"/>
  <c r="H16" i="17"/>
  <c r="I16" i="17" s="1"/>
  <c r="G16" i="17"/>
  <c r="E267" i="12"/>
  <c r="N267" i="12"/>
  <c r="E82" i="15"/>
  <c r="P186" i="12"/>
  <c r="I269" i="12"/>
  <c r="F16" i="4"/>
  <c r="E16" i="4"/>
  <c r="E23" i="4"/>
  <c r="F23" i="4"/>
  <c r="F7" i="4"/>
  <c r="E7" i="4"/>
  <c r="O198" i="12"/>
  <c r="G198" i="12"/>
  <c r="N198" i="12"/>
  <c r="F198" i="12"/>
  <c r="M198" i="12"/>
  <c r="E198" i="12"/>
  <c r="L198" i="12"/>
  <c r="D198" i="12"/>
  <c r="K198" i="12"/>
  <c r="J198" i="12"/>
  <c r="I198" i="12"/>
  <c r="H198" i="12"/>
  <c r="O159" i="12"/>
  <c r="G159" i="12"/>
  <c r="N159" i="12"/>
  <c r="F159" i="12"/>
  <c r="M159" i="12"/>
  <c r="E159" i="12"/>
  <c r="L159" i="12"/>
  <c r="D159" i="12"/>
  <c r="K159" i="12"/>
  <c r="J159" i="12"/>
  <c r="I159" i="12"/>
  <c r="H159" i="12"/>
  <c r="L182" i="12"/>
  <c r="D182" i="12"/>
  <c r="K182" i="12"/>
  <c r="J182" i="12"/>
  <c r="I182" i="12"/>
  <c r="H182" i="12"/>
  <c r="N182" i="12"/>
  <c r="F182" i="12"/>
  <c r="M182" i="12"/>
  <c r="G182" i="12"/>
  <c r="E182" i="12"/>
  <c r="O182" i="12"/>
  <c r="D41" i="15"/>
  <c r="E41" i="15" s="1"/>
  <c r="C41" i="15"/>
  <c r="D76" i="15"/>
  <c r="E76" i="15" s="1"/>
  <c r="D218" i="15"/>
  <c r="C76" i="15"/>
  <c r="C218" i="15"/>
  <c r="C74" i="15"/>
  <c r="C210" i="15"/>
  <c r="D228" i="15"/>
  <c r="C39" i="15"/>
  <c r="D80" i="15"/>
  <c r="E80" i="15" s="1"/>
  <c r="C45" i="15"/>
  <c r="C228" i="15"/>
  <c r="D74" i="15"/>
  <c r="D210" i="15"/>
  <c r="E210" i="15" s="1"/>
  <c r="G210" i="15" s="1"/>
  <c r="F212" i="15" s="1"/>
  <c r="C80" i="15"/>
  <c r="D39" i="15"/>
  <c r="E39" i="15" s="1"/>
  <c r="G39" i="15" s="1"/>
  <c r="F41" i="15" s="1"/>
  <c r="D45" i="15"/>
  <c r="C310" i="15"/>
  <c r="D310" i="15"/>
  <c r="E310" i="15" s="1"/>
  <c r="K20" i="6"/>
  <c r="L20" i="6" s="1"/>
  <c r="H270" i="12"/>
  <c r="I12" i="14"/>
  <c r="H11" i="14"/>
  <c r="H13" i="14"/>
  <c r="H14" i="14" s="1"/>
  <c r="H15" i="14" s="1"/>
  <c r="H16" i="14" s="1"/>
  <c r="H17" i="14" s="1"/>
  <c r="H18" i="14" s="1"/>
  <c r="H19" i="14" s="1"/>
  <c r="H20" i="14" s="1"/>
  <c r="H21" i="14" s="1"/>
  <c r="H22" i="14" s="1"/>
  <c r="H23" i="14" s="1"/>
  <c r="H24" i="14" s="1"/>
  <c r="H25" i="14" s="1"/>
  <c r="H26" i="14" s="1"/>
  <c r="H27" i="14" s="1"/>
  <c r="L195" i="12"/>
  <c r="D195" i="12"/>
  <c r="K195" i="12"/>
  <c r="J195" i="12"/>
  <c r="I195" i="12"/>
  <c r="H195" i="12"/>
  <c r="O195" i="12"/>
  <c r="G195" i="12"/>
  <c r="N195" i="12"/>
  <c r="F195" i="12"/>
  <c r="M195" i="12"/>
  <c r="E195" i="12"/>
  <c r="B14" i="21"/>
  <c r="B15" i="21" s="1"/>
  <c r="H178" i="15"/>
  <c r="I178" i="15" s="1"/>
  <c r="J178" i="15" s="1"/>
  <c r="K178" i="15" s="1"/>
  <c r="L178" i="15" s="1"/>
  <c r="M178" i="15" s="1"/>
  <c r="N178" i="15" s="1"/>
  <c r="O178" i="15" s="1"/>
  <c r="P178" i="15" s="1"/>
  <c r="Q178" i="15" s="1"/>
  <c r="R178" i="15" s="1"/>
  <c r="S178" i="15" s="1"/>
  <c r="G177" i="15"/>
  <c r="F179" i="15" s="1"/>
  <c r="P242" i="12"/>
  <c r="E38" i="2"/>
  <c r="C38" i="2"/>
  <c r="D38" i="2"/>
  <c r="B38" i="2"/>
  <c r="I38" i="2"/>
  <c r="P20" i="21"/>
  <c r="J25" i="21"/>
  <c r="P25" i="21" s="1"/>
  <c r="K56" i="8"/>
  <c r="E67" i="2"/>
  <c r="S67" i="2"/>
  <c r="D77" i="2"/>
  <c r="G76" i="2"/>
  <c r="G78" i="2"/>
  <c r="D76" i="2"/>
  <c r="P67" i="2"/>
  <c r="G28" i="15" s="1"/>
  <c r="F78" i="2"/>
  <c r="G75" i="2"/>
  <c r="D78" i="2"/>
  <c r="E75" i="2"/>
  <c r="F75" i="2"/>
  <c r="D75" i="2"/>
  <c r="G77" i="2"/>
  <c r="E78" i="2"/>
  <c r="X74" i="2"/>
  <c r="D5" i="3"/>
  <c r="D6" i="3"/>
  <c r="O272" i="12"/>
  <c r="H272" i="12"/>
  <c r="P174" i="12"/>
  <c r="B188" i="8"/>
  <c r="B140" i="8"/>
  <c r="B276" i="8"/>
  <c r="B316" i="8"/>
  <c r="B156" i="8"/>
  <c r="K84" i="12"/>
  <c r="K82" i="12"/>
  <c r="K94" i="12" s="1"/>
  <c r="K83" i="12"/>
  <c r="K95" i="12" s="1"/>
  <c r="C128" i="15"/>
  <c r="D128" i="15"/>
  <c r="E128" i="15" s="1"/>
  <c r="N18" i="11"/>
  <c r="O20" i="11"/>
  <c r="P157" i="12"/>
  <c r="J84" i="12"/>
  <c r="J82" i="12"/>
  <c r="J94" i="12" s="1"/>
  <c r="J83" i="12"/>
  <c r="J95" i="12" s="1"/>
  <c r="M26" i="23"/>
  <c r="Q25" i="23"/>
  <c r="P25" i="23"/>
  <c r="O25" i="23"/>
  <c r="Z14" i="2"/>
  <c r="Y14" i="2"/>
  <c r="X14" i="2"/>
  <c r="W14" i="2"/>
  <c r="AA14" i="2"/>
  <c r="V14" i="2"/>
  <c r="J269" i="12"/>
  <c r="F8" i="4"/>
  <c r="E8" i="4"/>
  <c r="F11" i="4"/>
  <c r="E11" i="4"/>
  <c r="F15" i="4"/>
  <c r="E15" i="4"/>
  <c r="M254" i="12"/>
  <c r="E254" i="12"/>
  <c r="J254" i="12"/>
  <c r="H254" i="12"/>
  <c r="I254" i="12"/>
  <c r="G254" i="12"/>
  <c r="F254" i="12"/>
  <c r="D254" i="12"/>
  <c r="O254" i="12"/>
  <c r="N254" i="12"/>
  <c r="L254" i="12"/>
  <c r="K254" i="12"/>
  <c r="I187" i="12"/>
  <c r="H187" i="12"/>
  <c r="O187" i="12"/>
  <c r="G187" i="12"/>
  <c r="N187" i="12"/>
  <c r="F187" i="12"/>
  <c r="M187" i="12"/>
  <c r="E187" i="12"/>
  <c r="K187" i="12"/>
  <c r="L187" i="12"/>
  <c r="J187" i="12"/>
  <c r="D187" i="12"/>
  <c r="K293" i="12"/>
  <c r="J293" i="12"/>
  <c r="I293" i="12"/>
  <c r="H293" i="12"/>
  <c r="O293" i="12"/>
  <c r="G293" i="12"/>
  <c r="N293" i="12"/>
  <c r="F293" i="12"/>
  <c r="M293" i="12"/>
  <c r="E293" i="12"/>
  <c r="L293" i="12"/>
  <c r="D293" i="12"/>
  <c r="L238" i="12"/>
  <c r="D238" i="12"/>
  <c r="K238" i="12"/>
  <c r="J238" i="12"/>
  <c r="I238" i="12"/>
  <c r="H238" i="12"/>
  <c r="O238" i="12"/>
  <c r="G238" i="12"/>
  <c r="N238" i="12"/>
  <c r="F238" i="12"/>
  <c r="M238" i="12"/>
  <c r="E238" i="12"/>
  <c r="E60" i="2"/>
  <c r="S60" i="2"/>
  <c r="P214" i="12"/>
  <c r="P213" i="12"/>
  <c r="J270" i="12"/>
  <c r="L251" i="12"/>
  <c r="D251" i="12"/>
  <c r="K251" i="12"/>
  <c r="J251" i="12"/>
  <c r="I251" i="12"/>
  <c r="H251" i="12"/>
  <c r="O251" i="12"/>
  <c r="G251" i="12"/>
  <c r="N251" i="12"/>
  <c r="F251" i="12"/>
  <c r="M251" i="12"/>
  <c r="E251" i="12"/>
  <c r="K236" i="7"/>
  <c r="K238" i="7" s="1"/>
  <c r="J236" i="7"/>
  <c r="D66" i="7"/>
  <c r="D67" i="7" s="1"/>
  <c r="D68" i="7" s="1"/>
  <c r="D69" i="7" s="1"/>
  <c r="D70" i="7" s="1"/>
  <c r="D71" i="7" s="1"/>
  <c r="D72" i="7" s="1"/>
  <c r="D73" i="7" s="1"/>
  <c r="F65" i="7"/>
  <c r="F66" i="7" s="1"/>
  <c r="F67" i="7" s="1"/>
  <c r="F68" i="7" s="1"/>
  <c r="F69" i="7" s="1"/>
  <c r="F70" i="7" s="1"/>
  <c r="F71" i="7" s="1"/>
  <c r="F72" i="7" s="1"/>
  <c r="F73" i="7" s="1"/>
  <c r="Q238" i="7"/>
  <c r="N237" i="7"/>
  <c r="Q251" i="7" s="1"/>
  <c r="Q236" i="7"/>
  <c r="P236" i="7"/>
  <c r="C230" i="15"/>
  <c r="D53" i="15"/>
  <c r="C53" i="15"/>
  <c r="C88" i="15"/>
  <c r="D88" i="15"/>
  <c r="D230" i="15"/>
  <c r="M22" i="11"/>
  <c r="L22" i="11"/>
  <c r="K22" i="11"/>
  <c r="J24" i="11"/>
  <c r="S73" i="2"/>
  <c r="B5" i="3"/>
  <c r="B4" i="3"/>
  <c r="S72" i="2"/>
  <c r="C2" i="3"/>
  <c r="T70" i="2"/>
  <c r="P258" i="12"/>
  <c r="D272" i="12"/>
  <c r="J272" i="12"/>
  <c r="B132" i="8"/>
  <c r="B76" i="8"/>
  <c r="B300" i="8"/>
  <c r="B324" i="8"/>
  <c r="B236" i="8"/>
  <c r="E82" i="12"/>
  <c r="E94" i="12" s="1"/>
  <c r="E83" i="12"/>
  <c r="E84" i="12"/>
  <c r="I83" i="12"/>
  <c r="I95" i="12" s="1"/>
  <c r="I84" i="12"/>
  <c r="I82" i="12"/>
  <c r="I94" i="12" s="1"/>
  <c r="G29" i="4"/>
  <c r="E29" i="4"/>
  <c r="P22" i="21"/>
  <c r="J23" i="21"/>
  <c r="P23" i="21" s="1"/>
  <c r="N252" i="12"/>
  <c r="F252" i="12"/>
  <c r="M252" i="12"/>
  <c r="E252" i="12"/>
  <c r="L252" i="12"/>
  <c r="D252" i="12"/>
  <c r="K252" i="12"/>
  <c r="J252" i="12"/>
  <c r="I252" i="12"/>
  <c r="H252" i="12"/>
  <c r="G252" i="12"/>
  <c r="O252" i="12"/>
  <c r="K70" i="2"/>
  <c r="K72" i="2"/>
  <c r="H67" i="2"/>
  <c r="C28" i="15" s="1"/>
  <c r="M73" i="2"/>
  <c r="N70" i="2"/>
  <c r="M70" i="2"/>
  <c r="N72" i="2"/>
  <c r="L70" i="2"/>
  <c r="N73" i="2"/>
  <c r="L73" i="2"/>
  <c r="N71" i="2"/>
  <c r="K73" i="2"/>
  <c r="K71" i="2"/>
  <c r="N272" i="12"/>
  <c r="H282" i="15"/>
  <c r="I282" i="15" s="1"/>
  <c r="J282" i="15" s="1"/>
  <c r="K282" i="15" s="1"/>
  <c r="L282" i="15" s="1"/>
  <c r="M282" i="15" s="1"/>
  <c r="N282" i="15" s="1"/>
  <c r="O282" i="15" s="1"/>
  <c r="P282" i="15" s="1"/>
  <c r="Q282" i="15" s="1"/>
  <c r="R282" i="15" s="1"/>
  <c r="S282" i="15" s="1"/>
  <c r="G281" i="15"/>
  <c r="F283" i="15" s="1"/>
  <c r="E226" i="15"/>
  <c r="I40" i="15"/>
  <c r="J40" i="15" s="1"/>
  <c r="K40" i="15" s="1"/>
  <c r="L40" i="15" s="1"/>
  <c r="M40" i="15" s="1"/>
  <c r="N40" i="15" s="1"/>
  <c r="O40" i="15" s="1"/>
  <c r="P40" i="15" s="1"/>
  <c r="Q40" i="15" s="1"/>
  <c r="R40" i="15" s="1"/>
  <c r="S40" i="15" s="1"/>
  <c r="Y16" i="2"/>
  <c r="X16" i="2"/>
  <c r="W16" i="2"/>
  <c r="V16" i="2"/>
  <c r="AA16" i="2"/>
  <c r="Z16" i="2"/>
  <c r="P244" i="12"/>
  <c r="K269" i="12"/>
  <c r="D269" i="12"/>
  <c r="P255" i="12"/>
  <c r="F20" i="4"/>
  <c r="E20" i="4"/>
  <c r="F25" i="4"/>
  <c r="E25" i="4"/>
  <c r="F19" i="4"/>
  <c r="E19" i="4"/>
  <c r="M184" i="12"/>
  <c r="E184" i="12"/>
  <c r="L184" i="12"/>
  <c r="D184" i="12"/>
  <c r="K184" i="12"/>
  <c r="J184" i="12"/>
  <c r="I184" i="12"/>
  <c r="O184" i="12"/>
  <c r="G184" i="12"/>
  <c r="N184" i="12"/>
  <c r="H184" i="12"/>
  <c r="F184" i="12"/>
  <c r="I243" i="12"/>
  <c r="H243" i="12"/>
  <c r="O243" i="12"/>
  <c r="G243" i="12"/>
  <c r="N243" i="12"/>
  <c r="F243" i="12"/>
  <c r="M243" i="12"/>
  <c r="E243" i="12"/>
  <c r="L243" i="12"/>
  <c r="D243" i="12"/>
  <c r="K243" i="12"/>
  <c r="J243" i="12"/>
  <c r="J154" i="12"/>
  <c r="I154" i="12"/>
  <c r="H154" i="12"/>
  <c r="O154" i="12"/>
  <c r="G154" i="12"/>
  <c r="N154" i="12"/>
  <c r="F154" i="12"/>
  <c r="M154" i="12"/>
  <c r="E154" i="12"/>
  <c r="L154" i="12"/>
  <c r="D154" i="12"/>
  <c r="K154" i="12"/>
  <c r="I288" i="12"/>
  <c r="H288" i="12"/>
  <c r="O288" i="12"/>
  <c r="G288" i="12"/>
  <c r="N288" i="12"/>
  <c r="F288" i="12"/>
  <c r="M288" i="12"/>
  <c r="E288" i="12"/>
  <c r="L288" i="12"/>
  <c r="D288" i="12"/>
  <c r="K288" i="12"/>
  <c r="J288" i="12"/>
  <c r="D108" i="15"/>
  <c r="E108" i="15" s="1"/>
  <c r="C108" i="15"/>
  <c r="D126" i="15"/>
  <c r="E126" i="15" s="1"/>
  <c r="C126" i="15"/>
  <c r="P155" i="12"/>
  <c r="P294" i="12"/>
  <c r="E59" i="2"/>
  <c r="S59" i="2"/>
  <c r="P211" i="12"/>
  <c r="C41" i="26"/>
  <c r="C43" i="26" s="1"/>
  <c r="D43" i="26" s="1"/>
  <c r="C44" i="26" s="1"/>
  <c r="D44" i="26" s="1"/>
  <c r="C45" i="26" s="1"/>
  <c r="D45" i="26" s="1"/>
  <c r="C46" i="26" s="1"/>
  <c r="D46" i="26" s="1"/>
  <c r="C47" i="26" s="1"/>
  <c r="D47" i="26" s="1"/>
  <c r="C48" i="26" s="1"/>
  <c r="D48" i="26" s="1"/>
  <c r="C49" i="26" s="1"/>
  <c r="D49" i="26" s="1"/>
  <c r="C50" i="26" s="1"/>
  <c r="D50" i="26" s="1"/>
  <c r="C51" i="26" s="1"/>
  <c r="D51" i="26" s="1"/>
  <c r="C54" i="26" s="1"/>
  <c r="D35" i="26"/>
  <c r="C36" i="26" s="1"/>
  <c r="D36" i="26" s="1"/>
  <c r="C37" i="26" s="1"/>
  <c r="D37" i="26" s="1"/>
  <c r="C38" i="26" s="1"/>
  <c r="D38" i="26" s="1"/>
  <c r="D270" i="12"/>
  <c r="P256" i="12"/>
  <c r="J167" i="12"/>
  <c r="I167" i="12"/>
  <c r="H167" i="12"/>
  <c r="O167" i="12"/>
  <c r="G167" i="12"/>
  <c r="N167" i="12"/>
  <c r="F167" i="12"/>
  <c r="M167" i="12"/>
  <c r="E167" i="12"/>
  <c r="L167" i="12"/>
  <c r="D167" i="12"/>
  <c r="K167" i="12"/>
  <c r="N279" i="12"/>
  <c r="F279" i="12"/>
  <c r="M279" i="12"/>
  <c r="E279" i="12"/>
  <c r="L279" i="12"/>
  <c r="D279" i="12"/>
  <c r="K279" i="12"/>
  <c r="J279" i="12"/>
  <c r="I279" i="12"/>
  <c r="H279" i="12"/>
  <c r="O279" i="12"/>
  <c r="G279" i="12"/>
  <c r="H34" i="2"/>
  <c r="G249" i="15"/>
  <c r="F251" i="15" s="1"/>
  <c r="H250" i="15"/>
  <c r="I250" i="15" s="1"/>
  <c r="J250" i="15" s="1"/>
  <c r="K250" i="15" s="1"/>
  <c r="L250" i="15" s="1"/>
  <c r="M250" i="15" s="1"/>
  <c r="N250" i="15" s="1"/>
  <c r="O250" i="15" s="1"/>
  <c r="P250" i="15" s="1"/>
  <c r="Q250" i="15" s="1"/>
  <c r="R250" i="15" s="1"/>
  <c r="S250" i="15" s="1"/>
  <c r="H37" i="2"/>
  <c r="P239" i="12"/>
  <c r="E65" i="2"/>
  <c r="S65" i="2"/>
  <c r="P172" i="12"/>
  <c r="E216" i="15"/>
  <c r="W73" i="2"/>
  <c r="F5" i="3"/>
  <c r="F4" i="3"/>
  <c r="W72" i="2"/>
  <c r="E272" i="12"/>
  <c r="K272" i="12"/>
  <c r="B92" i="8"/>
  <c r="B260" i="8"/>
  <c r="B36" i="8"/>
  <c r="B38" i="8" s="1"/>
  <c r="B172" i="8"/>
  <c r="B44" i="8"/>
  <c r="M82" i="12"/>
  <c r="M94" i="12" s="1"/>
  <c r="M83" i="12"/>
  <c r="M95" i="12" s="1"/>
  <c r="M84" i="12"/>
  <c r="F22" i="4"/>
  <c r="E22" i="4"/>
  <c r="K201" i="12"/>
  <c r="J201" i="12"/>
  <c r="I201" i="12"/>
  <c r="H201" i="12"/>
  <c r="O201" i="12"/>
  <c r="G201" i="12"/>
  <c r="N201" i="12"/>
  <c r="F201" i="12"/>
  <c r="M201" i="12"/>
  <c r="E201" i="12"/>
  <c r="L201" i="12"/>
  <c r="D201" i="12"/>
  <c r="B20" i="21"/>
  <c r="B21" i="21" s="1"/>
  <c r="B22" i="21" s="1"/>
  <c r="B16" i="21"/>
  <c r="B17" i="21" s="1"/>
  <c r="B18" i="21"/>
  <c r="B19" i="21" s="1"/>
  <c r="Y9" i="2"/>
  <c r="X9" i="2"/>
  <c r="W9" i="2"/>
  <c r="V9" i="2"/>
  <c r="Z9" i="2"/>
  <c r="AA9" i="2"/>
  <c r="J28" i="21"/>
  <c r="P28" i="21" s="1"/>
  <c r="P17" i="21"/>
  <c r="J26" i="21"/>
  <c r="P26" i="21" s="1"/>
  <c r="P19" i="21"/>
  <c r="M269" i="12"/>
  <c r="L269" i="12"/>
  <c r="E5" i="4"/>
  <c r="F5" i="4"/>
  <c r="H24" i="4"/>
  <c r="H13" i="4"/>
  <c r="H10" i="4"/>
  <c r="H22" i="4"/>
  <c r="H20" i="4"/>
  <c r="H16" i="4"/>
  <c r="H8" i="4"/>
  <c r="H4" i="4"/>
  <c r="H11" i="4"/>
  <c r="H17" i="4"/>
  <c r="H5" i="4"/>
  <c r="H21" i="4"/>
  <c r="H18" i="4"/>
  <c r="H14" i="4"/>
  <c r="H6" i="4"/>
  <c r="H15" i="4"/>
  <c r="H3" i="4"/>
  <c r="H12" i="4"/>
  <c r="H7" i="4"/>
  <c r="H19" i="4"/>
  <c r="E6" i="4"/>
  <c r="F6" i="4"/>
  <c r="M240" i="12"/>
  <c r="E240" i="12"/>
  <c r="L240" i="12"/>
  <c r="D240" i="12"/>
  <c r="K240" i="12"/>
  <c r="J240" i="12"/>
  <c r="I240" i="12"/>
  <c r="H240" i="12"/>
  <c r="O240" i="12"/>
  <c r="G240" i="12"/>
  <c r="N240" i="12"/>
  <c r="F240" i="12"/>
  <c r="O173" i="12"/>
  <c r="G173" i="12"/>
  <c r="L173" i="12"/>
  <c r="D173" i="12"/>
  <c r="K173" i="12"/>
  <c r="I173" i="12"/>
  <c r="N173" i="12"/>
  <c r="M173" i="12"/>
  <c r="J173" i="12"/>
  <c r="H173" i="12"/>
  <c r="F173" i="12"/>
  <c r="E173" i="12"/>
  <c r="J224" i="12"/>
  <c r="I224" i="12"/>
  <c r="H224" i="12"/>
  <c r="O224" i="12"/>
  <c r="G224" i="12"/>
  <c r="N224" i="12"/>
  <c r="F224" i="12"/>
  <c r="M224" i="12"/>
  <c r="E224" i="12"/>
  <c r="L224" i="12"/>
  <c r="D224" i="12"/>
  <c r="K224" i="12"/>
  <c r="D118" i="15"/>
  <c r="E118" i="15" s="1"/>
  <c r="C118" i="15"/>
  <c r="P185" i="12"/>
  <c r="K270" i="12"/>
  <c r="L270" i="12"/>
  <c r="H153" i="12"/>
  <c r="O153" i="12"/>
  <c r="G153" i="12"/>
  <c r="N153" i="12"/>
  <c r="F153" i="12"/>
  <c r="M153" i="12"/>
  <c r="E153" i="12"/>
  <c r="L153" i="12"/>
  <c r="D153" i="12"/>
  <c r="K153" i="12"/>
  <c r="J153" i="12"/>
  <c r="I153" i="12"/>
  <c r="N287" i="12"/>
  <c r="F287" i="12"/>
  <c r="M287" i="12"/>
  <c r="E287" i="12"/>
  <c r="L287" i="12"/>
  <c r="D287" i="12"/>
  <c r="K287" i="12"/>
  <c r="J287" i="12"/>
  <c r="I287" i="12"/>
  <c r="H287" i="12"/>
  <c r="G287" i="12"/>
  <c r="O287" i="12"/>
  <c r="E68" i="2"/>
  <c r="S68" i="2"/>
  <c r="C106" i="15"/>
  <c r="D106" i="15"/>
  <c r="P171" i="12"/>
  <c r="H31" i="2"/>
  <c r="X12" i="2"/>
  <c r="W12" i="2"/>
  <c r="V12" i="2"/>
  <c r="AA12" i="2"/>
  <c r="Y12" i="2"/>
  <c r="Z12" i="2"/>
  <c r="V70" i="2"/>
  <c r="E2" i="3"/>
  <c r="W74" i="2"/>
  <c r="C6" i="3"/>
  <c r="G272" i="12"/>
  <c r="D33" i="2"/>
  <c r="H33" i="2" s="1"/>
  <c r="B52" i="8"/>
  <c r="B284" i="8"/>
  <c r="B60" i="8"/>
  <c r="B164" i="8"/>
  <c r="B108" i="8"/>
  <c r="F82" i="12"/>
  <c r="F94" i="12" s="1"/>
  <c r="F83" i="12"/>
  <c r="F95" i="12" s="1"/>
  <c r="F84" i="12"/>
  <c r="I212" i="12"/>
  <c r="H212" i="12"/>
  <c r="O212" i="12"/>
  <c r="G212" i="12"/>
  <c r="N212" i="12"/>
  <c r="F212" i="12"/>
  <c r="M212" i="12"/>
  <c r="E212" i="12"/>
  <c r="L212" i="12"/>
  <c r="D212" i="12"/>
  <c r="K212" i="12"/>
  <c r="J212" i="12"/>
  <c r="O82" i="12"/>
  <c r="O94" i="12" s="1"/>
  <c r="O83" i="12"/>
  <c r="O95" i="12" s="1"/>
  <c r="O84" i="12"/>
  <c r="G35" i="4"/>
  <c r="E35" i="4"/>
  <c r="G34" i="4"/>
  <c r="E34" i="4"/>
  <c r="M13" i="23"/>
  <c r="P12" i="23"/>
  <c r="O12" i="23"/>
  <c r="P227" i="12"/>
  <c r="N269" i="12"/>
  <c r="G269" i="12"/>
  <c r="E17" i="4"/>
  <c r="F17" i="4"/>
  <c r="F10" i="4"/>
  <c r="E10" i="4"/>
  <c r="F18" i="4"/>
  <c r="E18" i="4"/>
  <c r="P160" i="12"/>
  <c r="K170" i="12"/>
  <c r="H170" i="12"/>
  <c r="M170" i="12"/>
  <c r="E170" i="12"/>
  <c r="O170" i="12"/>
  <c r="N170" i="12"/>
  <c r="L170" i="12"/>
  <c r="J170" i="12"/>
  <c r="I170" i="12"/>
  <c r="G170" i="12"/>
  <c r="F170" i="12"/>
  <c r="D170" i="12"/>
  <c r="O229" i="12"/>
  <c r="G229" i="12"/>
  <c r="N229" i="12"/>
  <c r="F229" i="12"/>
  <c r="M229" i="12"/>
  <c r="E229" i="12"/>
  <c r="L229" i="12"/>
  <c r="D229" i="12"/>
  <c r="K229" i="12"/>
  <c r="J229" i="12"/>
  <c r="I229" i="12"/>
  <c r="H229" i="12"/>
  <c r="J168" i="12"/>
  <c r="O168" i="12"/>
  <c r="G168" i="12"/>
  <c r="L168" i="12"/>
  <c r="D168" i="12"/>
  <c r="E168" i="12"/>
  <c r="N168" i="12"/>
  <c r="M168" i="12"/>
  <c r="K168" i="12"/>
  <c r="I168" i="12"/>
  <c r="H168" i="12"/>
  <c r="F168" i="12"/>
  <c r="B67" i="10"/>
  <c r="E66" i="10"/>
  <c r="D66" i="10"/>
  <c r="C66" i="10"/>
  <c r="C308" i="15"/>
  <c r="C314" i="15"/>
  <c r="D314" i="15"/>
  <c r="D308" i="15"/>
  <c r="P188" i="12"/>
  <c r="P241" i="12"/>
  <c r="AA13" i="2"/>
  <c r="Z13" i="2"/>
  <c r="X13" i="2"/>
  <c r="Y13" i="2"/>
  <c r="W13" i="2"/>
  <c r="V13" i="2"/>
  <c r="D220" i="15"/>
  <c r="E220" i="15" s="1"/>
  <c r="D84" i="15"/>
  <c r="E84" i="15" s="1"/>
  <c r="C84" i="15"/>
  <c r="C49" i="15"/>
  <c r="D49" i="15"/>
  <c r="E49" i="15" s="1"/>
  <c r="C220" i="15"/>
  <c r="S66" i="2"/>
  <c r="E66" i="2"/>
  <c r="M270" i="12"/>
  <c r="F270" i="12"/>
  <c r="J237" i="12"/>
  <c r="I237" i="12"/>
  <c r="H237" i="12"/>
  <c r="O237" i="12"/>
  <c r="G237" i="12"/>
  <c r="N237" i="12"/>
  <c r="F237" i="12"/>
  <c r="M237" i="12"/>
  <c r="E237" i="12"/>
  <c r="L237" i="12"/>
  <c r="D237" i="12"/>
  <c r="K237" i="12"/>
  <c r="S7" i="14"/>
  <c r="R5" i="14"/>
  <c r="I211" i="15"/>
  <c r="J211" i="15" s="1"/>
  <c r="K211" i="15" s="1"/>
  <c r="L211" i="15" s="1"/>
  <c r="M211" i="15" s="1"/>
  <c r="N211" i="15" s="1"/>
  <c r="O211" i="15" s="1"/>
  <c r="P211" i="15" s="1"/>
  <c r="Q211" i="15" s="1"/>
  <c r="R211" i="15" s="1"/>
  <c r="S211" i="15" s="1"/>
  <c r="H35" i="2"/>
  <c r="E222" i="15"/>
  <c r="D31" i="2"/>
  <c r="Y15" i="2"/>
  <c r="X15" i="2"/>
  <c r="W15" i="2"/>
  <c r="V15" i="2"/>
  <c r="AA15" i="2"/>
  <c r="Z15" i="2"/>
  <c r="S71" i="2"/>
  <c r="B3" i="3"/>
  <c r="E6" i="3"/>
  <c r="Y74" i="2"/>
  <c r="I272" i="12"/>
  <c r="P292" i="12"/>
  <c r="AC260" i="7"/>
  <c r="B244" i="8"/>
  <c r="B204" i="8"/>
  <c r="B100" i="8"/>
  <c r="B308" i="8"/>
  <c r="B196" i="8"/>
  <c r="B30" i="8"/>
  <c r="C27" i="8" s="1"/>
  <c r="N82" i="12"/>
  <c r="N94" i="12" s="1"/>
  <c r="N83" i="12"/>
  <c r="N95" i="12" s="1"/>
  <c r="N84" i="12"/>
  <c r="J48" i="8"/>
  <c r="I48" i="8"/>
  <c r="E245" i="12" l="1"/>
  <c r="U236" i="12" s="1"/>
  <c r="N245" i="12"/>
  <c r="N23" i="12" s="1"/>
  <c r="L245" i="12"/>
  <c r="S245" i="12" s="1"/>
  <c r="H161" i="12"/>
  <c r="V158" i="12" s="1"/>
  <c r="M245" i="12"/>
  <c r="M23" i="12" s="1"/>
  <c r="F245" i="12"/>
  <c r="F23" i="12" s="1"/>
  <c r="G295" i="12"/>
  <c r="V289" i="12" s="1"/>
  <c r="M295" i="12"/>
  <c r="S292" i="12" s="1"/>
  <c r="C15" i="8"/>
  <c r="C16" i="8" s="1"/>
  <c r="N295" i="12"/>
  <c r="S289" i="12" s="1"/>
  <c r="O161" i="12"/>
  <c r="O17" i="12" s="1"/>
  <c r="E295" i="12"/>
  <c r="U286" i="12" s="1"/>
  <c r="E161" i="12"/>
  <c r="U152" i="12" s="1"/>
  <c r="F295" i="12"/>
  <c r="V286" i="12" s="1"/>
  <c r="M161" i="12"/>
  <c r="M17" i="12" s="1"/>
  <c r="J295" i="12"/>
  <c r="U295" i="12" s="1"/>
  <c r="I161" i="12"/>
  <c r="V161" i="12" s="1"/>
  <c r="H245" i="12"/>
  <c r="H23" i="12" s="1"/>
  <c r="J161" i="12"/>
  <c r="U161" i="12" s="1"/>
  <c r="G161" i="12"/>
  <c r="G17" i="12" s="1"/>
  <c r="I245" i="12"/>
  <c r="I23" i="12" s="1"/>
  <c r="K161" i="12"/>
  <c r="K17" i="12" s="1"/>
  <c r="J245" i="12"/>
  <c r="U245" i="12" s="1"/>
  <c r="L295" i="12"/>
  <c r="S295" i="12" s="1"/>
  <c r="I295" i="12"/>
  <c r="V295" i="12" s="1"/>
  <c r="M271" i="12"/>
  <c r="P293" i="12"/>
  <c r="P272" i="12"/>
  <c r="N203" i="12"/>
  <c r="S197" i="12" s="1"/>
  <c r="L203" i="12"/>
  <c r="L20" i="12" s="1"/>
  <c r="L189" i="12"/>
  <c r="S189" i="12" s="1"/>
  <c r="J217" i="12"/>
  <c r="U217" i="12" s="1"/>
  <c r="B46" i="8"/>
  <c r="J43" i="8"/>
  <c r="J44" i="8"/>
  <c r="C35" i="8"/>
  <c r="C36" i="8"/>
  <c r="C39" i="8"/>
  <c r="C40" i="8" s="1"/>
  <c r="C19" i="8"/>
  <c r="C20" i="8"/>
  <c r="C23" i="8"/>
  <c r="C24" i="8" s="1"/>
  <c r="AC259" i="7"/>
  <c r="AC258" i="7" s="1"/>
  <c r="AC257" i="7" s="1"/>
  <c r="AC256" i="7" s="1"/>
  <c r="AC255" i="7" s="1"/>
  <c r="AC254" i="7" s="1"/>
  <c r="AC253" i="7" s="1"/>
  <c r="AC252" i="7" s="1"/>
  <c r="AC269" i="7"/>
  <c r="G175" i="12"/>
  <c r="F265" i="12"/>
  <c r="F259" i="12"/>
  <c r="H268" i="12"/>
  <c r="H295" i="12"/>
  <c r="V292" i="12" s="1"/>
  <c r="P240" i="12"/>
  <c r="J17" i="4"/>
  <c r="I17" i="4"/>
  <c r="J13" i="4"/>
  <c r="I13" i="4"/>
  <c r="K175" i="12"/>
  <c r="O175" i="12"/>
  <c r="P288" i="12"/>
  <c r="P243" i="12"/>
  <c r="H284" i="15"/>
  <c r="I284" i="15" s="1"/>
  <c r="J284" i="15" s="1"/>
  <c r="K284" i="15" s="1"/>
  <c r="L284" i="15" s="1"/>
  <c r="M284" i="15" s="1"/>
  <c r="N284" i="15" s="1"/>
  <c r="O284" i="15" s="1"/>
  <c r="P284" i="15" s="1"/>
  <c r="Q284" i="15" s="1"/>
  <c r="R284" i="15" s="1"/>
  <c r="S284" i="15" s="1"/>
  <c r="G283" i="15"/>
  <c r="F285" i="15" s="1"/>
  <c r="L266" i="12"/>
  <c r="E53" i="15"/>
  <c r="N265" i="12"/>
  <c r="N259" i="12"/>
  <c r="L259" i="12"/>
  <c r="L265" i="12"/>
  <c r="C31" i="8"/>
  <c r="C32" i="8" s="1"/>
  <c r="L268" i="12"/>
  <c r="J268" i="12"/>
  <c r="G203" i="12"/>
  <c r="H28" i="14"/>
  <c r="H29" i="14" s="1"/>
  <c r="H30" i="14" s="1"/>
  <c r="H31" i="14" s="1"/>
  <c r="H32" i="14" s="1"/>
  <c r="H33" i="14" s="1"/>
  <c r="H34" i="14" s="1"/>
  <c r="H35" i="14" s="1"/>
  <c r="H36" i="14" s="1"/>
  <c r="H37" i="14" s="1"/>
  <c r="H38" i="14" s="1"/>
  <c r="H39" i="14" s="1"/>
  <c r="H40" i="14" s="1"/>
  <c r="H41" i="14" s="1"/>
  <c r="K12" i="14" s="1"/>
  <c r="I27" i="14"/>
  <c r="E74" i="15"/>
  <c r="P182" i="12"/>
  <c r="M231" i="12"/>
  <c r="E116" i="15"/>
  <c r="P196" i="12"/>
  <c r="C38" i="7"/>
  <c r="H38" i="7" s="1"/>
  <c r="F39" i="7"/>
  <c r="E39" i="7"/>
  <c r="F189" i="12"/>
  <c r="E318" i="15"/>
  <c r="O271" i="12"/>
  <c r="I271" i="12"/>
  <c r="C11" i="8"/>
  <c r="K217" i="12"/>
  <c r="W268" i="7"/>
  <c r="W267" i="7" s="1"/>
  <c r="W266" i="7" s="1"/>
  <c r="W265" i="7" s="1"/>
  <c r="W264" i="7" s="1"/>
  <c r="W263" i="7" s="1"/>
  <c r="W262" i="7" s="1"/>
  <c r="W261" i="7" s="1"/>
  <c r="W278" i="7"/>
  <c r="J10" i="4"/>
  <c r="I10" i="4"/>
  <c r="G212" i="15"/>
  <c r="F214" i="15" s="1"/>
  <c r="H213" i="15"/>
  <c r="I213" i="15" s="1"/>
  <c r="J213" i="15" s="1"/>
  <c r="K213" i="15" s="1"/>
  <c r="L213" i="15" s="1"/>
  <c r="M213" i="15" s="1"/>
  <c r="N213" i="15" s="1"/>
  <c r="O213" i="15" s="1"/>
  <c r="P213" i="15" s="1"/>
  <c r="Q213" i="15" s="1"/>
  <c r="R213" i="15" s="1"/>
  <c r="S213" i="15" s="1"/>
  <c r="S8" i="14"/>
  <c r="R6" i="14"/>
  <c r="G245" i="12"/>
  <c r="F161" i="12"/>
  <c r="P224" i="12"/>
  <c r="J3" i="4"/>
  <c r="I3" i="4"/>
  <c r="J11" i="4"/>
  <c r="I11" i="4"/>
  <c r="J24" i="4"/>
  <c r="I24" i="4"/>
  <c r="D175" i="12"/>
  <c r="P167" i="12"/>
  <c r="H175" i="12"/>
  <c r="O266" i="12"/>
  <c r="E266" i="12"/>
  <c r="H237" i="7"/>
  <c r="K251" i="7" s="1"/>
  <c r="G265" i="12"/>
  <c r="G259" i="12"/>
  <c r="N268" i="12"/>
  <c r="E268" i="12"/>
  <c r="O22" i="11"/>
  <c r="N20" i="11"/>
  <c r="G179" i="15"/>
  <c r="F181" i="15" s="1"/>
  <c r="H180" i="15"/>
  <c r="I180" i="15" s="1"/>
  <c r="J180" i="15" s="1"/>
  <c r="K180" i="15" s="1"/>
  <c r="L180" i="15" s="1"/>
  <c r="M180" i="15" s="1"/>
  <c r="N180" i="15" s="1"/>
  <c r="O180" i="15" s="1"/>
  <c r="P180" i="15" s="1"/>
  <c r="Q180" i="15" s="1"/>
  <c r="R180" i="15" s="1"/>
  <c r="S180" i="15" s="1"/>
  <c r="O203" i="12"/>
  <c r="F231" i="12"/>
  <c r="C28" i="8"/>
  <c r="C29" i="8" s="1"/>
  <c r="E25" i="7"/>
  <c r="C65" i="7"/>
  <c r="E65" i="7" s="1"/>
  <c r="N189" i="12"/>
  <c r="E271" i="12"/>
  <c r="P226" i="12"/>
  <c r="D217" i="12"/>
  <c r="P209" i="12"/>
  <c r="K268" i="12"/>
  <c r="H23" i="7"/>
  <c r="H24" i="7" s="1"/>
  <c r="H25" i="7" s="1"/>
  <c r="H26" i="7" s="1"/>
  <c r="H27" i="7" s="1"/>
  <c r="H28" i="7" s="1"/>
  <c r="H29" i="7" s="1"/>
  <c r="L20" i="7"/>
  <c r="K21" i="7" s="1"/>
  <c r="K22" i="7" s="1"/>
  <c r="K23" i="7" s="1"/>
  <c r="K24" i="7" s="1"/>
  <c r="K25" i="7" s="1"/>
  <c r="K26" i="7" s="1"/>
  <c r="K27" i="7" s="1"/>
  <c r="K28" i="7" s="1"/>
  <c r="K29" i="7" s="1"/>
  <c r="G143" i="15"/>
  <c r="F145" i="15" s="1"/>
  <c r="H144" i="15"/>
  <c r="I144" i="15" s="1"/>
  <c r="J144" i="15" s="1"/>
  <c r="K144" i="15" s="1"/>
  <c r="L144" i="15" s="1"/>
  <c r="M144" i="15" s="1"/>
  <c r="N144" i="15" s="1"/>
  <c r="O144" i="15" s="1"/>
  <c r="P144" i="15" s="1"/>
  <c r="Q144" i="15" s="1"/>
  <c r="R144" i="15" s="1"/>
  <c r="S144" i="15" s="1"/>
  <c r="P212" i="12"/>
  <c r="K245" i="12"/>
  <c r="O245" i="12"/>
  <c r="E106" i="15"/>
  <c r="N161" i="12"/>
  <c r="J15" i="4"/>
  <c r="I15" i="4"/>
  <c r="I4" i="4"/>
  <c r="J4" i="4"/>
  <c r="H252" i="15"/>
  <c r="I252" i="15" s="1"/>
  <c r="J252" i="15" s="1"/>
  <c r="K252" i="15" s="1"/>
  <c r="L252" i="15" s="1"/>
  <c r="M252" i="15" s="1"/>
  <c r="N252" i="15" s="1"/>
  <c r="O252" i="15" s="1"/>
  <c r="P252" i="15" s="1"/>
  <c r="Q252" i="15" s="1"/>
  <c r="R252" i="15" s="1"/>
  <c r="S252" i="15" s="1"/>
  <c r="G251" i="15"/>
  <c r="F253" i="15" s="1"/>
  <c r="L175" i="12"/>
  <c r="I175" i="12"/>
  <c r="P184" i="12"/>
  <c r="G266" i="12"/>
  <c r="M266" i="12"/>
  <c r="H315" i="7"/>
  <c r="H312" i="7"/>
  <c r="H301" i="7"/>
  <c r="G296" i="7"/>
  <c r="G297" i="7" s="1"/>
  <c r="G298" i="7" s="1"/>
  <c r="G299" i="7" s="1"/>
  <c r="G300" i="7" s="1"/>
  <c r="G301" i="7" s="1"/>
  <c r="G302" i="7" s="1"/>
  <c r="G303" i="7" s="1"/>
  <c r="G304" i="7" s="1"/>
  <c r="H290" i="7"/>
  <c r="H279" i="7"/>
  <c r="H276" i="7"/>
  <c r="H265" i="7"/>
  <c r="G260" i="7"/>
  <c r="G261" i="7" s="1"/>
  <c r="G262" i="7" s="1"/>
  <c r="G263" i="7" s="1"/>
  <c r="G264" i="7" s="1"/>
  <c r="G265" i="7" s="1"/>
  <c r="G266" i="7" s="1"/>
  <c r="G267" i="7" s="1"/>
  <c r="G268" i="7" s="1"/>
  <c r="H254" i="7"/>
  <c r="H243" i="7"/>
  <c r="G242" i="7"/>
  <c r="G243" i="7" s="1"/>
  <c r="G244" i="7" s="1"/>
  <c r="G245" i="7" s="1"/>
  <c r="G246" i="7" s="1"/>
  <c r="G247" i="7" s="1"/>
  <c r="G248" i="7" s="1"/>
  <c r="G249" i="7" s="1"/>
  <c r="G250" i="7" s="1"/>
  <c r="H316" i="7"/>
  <c r="H313" i="7"/>
  <c r="H302" i="7"/>
  <c r="H291" i="7"/>
  <c r="H280" i="7"/>
  <c r="H277" i="7"/>
  <c r="H266" i="7"/>
  <c r="H255" i="7"/>
  <c r="H244" i="7"/>
  <c r="G323" i="7"/>
  <c r="H317" i="7"/>
  <c r="H306" i="7"/>
  <c r="H303" i="7"/>
  <c r="H292" i="7"/>
  <c r="G287" i="7"/>
  <c r="G288" i="7" s="1"/>
  <c r="G289" i="7" s="1"/>
  <c r="G290" i="7" s="1"/>
  <c r="G291" i="7" s="1"/>
  <c r="G292" i="7" s="1"/>
  <c r="G293" i="7" s="1"/>
  <c r="G294" i="7" s="1"/>
  <c r="G295" i="7" s="1"/>
  <c r="H281" i="7"/>
  <c r="H270" i="7"/>
  <c r="H267" i="7"/>
  <c r="H256" i="7"/>
  <c r="G251" i="7"/>
  <c r="G252" i="7" s="1"/>
  <c r="G253" i="7" s="1"/>
  <c r="G254" i="7" s="1"/>
  <c r="G255" i="7" s="1"/>
  <c r="G256" i="7" s="1"/>
  <c r="G257" i="7" s="1"/>
  <c r="G258" i="7" s="1"/>
  <c r="G259" i="7" s="1"/>
  <c r="H245" i="7"/>
  <c r="H318" i="7"/>
  <c r="H307" i="7"/>
  <c r="H304" i="7"/>
  <c r="H293" i="7"/>
  <c r="H282" i="7"/>
  <c r="H271" i="7"/>
  <c r="H268" i="7"/>
  <c r="H257" i="7"/>
  <c r="H246" i="7"/>
  <c r="G239" i="7"/>
  <c r="H236" i="7"/>
  <c r="H319" i="7"/>
  <c r="G314" i="7"/>
  <c r="G315" i="7" s="1"/>
  <c r="G316" i="7" s="1"/>
  <c r="G317" i="7" s="1"/>
  <c r="G318" i="7" s="1"/>
  <c r="G319" i="7" s="1"/>
  <c r="G320" i="7" s="1"/>
  <c r="G321" i="7" s="1"/>
  <c r="G322" i="7" s="1"/>
  <c r="H308" i="7"/>
  <c r="H297" i="7"/>
  <c r="H294" i="7"/>
  <c r="H283" i="7"/>
  <c r="G278" i="7"/>
  <c r="G279" i="7" s="1"/>
  <c r="G280" i="7" s="1"/>
  <c r="G281" i="7" s="1"/>
  <c r="G282" i="7" s="1"/>
  <c r="G283" i="7" s="1"/>
  <c r="G284" i="7" s="1"/>
  <c r="G285" i="7" s="1"/>
  <c r="G286" i="7" s="1"/>
  <c r="H272" i="7"/>
  <c r="H261" i="7"/>
  <c r="H258" i="7"/>
  <c r="H247" i="7"/>
  <c r="H320" i="7"/>
  <c r="H309" i="7"/>
  <c r="H298" i="7"/>
  <c r="H295" i="7"/>
  <c r="H284" i="7"/>
  <c r="H273" i="7"/>
  <c r="H262" i="7"/>
  <c r="H259" i="7"/>
  <c r="H248" i="7"/>
  <c r="H321" i="7"/>
  <c r="H310" i="7"/>
  <c r="G305" i="7"/>
  <c r="G306" i="7" s="1"/>
  <c r="G307" i="7" s="1"/>
  <c r="G308" i="7" s="1"/>
  <c r="G309" i="7" s="1"/>
  <c r="G310" i="7" s="1"/>
  <c r="G311" i="7" s="1"/>
  <c r="G312" i="7" s="1"/>
  <c r="G313" i="7" s="1"/>
  <c r="H299" i="7"/>
  <c r="H288" i="7"/>
  <c r="H285" i="7"/>
  <c r="H274" i="7"/>
  <c r="G269" i="7"/>
  <c r="G270" i="7" s="1"/>
  <c r="G271" i="7" s="1"/>
  <c r="G272" i="7" s="1"/>
  <c r="G273" i="7" s="1"/>
  <c r="G274" i="7" s="1"/>
  <c r="G275" i="7" s="1"/>
  <c r="G276" i="7" s="1"/>
  <c r="G277" i="7" s="1"/>
  <c r="H263" i="7"/>
  <c r="H252" i="7"/>
  <c r="H249" i="7"/>
  <c r="H322" i="7"/>
  <c r="H300" i="7"/>
  <c r="H286" i="7"/>
  <c r="H264" i="7"/>
  <c r="H242" i="7"/>
  <c r="H250" i="7"/>
  <c r="H311" i="7"/>
  <c r="H289" i="7"/>
  <c r="H275" i="7"/>
  <c r="H253" i="7"/>
  <c r="O265" i="12"/>
  <c r="O259" i="12"/>
  <c r="O268" i="12"/>
  <c r="M268" i="12"/>
  <c r="H203" i="12"/>
  <c r="E218" i="15"/>
  <c r="P198" i="12"/>
  <c r="I231" i="12"/>
  <c r="N231" i="12"/>
  <c r="P156" i="12"/>
  <c r="G189" i="12"/>
  <c r="H345" i="15"/>
  <c r="I345" i="15" s="1"/>
  <c r="J345" i="15" s="1"/>
  <c r="K345" i="15" s="1"/>
  <c r="L345" i="15" s="1"/>
  <c r="M345" i="15" s="1"/>
  <c r="N345" i="15" s="1"/>
  <c r="O345" i="15" s="1"/>
  <c r="P345" i="15" s="1"/>
  <c r="Q345" i="15" s="1"/>
  <c r="R345" i="15" s="1"/>
  <c r="S345" i="15" s="1"/>
  <c r="G344" i="15"/>
  <c r="F346" i="15" s="1"/>
  <c r="G271" i="12"/>
  <c r="L217" i="12"/>
  <c r="P267" i="12"/>
  <c r="D245" i="12"/>
  <c r="P237" i="12"/>
  <c r="K295" i="12"/>
  <c r="T295" i="12" s="1"/>
  <c r="J6" i="4"/>
  <c r="I6" i="4"/>
  <c r="I8" i="4"/>
  <c r="J8" i="4"/>
  <c r="D22" i="21"/>
  <c r="D26" i="21" s="1"/>
  <c r="B26" i="21"/>
  <c r="E175" i="12"/>
  <c r="J175" i="12"/>
  <c r="P154" i="12"/>
  <c r="H266" i="12"/>
  <c r="F266" i="12"/>
  <c r="M323" i="7"/>
  <c r="N318" i="7"/>
  <c r="N307" i="7"/>
  <c r="N304" i="7"/>
  <c r="N293" i="7"/>
  <c r="M287" i="7"/>
  <c r="M288" i="7" s="1"/>
  <c r="M289" i="7" s="1"/>
  <c r="M290" i="7" s="1"/>
  <c r="M291" i="7" s="1"/>
  <c r="M292" i="7" s="1"/>
  <c r="M293" i="7" s="1"/>
  <c r="M294" i="7" s="1"/>
  <c r="M295" i="7" s="1"/>
  <c r="N282" i="7"/>
  <c r="N271" i="7"/>
  <c r="N268" i="7"/>
  <c r="N257" i="7"/>
  <c r="M251" i="7"/>
  <c r="M252" i="7" s="1"/>
  <c r="M253" i="7" s="1"/>
  <c r="M254" i="7" s="1"/>
  <c r="M255" i="7" s="1"/>
  <c r="M256" i="7" s="1"/>
  <c r="M257" i="7" s="1"/>
  <c r="M258" i="7" s="1"/>
  <c r="M259" i="7" s="1"/>
  <c r="N246" i="7"/>
  <c r="N236" i="7"/>
  <c r="N319" i="7"/>
  <c r="N308" i="7"/>
  <c r="N297" i="7"/>
  <c r="N294" i="7"/>
  <c r="N283" i="7"/>
  <c r="N272" i="7"/>
  <c r="N261" i="7"/>
  <c r="N258" i="7"/>
  <c r="N247" i="7"/>
  <c r="M239" i="7"/>
  <c r="N320" i="7"/>
  <c r="M314" i="7"/>
  <c r="M315" i="7" s="1"/>
  <c r="M316" i="7" s="1"/>
  <c r="M317" i="7" s="1"/>
  <c r="M318" i="7" s="1"/>
  <c r="M319" i="7" s="1"/>
  <c r="M320" i="7" s="1"/>
  <c r="M321" i="7" s="1"/>
  <c r="M322" i="7" s="1"/>
  <c r="N309" i="7"/>
  <c r="N298" i="7"/>
  <c r="N295" i="7"/>
  <c r="N284" i="7"/>
  <c r="M278" i="7"/>
  <c r="M279" i="7" s="1"/>
  <c r="M280" i="7" s="1"/>
  <c r="M281" i="7" s="1"/>
  <c r="M282" i="7" s="1"/>
  <c r="M283" i="7" s="1"/>
  <c r="M284" i="7" s="1"/>
  <c r="M285" i="7" s="1"/>
  <c r="M286" i="7" s="1"/>
  <c r="N273" i="7"/>
  <c r="N262" i="7"/>
  <c r="N259" i="7"/>
  <c r="N248" i="7"/>
  <c r="N321" i="7"/>
  <c r="N310" i="7"/>
  <c r="N299" i="7"/>
  <c r="N288" i="7"/>
  <c r="N285" i="7"/>
  <c r="N274" i="7"/>
  <c r="N263" i="7"/>
  <c r="N252" i="7"/>
  <c r="N249" i="7"/>
  <c r="N322" i="7"/>
  <c r="N311" i="7"/>
  <c r="M305" i="7"/>
  <c r="M306" i="7" s="1"/>
  <c r="M307" i="7" s="1"/>
  <c r="M308" i="7" s="1"/>
  <c r="M309" i="7" s="1"/>
  <c r="M310" i="7" s="1"/>
  <c r="M311" i="7" s="1"/>
  <c r="M312" i="7" s="1"/>
  <c r="M313" i="7" s="1"/>
  <c r="N300" i="7"/>
  <c r="N289" i="7"/>
  <c r="N286" i="7"/>
  <c r="N275" i="7"/>
  <c r="M269" i="7"/>
  <c r="M270" i="7" s="1"/>
  <c r="M271" i="7" s="1"/>
  <c r="M272" i="7" s="1"/>
  <c r="M273" i="7" s="1"/>
  <c r="M274" i="7" s="1"/>
  <c r="M275" i="7" s="1"/>
  <c r="M276" i="7" s="1"/>
  <c r="M277" i="7" s="1"/>
  <c r="N264" i="7"/>
  <c r="N253" i="7"/>
  <c r="N250" i="7"/>
  <c r="Q250" i="7" s="1"/>
  <c r="Q249" i="7" s="1"/>
  <c r="Q248" i="7" s="1"/>
  <c r="Q247" i="7" s="1"/>
  <c r="Q246" i="7" s="1"/>
  <c r="Q245" i="7" s="1"/>
  <c r="Q244" i="7" s="1"/>
  <c r="Q243" i="7" s="1"/>
  <c r="Q242" i="7" s="1"/>
  <c r="N242" i="7"/>
  <c r="N315" i="7"/>
  <c r="N312" i="7"/>
  <c r="N301" i="7"/>
  <c r="N290" i="7"/>
  <c r="N279" i="7"/>
  <c r="N276" i="7"/>
  <c r="N265" i="7"/>
  <c r="N254" i="7"/>
  <c r="N243" i="7"/>
  <c r="M242" i="7"/>
  <c r="M243" i="7" s="1"/>
  <c r="M244" i="7" s="1"/>
  <c r="M245" i="7" s="1"/>
  <c r="M246" i="7" s="1"/>
  <c r="M247" i="7" s="1"/>
  <c r="M248" i="7" s="1"/>
  <c r="M249" i="7" s="1"/>
  <c r="M250" i="7" s="1"/>
  <c r="N316" i="7"/>
  <c r="N313" i="7"/>
  <c r="N302" i="7"/>
  <c r="M296" i="7"/>
  <c r="M297" i="7" s="1"/>
  <c r="M298" i="7" s="1"/>
  <c r="M299" i="7" s="1"/>
  <c r="M300" i="7" s="1"/>
  <c r="M301" i="7" s="1"/>
  <c r="M302" i="7" s="1"/>
  <c r="M303" i="7" s="1"/>
  <c r="M304" i="7" s="1"/>
  <c r="N291" i="7"/>
  <c r="N280" i="7"/>
  <c r="N277" i="7"/>
  <c r="N266" i="7"/>
  <c r="M260" i="7"/>
  <c r="M261" i="7" s="1"/>
  <c r="M262" i="7" s="1"/>
  <c r="M263" i="7" s="1"/>
  <c r="M264" i="7" s="1"/>
  <c r="M265" i="7" s="1"/>
  <c r="M266" i="7" s="1"/>
  <c r="M267" i="7" s="1"/>
  <c r="M268" i="7" s="1"/>
  <c r="N255" i="7"/>
  <c r="N244" i="7"/>
  <c r="N292" i="7"/>
  <c r="N270" i="7"/>
  <c r="N256" i="7"/>
  <c r="N317" i="7"/>
  <c r="N303" i="7"/>
  <c r="N281" i="7"/>
  <c r="N267" i="7"/>
  <c r="N245" i="7"/>
  <c r="N306" i="7"/>
  <c r="H259" i="12"/>
  <c r="H265" i="12"/>
  <c r="P187" i="12"/>
  <c r="D268" i="12"/>
  <c r="P254" i="12"/>
  <c r="I203" i="12"/>
  <c r="P290" i="12"/>
  <c r="C511" i="13"/>
  <c r="B47" i="2"/>
  <c r="D47" i="2"/>
  <c r="J231" i="12"/>
  <c r="G231" i="12"/>
  <c r="E189" i="12"/>
  <c r="O189" i="12"/>
  <c r="H271" i="12"/>
  <c r="D41" i="4"/>
  <c r="F41" i="4"/>
  <c r="E42" i="4"/>
  <c r="G217" i="12"/>
  <c r="E217" i="12"/>
  <c r="J5" i="4"/>
  <c r="I5" i="4"/>
  <c r="N271" i="12"/>
  <c r="H66" i="10"/>
  <c r="G66" i="10"/>
  <c r="F67" i="10" s="1"/>
  <c r="H67" i="10"/>
  <c r="V245" i="12"/>
  <c r="B68" i="10"/>
  <c r="E67" i="10"/>
  <c r="D67" i="10"/>
  <c r="P168" i="12"/>
  <c r="D295" i="12"/>
  <c r="P287" i="12"/>
  <c r="P173" i="12"/>
  <c r="J14" i="4"/>
  <c r="I14" i="4"/>
  <c r="I16" i="4"/>
  <c r="J16" i="4"/>
  <c r="M175" i="12"/>
  <c r="I266" i="12"/>
  <c r="N266" i="12"/>
  <c r="E230" i="15"/>
  <c r="I259" i="12"/>
  <c r="I265" i="12"/>
  <c r="F268" i="12"/>
  <c r="O26" i="23"/>
  <c r="M27" i="23"/>
  <c r="P26" i="23"/>
  <c r="Q26" i="23"/>
  <c r="H38" i="2"/>
  <c r="E203" i="12"/>
  <c r="J203" i="12"/>
  <c r="E45" i="15"/>
  <c r="K231" i="12"/>
  <c r="O231" i="12"/>
  <c r="K189" i="12"/>
  <c r="H189" i="12"/>
  <c r="E269" i="7"/>
  <c r="E259" i="7"/>
  <c r="E258" i="7" s="1"/>
  <c r="E257" i="7" s="1"/>
  <c r="E256" i="7" s="1"/>
  <c r="E255" i="7" s="1"/>
  <c r="E254" i="7" s="1"/>
  <c r="E253" i="7" s="1"/>
  <c r="E252" i="7" s="1"/>
  <c r="P210" i="12"/>
  <c r="D271" i="12"/>
  <c r="P257" i="12"/>
  <c r="O217" i="12"/>
  <c r="M217" i="12"/>
  <c r="L20" i="21"/>
  <c r="K19" i="21"/>
  <c r="D57" i="26"/>
  <c r="D56" i="26"/>
  <c r="D61" i="26"/>
  <c r="D58" i="26"/>
  <c r="D62" i="26"/>
  <c r="D64" i="26"/>
  <c r="D63" i="26"/>
  <c r="D59" i="26"/>
  <c r="D60" i="26"/>
  <c r="D266" i="12"/>
  <c r="P252" i="12"/>
  <c r="N20" i="12"/>
  <c r="E308" i="15"/>
  <c r="P229" i="12"/>
  <c r="P170" i="12"/>
  <c r="M14" i="23"/>
  <c r="P13" i="23"/>
  <c r="O13" i="23"/>
  <c r="P153" i="12"/>
  <c r="D161" i="12"/>
  <c r="J18" i="4"/>
  <c r="I18" i="4"/>
  <c r="P201" i="12"/>
  <c r="F175" i="12"/>
  <c r="P270" i="12"/>
  <c r="P269" i="12"/>
  <c r="J266" i="12"/>
  <c r="E95" i="12"/>
  <c r="R17" i="12"/>
  <c r="E88" i="15"/>
  <c r="Q260" i="7"/>
  <c r="E259" i="12"/>
  <c r="E265" i="12"/>
  <c r="J259" i="12"/>
  <c r="J265" i="12"/>
  <c r="P238" i="12"/>
  <c r="G268" i="12"/>
  <c r="M203" i="12"/>
  <c r="K203" i="12"/>
  <c r="G41" i="15"/>
  <c r="F43" i="15" s="1"/>
  <c r="H42" i="15"/>
  <c r="I42" i="15" s="1"/>
  <c r="J42" i="15" s="1"/>
  <c r="K42" i="15" s="1"/>
  <c r="L42" i="15" s="1"/>
  <c r="M42" i="15" s="1"/>
  <c r="N42" i="15" s="1"/>
  <c r="O42" i="15" s="1"/>
  <c r="P42" i="15" s="1"/>
  <c r="Q42" i="15" s="1"/>
  <c r="R42" i="15" s="1"/>
  <c r="S42" i="15" s="1"/>
  <c r="E228" i="15"/>
  <c r="P223" i="12"/>
  <c r="D231" i="12"/>
  <c r="H231" i="12"/>
  <c r="M189" i="12"/>
  <c r="I189" i="12"/>
  <c r="E96" i="15"/>
  <c r="J271" i="12"/>
  <c r="L271" i="12"/>
  <c r="H217" i="12"/>
  <c r="F217" i="12"/>
  <c r="V236" i="12"/>
  <c r="J7" i="4"/>
  <c r="I7" i="4"/>
  <c r="M24" i="11"/>
  <c r="L24" i="11"/>
  <c r="J26" i="11"/>
  <c r="K24" i="11"/>
  <c r="D259" i="12"/>
  <c r="D265" i="12"/>
  <c r="P251" i="12"/>
  <c r="E231" i="12"/>
  <c r="E314" i="15"/>
  <c r="O295" i="12"/>
  <c r="S286" i="12" s="1"/>
  <c r="L161" i="12"/>
  <c r="J19" i="4"/>
  <c r="I19" i="4"/>
  <c r="I22" i="4"/>
  <c r="J22" i="4"/>
  <c r="N175" i="12"/>
  <c r="K266" i="12"/>
  <c r="M259" i="12"/>
  <c r="M265" i="12"/>
  <c r="K265" i="12"/>
  <c r="K259" i="12"/>
  <c r="I268" i="12"/>
  <c r="K64" i="8"/>
  <c r="F203" i="12"/>
  <c r="D203" i="12"/>
  <c r="P195" i="12"/>
  <c r="P159" i="12"/>
  <c r="L16" i="17"/>
  <c r="K16" i="17"/>
  <c r="J16" i="17"/>
  <c r="L231" i="12"/>
  <c r="P215" i="12"/>
  <c r="E330" i="15"/>
  <c r="D189" i="12"/>
  <c r="P181" i="12"/>
  <c r="J189" i="12"/>
  <c r="E232" i="15"/>
  <c r="K271" i="12"/>
  <c r="F271" i="12"/>
  <c r="I217" i="12"/>
  <c r="N217" i="12"/>
  <c r="J56" i="8"/>
  <c r="I56" i="8"/>
  <c r="S203" i="12" l="1"/>
  <c r="T161" i="12"/>
  <c r="S239" i="12"/>
  <c r="E23" i="12"/>
  <c r="I69" i="12" s="1"/>
  <c r="J23" i="12"/>
  <c r="N58" i="12" s="1"/>
  <c r="N47" i="12" s="1"/>
  <c r="S158" i="12"/>
  <c r="H17" i="12"/>
  <c r="H30" i="12" s="1"/>
  <c r="V155" i="12"/>
  <c r="S152" i="12"/>
  <c r="V242" i="12"/>
  <c r="S242" i="12"/>
  <c r="E276" i="12"/>
  <c r="E17" i="12"/>
  <c r="E30" i="12" s="1"/>
  <c r="L23" i="12"/>
  <c r="L36" i="12" s="1"/>
  <c r="C37" i="8"/>
  <c r="J17" i="12"/>
  <c r="J30" i="12" s="1"/>
  <c r="I17" i="12"/>
  <c r="L19" i="12"/>
  <c r="L32" i="12" s="1"/>
  <c r="J21" i="12"/>
  <c r="J34" i="12" s="1"/>
  <c r="B54" i="8"/>
  <c r="J51" i="8"/>
  <c r="J52" i="8"/>
  <c r="I7" i="8"/>
  <c r="I5" i="8"/>
  <c r="C17" i="8"/>
  <c r="I6" i="8"/>
  <c r="T222" i="12"/>
  <c r="P231" i="12"/>
  <c r="T225" i="12" s="1"/>
  <c r="D22" i="12"/>
  <c r="T231" i="12"/>
  <c r="K22" i="12"/>
  <c r="D42" i="4"/>
  <c r="E43" i="4"/>
  <c r="F42" i="4"/>
  <c r="H276" i="12"/>
  <c r="G253" i="15"/>
  <c r="F255" i="15" s="1"/>
  <c r="H254" i="15"/>
  <c r="I254" i="15" s="1"/>
  <c r="J254" i="15" s="1"/>
  <c r="K254" i="15" s="1"/>
  <c r="L254" i="15" s="1"/>
  <c r="M254" i="15" s="1"/>
  <c r="N254" i="15" s="1"/>
  <c r="O254" i="15" s="1"/>
  <c r="P254" i="15" s="1"/>
  <c r="Q254" i="15" s="1"/>
  <c r="R254" i="15" s="1"/>
  <c r="S254" i="15" s="1"/>
  <c r="G181" i="15"/>
  <c r="F183" i="15" s="1"/>
  <c r="H182" i="15"/>
  <c r="I182" i="15" s="1"/>
  <c r="J182" i="15" s="1"/>
  <c r="K182" i="15" s="1"/>
  <c r="L182" i="15" s="1"/>
  <c r="M182" i="15" s="1"/>
  <c r="N182" i="15" s="1"/>
  <c r="O182" i="15" s="1"/>
  <c r="P182" i="15" s="1"/>
  <c r="Q182" i="15" s="1"/>
  <c r="R182" i="15" s="1"/>
  <c r="S182" i="15" s="1"/>
  <c r="S9" i="14"/>
  <c r="R8" i="14" s="1"/>
  <c r="R7" i="14"/>
  <c r="K13" i="14"/>
  <c r="K14" i="14" s="1"/>
  <c r="K15" i="14" s="1"/>
  <c r="K16" i="14" s="1"/>
  <c r="K17" i="14" s="1"/>
  <c r="K18" i="14" s="1"/>
  <c r="K19" i="14" s="1"/>
  <c r="K20" i="14" s="1"/>
  <c r="K21" i="14" s="1"/>
  <c r="K22" i="14" s="1"/>
  <c r="K23" i="14" s="1"/>
  <c r="K24" i="14" s="1"/>
  <c r="K25" i="14" s="1"/>
  <c r="K26" i="14" s="1"/>
  <c r="K27" i="14" s="1"/>
  <c r="L12" i="14"/>
  <c r="K11" i="14"/>
  <c r="N276" i="12"/>
  <c r="S166" i="12"/>
  <c r="O18" i="12"/>
  <c r="M30" i="12"/>
  <c r="F273" i="12"/>
  <c r="V250" i="12"/>
  <c r="F24" i="12"/>
  <c r="C25" i="8"/>
  <c r="H65" i="26"/>
  <c r="F56" i="26"/>
  <c r="E57" i="26" s="1"/>
  <c r="F57" i="26" s="1"/>
  <c r="E58" i="26" s="1"/>
  <c r="F58" i="26" s="1"/>
  <c r="E59" i="26" s="1"/>
  <c r="F59" i="26" s="1"/>
  <c r="E60" i="26" s="1"/>
  <c r="F60" i="26" s="1"/>
  <c r="E61" i="26" s="1"/>
  <c r="F61" i="26" s="1"/>
  <c r="E62" i="26" s="1"/>
  <c r="F62" i="26" s="1"/>
  <c r="E63" i="26" s="1"/>
  <c r="F63" i="26" s="1"/>
  <c r="E64" i="26" s="1"/>
  <c r="F64" i="26" s="1"/>
  <c r="K72" i="8"/>
  <c r="S169" i="12"/>
  <c r="N18" i="12"/>
  <c r="M36" i="12"/>
  <c r="V208" i="12"/>
  <c r="F21" i="12"/>
  <c r="V214" i="12"/>
  <c r="H21" i="12"/>
  <c r="J276" i="12"/>
  <c r="P271" i="12"/>
  <c r="H273" i="12"/>
  <c r="V256" i="12"/>
  <c r="H24" i="12"/>
  <c r="H347" i="15"/>
  <c r="I347" i="15" s="1"/>
  <c r="J347" i="15" s="1"/>
  <c r="K347" i="15" s="1"/>
  <c r="L347" i="15" s="1"/>
  <c r="M347" i="15" s="1"/>
  <c r="N347" i="15" s="1"/>
  <c r="O347" i="15" s="1"/>
  <c r="P347" i="15" s="1"/>
  <c r="Q347" i="15" s="1"/>
  <c r="R347" i="15" s="1"/>
  <c r="S347" i="15" s="1"/>
  <c r="G346" i="15"/>
  <c r="F348" i="15" s="1"/>
  <c r="V200" i="12"/>
  <c r="H20" i="12"/>
  <c r="H146" i="15"/>
  <c r="I146" i="15" s="1"/>
  <c r="J146" i="15" s="1"/>
  <c r="K146" i="15" s="1"/>
  <c r="L146" i="15" s="1"/>
  <c r="M146" i="15" s="1"/>
  <c r="N146" i="15" s="1"/>
  <c r="O146" i="15" s="1"/>
  <c r="P146" i="15" s="1"/>
  <c r="Q146" i="15" s="1"/>
  <c r="R146" i="15" s="1"/>
  <c r="S146" i="15" s="1"/>
  <c r="G145" i="15"/>
  <c r="F147" i="15" s="1"/>
  <c r="S183" i="12"/>
  <c r="N19" i="12"/>
  <c r="T217" i="12"/>
  <c r="K21" i="12"/>
  <c r="V197" i="12"/>
  <c r="G20" i="12"/>
  <c r="T175" i="12"/>
  <c r="K18" i="12"/>
  <c r="F276" i="12"/>
  <c r="C21" i="8"/>
  <c r="P266" i="12"/>
  <c r="U175" i="12"/>
  <c r="J18" i="12"/>
  <c r="G30" i="12"/>
  <c r="K63" i="12"/>
  <c r="G52" i="12"/>
  <c r="G41" i="12" s="1"/>
  <c r="G74" i="12" s="1"/>
  <c r="O63" i="12"/>
  <c r="G63" i="12"/>
  <c r="T236" i="12"/>
  <c r="P245" i="12"/>
  <c r="T239" i="12" s="1"/>
  <c r="D23" i="12"/>
  <c r="G106" i="15"/>
  <c r="F108" i="15" s="1"/>
  <c r="I107" i="15"/>
  <c r="J107" i="15" s="1"/>
  <c r="K107" i="15" s="1"/>
  <c r="L107" i="15" s="1"/>
  <c r="M107" i="15" s="1"/>
  <c r="N107" i="15" s="1"/>
  <c r="O107" i="15" s="1"/>
  <c r="P107" i="15" s="1"/>
  <c r="Q107" i="15" s="1"/>
  <c r="R107" i="15" s="1"/>
  <c r="S107" i="15" s="1"/>
  <c r="E74" i="7"/>
  <c r="G65" i="7"/>
  <c r="G66" i="7" s="1"/>
  <c r="G67" i="7" s="1"/>
  <c r="G68" i="7" s="1"/>
  <c r="G69" i="7" s="1"/>
  <c r="G70" i="7" s="1"/>
  <c r="G71" i="7" s="1"/>
  <c r="G72" i="7" s="1"/>
  <c r="G73" i="7" s="1"/>
  <c r="G74" i="7" s="1"/>
  <c r="O24" i="11"/>
  <c r="N22" i="11"/>
  <c r="H215" i="15"/>
  <c r="I215" i="15" s="1"/>
  <c r="J215" i="15" s="1"/>
  <c r="K215" i="15" s="1"/>
  <c r="L215" i="15" s="1"/>
  <c r="M215" i="15" s="1"/>
  <c r="N215" i="15" s="1"/>
  <c r="O215" i="15" s="1"/>
  <c r="P215" i="15" s="1"/>
  <c r="Q215" i="15" s="1"/>
  <c r="R215" i="15" s="1"/>
  <c r="S215" i="15" s="1"/>
  <c r="G214" i="15"/>
  <c r="F216" i="15" s="1"/>
  <c r="C14" i="8"/>
  <c r="V169" i="12"/>
  <c r="G18" i="12"/>
  <c r="C22" i="8"/>
  <c r="C44" i="8"/>
  <c r="C43" i="8"/>
  <c r="C47" i="8"/>
  <c r="C48" i="8" s="1"/>
  <c r="U166" i="12"/>
  <c r="E18" i="12"/>
  <c r="L33" i="12"/>
  <c r="V183" i="12"/>
  <c r="G19" i="12"/>
  <c r="S236" i="12"/>
  <c r="O23" i="12"/>
  <c r="I21" i="7"/>
  <c r="E26" i="7"/>
  <c r="E27" i="7" s="1"/>
  <c r="E28" i="7" s="1"/>
  <c r="E29" i="7" s="1"/>
  <c r="E30" i="7" s="1"/>
  <c r="V172" i="12"/>
  <c r="H18" i="12"/>
  <c r="AC268" i="7"/>
  <c r="AC267" i="7" s="1"/>
  <c r="AC266" i="7" s="1"/>
  <c r="AC265" i="7" s="1"/>
  <c r="AC264" i="7" s="1"/>
  <c r="AC263" i="7" s="1"/>
  <c r="AC262" i="7" s="1"/>
  <c r="AC261" i="7" s="1"/>
  <c r="AC278" i="7"/>
  <c r="C41" i="8"/>
  <c r="U189" i="12"/>
  <c r="J19" i="12"/>
  <c r="I276" i="12"/>
  <c r="U194" i="12"/>
  <c r="E20" i="12"/>
  <c r="O273" i="12"/>
  <c r="S250" i="12"/>
  <c r="O24" i="12"/>
  <c r="T245" i="12"/>
  <c r="K23" i="12"/>
  <c r="S228" i="12"/>
  <c r="M22" i="12"/>
  <c r="C33" i="8"/>
  <c r="G285" i="15"/>
  <c r="F287" i="15" s="1"/>
  <c r="H286" i="15"/>
  <c r="I286" i="15" s="1"/>
  <c r="J286" i="15" s="1"/>
  <c r="K286" i="15" s="1"/>
  <c r="L286" i="15" s="1"/>
  <c r="M286" i="15" s="1"/>
  <c r="N286" i="15" s="1"/>
  <c r="O286" i="15" s="1"/>
  <c r="P286" i="15" s="1"/>
  <c r="Q286" i="15" s="1"/>
  <c r="R286" i="15" s="1"/>
  <c r="S286" i="15" s="1"/>
  <c r="T180" i="12"/>
  <c r="P189" i="12"/>
  <c r="T183" i="12" s="1"/>
  <c r="D19" i="12"/>
  <c r="D276" i="12"/>
  <c r="P265" i="12"/>
  <c r="G43" i="15"/>
  <c r="F45" i="15" s="1"/>
  <c r="H44" i="15"/>
  <c r="I44" i="15" s="1"/>
  <c r="J44" i="15" s="1"/>
  <c r="K44" i="15" s="1"/>
  <c r="L44" i="15" s="1"/>
  <c r="M44" i="15" s="1"/>
  <c r="N44" i="15" s="1"/>
  <c r="O44" i="15" s="1"/>
  <c r="P44" i="15" s="1"/>
  <c r="Q44" i="15" s="1"/>
  <c r="R44" i="15" s="1"/>
  <c r="S44" i="15" s="1"/>
  <c r="L19" i="21"/>
  <c r="K18" i="21"/>
  <c r="S211" i="12"/>
  <c r="N21" i="12"/>
  <c r="T194" i="12"/>
  <c r="P203" i="12"/>
  <c r="T197" i="12" s="1"/>
  <c r="D20" i="12"/>
  <c r="S161" i="12"/>
  <c r="L17" i="12"/>
  <c r="V189" i="12"/>
  <c r="I19" i="12"/>
  <c r="Q259" i="7"/>
  <c r="Q258" i="7" s="1"/>
  <c r="Q257" i="7" s="1"/>
  <c r="Q256" i="7" s="1"/>
  <c r="Q255" i="7" s="1"/>
  <c r="Q254" i="7" s="1"/>
  <c r="Q253" i="7" s="1"/>
  <c r="Q252" i="7" s="1"/>
  <c r="Q269" i="7"/>
  <c r="V166" i="12"/>
  <c r="F18" i="12"/>
  <c r="E69" i="12"/>
  <c r="E58" i="12"/>
  <c r="E47" i="12" s="1"/>
  <c r="V186" i="12"/>
  <c r="H19" i="12"/>
  <c r="O30" i="12"/>
  <c r="O52" i="12"/>
  <c r="O41" i="12" s="1"/>
  <c r="G67" i="10"/>
  <c r="F68" i="10" s="1"/>
  <c r="U180" i="12"/>
  <c r="E19" i="12"/>
  <c r="S225" i="12"/>
  <c r="N22" i="12"/>
  <c r="O276" i="12"/>
  <c r="V222" i="12"/>
  <c r="F22" i="12"/>
  <c r="G273" i="12"/>
  <c r="V253" i="12"/>
  <c r="G24" i="12"/>
  <c r="P175" i="12"/>
  <c r="T169" i="12" s="1"/>
  <c r="T166" i="12"/>
  <c r="D18" i="12"/>
  <c r="V152" i="12"/>
  <c r="F17" i="12"/>
  <c r="L276" i="12"/>
  <c r="C30" i="8"/>
  <c r="C38" i="8"/>
  <c r="U222" i="12"/>
  <c r="E22" i="12"/>
  <c r="G308" i="15"/>
  <c r="F310" i="15" s="1"/>
  <c r="I309" i="15"/>
  <c r="J309" i="15" s="1"/>
  <c r="K309" i="15" s="1"/>
  <c r="L309" i="15" s="1"/>
  <c r="M309" i="15" s="1"/>
  <c r="N309" i="15" s="1"/>
  <c r="O309" i="15" s="1"/>
  <c r="P309" i="15" s="1"/>
  <c r="Q309" i="15" s="1"/>
  <c r="R309" i="15" s="1"/>
  <c r="S309" i="15" s="1"/>
  <c r="U203" i="12"/>
  <c r="J20" i="12"/>
  <c r="P295" i="12"/>
  <c r="T289" i="12" s="1"/>
  <c r="T286" i="12"/>
  <c r="K273" i="12"/>
  <c r="T259" i="12"/>
  <c r="K24" i="12"/>
  <c r="V259" i="12"/>
  <c r="I273" i="12"/>
  <c r="I24" i="12"/>
  <c r="K276" i="12"/>
  <c r="E278" i="7"/>
  <c r="E268" i="7"/>
  <c r="E267" i="7" s="1"/>
  <c r="E266" i="7" s="1"/>
  <c r="E265" i="7" s="1"/>
  <c r="E264" i="7" s="1"/>
  <c r="E263" i="7" s="1"/>
  <c r="E262" i="7" s="1"/>
  <c r="E261" i="7" s="1"/>
  <c r="S180" i="12"/>
  <c r="O19" i="12"/>
  <c r="M276" i="12"/>
  <c r="P259" i="12"/>
  <c r="T253" i="12" s="1"/>
  <c r="T250" i="12"/>
  <c r="D273" i="12"/>
  <c r="D24" i="12"/>
  <c r="T203" i="12"/>
  <c r="K20" i="12"/>
  <c r="V217" i="12"/>
  <c r="I21" i="12"/>
  <c r="V194" i="12"/>
  <c r="F20" i="12"/>
  <c r="M273" i="12"/>
  <c r="S256" i="12"/>
  <c r="M24" i="12"/>
  <c r="F36" i="12"/>
  <c r="S186" i="12"/>
  <c r="M19" i="12"/>
  <c r="S200" i="12"/>
  <c r="M20" i="12"/>
  <c r="S214" i="12"/>
  <c r="M21" i="12"/>
  <c r="T189" i="12"/>
  <c r="K19" i="12"/>
  <c r="B69" i="10"/>
  <c r="E68" i="10"/>
  <c r="D68" i="10"/>
  <c r="U208" i="12"/>
  <c r="E21" i="12"/>
  <c r="V225" i="12"/>
  <c r="G22" i="12"/>
  <c r="P268" i="12"/>
  <c r="V231" i="12"/>
  <c r="I22" i="12"/>
  <c r="V175" i="12"/>
  <c r="I18" i="12"/>
  <c r="N36" i="12"/>
  <c r="P217" i="12"/>
  <c r="T211" i="12" s="1"/>
  <c r="T208" i="12"/>
  <c r="D21" i="12"/>
  <c r="S194" i="12"/>
  <c r="O20" i="12"/>
  <c r="G276" i="12"/>
  <c r="V239" i="12"/>
  <c r="G23" i="12"/>
  <c r="V180" i="12"/>
  <c r="F19" i="12"/>
  <c r="G74" i="15"/>
  <c r="F76" i="15" s="1"/>
  <c r="I75" i="15"/>
  <c r="J75" i="15" s="1"/>
  <c r="K75" i="15" s="1"/>
  <c r="L75" i="15" s="1"/>
  <c r="M75" i="15" s="1"/>
  <c r="N75" i="15" s="1"/>
  <c r="O75" i="15" s="1"/>
  <c r="P75" i="15" s="1"/>
  <c r="Q75" i="15" s="1"/>
  <c r="R75" i="15" s="1"/>
  <c r="S75" i="15" s="1"/>
  <c r="L273" i="12"/>
  <c r="S259" i="12"/>
  <c r="L24" i="12"/>
  <c r="C13" i="8"/>
  <c r="D11" i="8" s="1"/>
  <c r="J273" i="12"/>
  <c r="U259" i="12"/>
  <c r="J24" i="12"/>
  <c r="T152" i="12"/>
  <c r="P161" i="12"/>
  <c r="T155" i="12" s="1"/>
  <c r="D17" i="12"/>
  <c r="E273" i="12"/>
  <c r="U250" i="12"/>
  <c r="E24" i="12"/>
  <c r="V203" i="12"/>
  <c r="I20" i="12"/>
  <c r="S231" i="12"/>
  <c r="L22" i="12"/>
  <c r="M26" i="11"/>
  <c r="L26" i="11"/>
  <c r="J28" i="11"/>
  <c r="K26" i="11"/>
  <c r="V228" i="12"/>
  <c r="H22" i="12"/>
  <c r="O14" i="23"/>
  <c r="M15" i="23"/>
  <c r="P14" i="23"/>
  <c r="N33" i="12"/>
  <c r="S208" i="12"/>
  <c r="O21" i="12"/>
  <c r="S222" i="12"/>
  <c r="O22" i="12"/>
  <c r="P27" i="23"/>
  <c r="O27" i="23"/>
  <c r="M28" i="23"/>
  <c r="Q27" i="23"/>
  <c r="S172" i="12"/>
  <c r="M18" i="12"/>
  <c r="K30" i="12"/>
  <c r="K52" i="12"/>
  <c r="K41" i="12" s="1"/>
  <c r="I36" i="12"/>
  <c r="V211" i="12"/>
  <c r="G21" i="12"/>
  <c r="U231" i="12"/>
  <c r="J22" i="12"/>
  <c r="H36" i="12"/>
  <c r="S217" i="12"/>
  <c r="L21" i="12"/>
  <c r="S175" i="12"/>
  <c r="L18" i="12"/>
  <c r="S155" i="12"/>
  <c r="N17" i="12"/>
  <c r="K250" i="7"/>
  <c r="K249" i="7" s="1"/>
  <c r="K248" i="7" s="1"/>
  <c r="K247" i="7" s="1"/>
  <c r="K246" i="7" s="1"/>
  <c r="K245" i="7" s="1"/>
  <c r="K244" i="7" s="1"/>
  <c r="K243" i="7" s="1"/>
  <c r="K242" i="7" s="1"/>
  <c r="K260" i="7"/>
  <c r="W277" i="7"/>
  <c r="W276" i="7" s="1"/>
  <c r="W275" i="7" s="1"/>
  <c r="W274" i="7" s="1"/>
  <c r="W273" i="7" s="1"/>
  <c r="W272" i="7" s="1"/>
  <c r="W271" i="7" s="1"/>
  <c r="W270" i="7" s="1"/>
  <c r="W287" i="7"/>
  <c r="E40" i="7"/>
  <c r="M39" i="7" s="1"/>
  <c r="N273" i="12"/>
  <c r="S253" i="12"/>
  <c r="N24" i="12"/>
  <c r="J64" i="8"/>
  <c r="I64" i="8"/>
  <c r="M69" i="12" l="1"/>
  <c r="M58" i="12"/>
  <c r="M47" i="12" s="1"/>
  <c r="N80" i="12" s="1"/>
  <c r="N92" i="12" s="1"/>
  <c r="I58" i="12"/>
  <c r="I47" i="12" s="1"/>
  <c r="E36" i="12"/>
  <c r="M277" i="12"/>
  <c r="M278" i="12" s="1"/>
  <c r="F58" i="12"/>
  <c r="F47" i="12" s="1"/>
  <c r="J69" i="12"/>
  <c r="F69" i="12"/>
  <c r="J36" i="12"/>
  <c r="N69" i="12"/>
  <c r="J58" i="12"/>
  <c r="J47" i="12" s="1"/>
  <c r="J80" i="12" s="1"/>
  <c r="J92" i="12" s="1"/>
  <c r="M63" i="12"/>
  <c r="J56" i="12"/>
  <c r="J45" i="12" s="1"/>
  <c r="H58" i="12"/>
  <c r="H47" i="12" s="1"/>
  <c r="H80" i="12" s="1"/>
  <c r="K106" i="12" s="1"/>
  <c r="D27" i="8"/>
  <c r="C45" i="8"/>
  <c r="D39" i="8"/>
  <c r="D40" i="8" s="1"/>
  <c r="D41" i="8" s="1"/>
  <c r="L55" i="12"/>
  <c r="L44" i="12" s="1"/>
  <c r="I63" i="12"/>
  <c r="E26" i="12"/>
  <c r="D36" i="8"/>
  <c r="L54" i="12"/>
  <c r="L43" i="12" s="1"/>
  <c r="I52" i="12"/>
  <c r="I41" i="12" s="1"/>
  <c r="E52" i="12"/>
  <c r="E41" i="12" s="1"/>
  <c r="I30" i="12"/>
  <c r="E63" i="12"/>
  <c r="M52" i="12"/>
  <c r="M41" i="12" s="1"/>
  <c r="I25" i="12"/>
  <c r="V25" i="12" s="1"/>
  <c r="K26" i="12"/>
  <c r="D23" i="8"/>
  <c r="D24" i="8" s="1"/>
  <c r="D25" i="8" s="1"/>
  <c r="E277" i="12"/>
  <c r="O25" i="12"/>
  <c r="S16" i="12" s="1"/>
  <c r="D15" i="8"/>
  <c r="D16" i="8" s="1"/>
  <c r="D31" i="8"/>
  <c r="D32" i="8" s="1"/>
  <c r="D33" i="8" s="1"/>
  <c r="M25" i="12"/>
  <c r="S22" i="12" s="1"/>
  <c r="G26" i="12"/>
  <c r="K277" i="12"/>
  <c r="D277" i="12"/>
  <c r="D20" i="8"/>
  <c r="M26" i="12"/>
  <c r="H25" i="12"/>
  <c r="V22" i="12" s="1"/>
  <c r="F277" i="12"/>
  <c r="J26" i="12"/>
  <c r="D35" i="8"/>
  <c r="D12" i="8"/>
  <c r="D14" i="8" s="1"/>
  <c r="M80" i="12"/>
  <c r="M92" i="12" s="1"/>
  <c r="D28" i="8"/>
  <c r="B62" i="8"/>
  <c r="J59" i="8"/>
  <c r="J60" i="8"/>
  <c r="K67" i="12"/>
  <c r="G56" i="12"/>
  <c r="G45" i="12" s="1"/>
  <c r="G78" i="12" s="1"/>
  <c r="G34" i="12"/>
  <c r="G67" i="12"/>
  <c r="O67" i="12"/>
  <c r="H109" i="15"/>
  <c r="I109" i="15" s="1"/>
  <c r="J109" i="15" s="1"/>
  <c r="K109" i="15" s="1"/>
  <c r="L109" i="15" s="1"/>
  <c r="M109" i="15" s="1"/>
  <c r="N109" i="15" s="1"/>
  <c r="O109" i="15" s="1"/>
  <c r="P109" i="15" s="1"/>
  <c r="Q109" i="15" s="1"/>
  <c r="R109" i="15" s="1"/>
  <c r="S109" i="15" s="1"/>
  <c r="G108" i="15"/>
  <c r="F110" i="15" s="1"/>
  <c r="I80" i="12"/>
  <c r="I92" i="12" s="1"/>
  <c r="O35" i="12"/>
  <c r="O57" i="12"/>
  <c r="O46" i="12" s="1"/>
  <c r="L63" i="12"/>
  <c r="D63" i="12"/>
  <c r="D26" i="12"/>
  <c r="H63" i="12"/>
  <c r="D52" i="12"/>
  <c r="D41" i="12" s="1"/>
  <c r="D74" i="12" s="1"/>
  <c r="D86" i="12" s="1"/>
  <c r="D25" i="12"/>
  <c r="D30" i="12"/>
  <c r="P17" i="12"/>
  <c r="L59" i="12"/>
  <c r="L48" i="12" s="1"/>
  <c r="L37" i="12"/>
  <c r="O68" i="12"/>
  <c r="G68" i="12"/>
  <c r="K68" i="12"/>
  <c r="G35" i="12"/>
  <c r="G57" i="12"/>
  <c r="G46" i="12" s="1"/>
  <c r="G79" i="12" s="1"/>
  <c r="M34" i="12"/>
  <c r="M56" i="12"/>
  <c r="M45" i="12" s="1"/>
  <c r="J66" i="12"/>
  <c r="N66" i="12"/>
  <c r="F55" i="12"/>
  <c r="F44" i="12" s="1"/>
  <c r="F33" i="12"/>
  <c r="F66" i="12"/>
  <c r="I59" i="12"/>
  <c r="I48" i="12" s="1"/>
  <c r="I37" i="12"/>
  <c r="M68" i="12"/>
  <c r="E68" i="12"/>
  <c r="E35" i="12"/>
  <c r="I68" i="12"/>
  <c r="E57" i="12"/>
  <c r="E46" i="12" s="1"/>
  <c r="L26" i="12"/>
  <c r="L52" i="12"/>
  <c r="L41" i="12" s="1"/>
  <c r="L74" i="12" s="1"/>
  <c r="L86" i="12" s="1"/>
  <c r="L30" i="12"/>
  <c r="L25" i="12"/>
  <c r="S25" i="12" s="1"/>
  <c r="O59" i="12"/>
  <c r="O48" i="12" s="1"/>
  <c r="O37" i="12"/>
  <c r="AC287" i="7"/>
  <c r="AC277" i="7"/>
  <c r="AC276" i="7" s="1"/>
  <c r="AC275" i="7" s="1"/>
  <c r="AC274" i="7" s="1"/>
  <c r="AC273" i="7" s="1"/>
  <c r="AC272" i="7" s="1"/>
  <c r="AC271" i="7" s="1"/>
  <c r="AC270" i="7" s="1"/>
  <c r="G216" i="15"/>
  <c r="F218" i="15" s="1"/>
  <c r="H217" i="15"/>
  <c r="I217" i="15" s="1"/>
  <c r="J217" i="15" s="1"/>
  <c r="K217" i="15" s="1"/>
  <c r="L217" i="15" s="1"/>
  <c r="M217" i="15" s="1"/>
  <c r="N217" i="15" s="1"/>
  <c r="O217" i="15" s="1"/>
  <c r="P217" i="15" s="1"/>
  <c r="Q217" i="15" s="1"/>
  <c r="R217" i="15" s="1"/>
  <c r="S217" i="15" s="1"/>
  <c r="H69" i="12"/>
  <c r="L69" i="12"/>
  <c r="D69" i="12"/>
  <c r="D58" i="12"/>
  <c r="D47" i="12" s="1"/>
  <c r="D36" i="12"/>
  <c r="P23" i="12"/>
  <c r="L58" i="12"/>
  <c r="L47" i="12" s="1"/>
  <c r="D43" i="4"/>
  <c r="E44" i="4"/>
  <c r="F43" i="4"/>
  <c r="C51" i="8"/>
  <c r="C52" i="8"/>
  <c r="C55" i="8"/>
  <c r="C56" i="8" s="1"/>
  <c r="L34" i="12"/>
  <c r="L56" i="12"/>
  <c r="L45" i="12" s="1"/>
  <c r="G25" i="12"/>
  <c r="V19" i="12" s="1"/>
  <c r="K259" i="7"/>
  <c r="K258" i="7" s="1"/>
  <c r="K257" i="7" s="1"/>
  <c r="K256" i="7" s="1"/>
  <c r="K255" i="7" s="1"/>
  <c r="K254" i="7" s="1"/>
  <c r="K253" i="7" s="1"/>
  <c r="K252" i="7" s="1"/>
  <c r="K269" i="7"/>
  <c r="I274" i="12"/>
  <c r="V273" i="12"/>
  <c r="G68" i="10"/>
  <c r="F69" i="10" s="1"/>
  <c r="H32" i="12"/>
  <c r="H54" i="12"/>
  <c r="H43" i="12" s="1"/>
  <c r="H76" i="12" s="1"/>
  <c r="I40" i="7"/>
  <c r="I22" i="7"/>
  <c r="I32" i="7"/>
  <c r="D19" i="8"/>
  <c r="K53" i="12"/>
  <c r="K42" i="12" s="1"/>
  <c r="K31" i="12"/>
  <c r="J39" i="7"/>
  <c r="L39" i="7"/>
  <c r="K34" i="12"/>
  <c r="K56" i="12"/>
  <c r="K45" i="12" s="1"/>
  <c r="H349" i="15"/>
  <c r="I349" i="15" s="1"/>
  <c r="J349" i="15" s="1"/>
  <c r="K349" i="15" s="1"/>
  <c r="L349" i="15" s="1"/>
  <c r="M349" i="15" s="1"/>
  <c r="N349" i="15" s="1"/>
  <c r="O349" i="15" s="1"/>
  <c r="P349" i="15" s="1"/>
  <c r="Q349" i="15" s="1"/>
  <c r="R349" i="15" s="1"/>
  <c r="S349" i="15" s="1"/>
  <c r="G348" i="15"/>
  <c r="F350" i="15" s="1"/>
  <c r="J277" i="12"/>
  <c r="L27" i="14"/>
  <c r="K28" i="14"/>
  <c r="K29" i="14" s="1"/>
  <c r="K30" i="14" s="1"/>
  <c r="K31" i="14" s="1"/>
  <c r="K32" i="14" s="1"/>
  <c r="K33" i="14" s="1"/>
  <c r="K34" i="14" s="1"/>
  <c r="K35" i="14" s="1"/>
  <c r="K36" i="14" s="1"/>
  <c r="K37" i="14" s="1"/>
  <c r="K38" i="14" s="1"/>
  <c r="K39" i="14" s="1"/>
  <c r="K40" i="14" s="1"/>
  <c r="K41" i="14" s="1"/>
  <c r="B47" i="14" s="1"/>
  <c r="K59" i="12"/>
  <c r="K48" i="12" s="1"/>
  <c r="K37" i="12"/>
  <c r="L18" i="21"/>
  <c r="K17" i="21"/>
  <c r="H55" i="12"/>
  <c r="H44" i="12" s="1"/>
  <c r="H77" i="12" s="1"/>
  <c r="H33" i="12"/>
  <c r="M53" i="12"/>
  <c r="M42" i="12" s="1"/>
  <c r="M31" i="12"/>
  <c r="O56" i="12"/>
  <c r="O45" i="12" s="1"/>
  <c r="O34" i="12"/>
  <c r="S273" i="12"/>
  <c r="L274" i="12"/>
  <c r="L275" i="12" s="1"/>
  <c r="O55" i="12"/>
  <c r="O44" i="12" s="1"/>
  <c r="O33" i="12"/>
  <c r="M67" i="12"/>
  <c r="E67" i="12"/>
  <c r="I67" i="12"/>
  <c r="E34" i="12"/>
  <c r="E56" i="12"/>
  <c r="E45" i="12" s="1"/>
  <c r="M55" i="12"/>
  <c r="M44" i="12" s="1"/>
  <c r="M33" i="12"/>
  <c r="I56" i="12"/>
  <c r="I45" i="12" s="1"/>
  <c r="I34" i="12"/>
  <c r="L277" i="12"/>
  <c r="L278" i="12" s="1"/>
  <c r="N64" i="12"/>
  <c r="F64" i="12"/>
  <c r="F31" i="12"/>
  <c r="F53" i="12"/>
  <c r="F42" i="12" s="1"/>
  <c r="J64" i="12"/>
  <c r="H66" i="12"/>
  <c r="D33" i="12"/>
  <c r="P20" i="12"/>
  <c r="L66" i="12"/>
  <c r="D55" i="12"/>
  <c r="D44" i="12" s="1"/>
  <c r="D66" i="12"/>
  <c r="G45" i="15"/>
  <c r="F47" i="15" s="1"/>
  <c r="H46" i="15"/>
  <c r="I46" i="15" s="1"/>
  <c r="J46" i="15" s="1"/>
  <c r="K46" i="15" s="1"/>
  <c r="L46" i="15" s="1"/>
  <c r="M46" i="15" s="1"/>
  <c r="N46" i="15" s="1"/>
  <c r="O46" i="15" s="1"/>
  <c r="P46" i="15" s="1"/>
  <c r="Q46" i="15" s="1"/>
  <c r="R46" i="15" s="1"/>
  <c r="S46" i="15" s="1"/>
  <c r="O274" i="12"/>
  <c r="O275" i="12" s="1"/>
  <c r="S264" i="12"/>
  <c r="O36" i="12"/>
  <c r="O58" i="12"/>
  <c r="O47" i="12" s="1"/>
  <c r="M64" i="12"/>
  <c r="E64" i="12"/>
  <c r="I64" i="12"/>
  <c r="E53" i="12"/>
  <c r="E42" i="12" s="1"/>
  <c r="E31" i="12"/>
  <c r="P39" i="7"/>
  <c r="H56" i="12"/>
  <c r="H45" i="12" s="1"/>
  <c r="H78" i="12" s="1"/>
  <c r="H34" i="12"/>
  <c r="N31" i="12"/>
  <c r="N53" i="12"/>
  <c r="N42" i="12" s="1"/>
  <c r="K57" i="12"/>
  <c r="K46" i="12" s="1"/>
  <c r="K35" i="12"/>
  <c r="E274" i="12"/>
  <c r="U264" i="12"/>
  <c r="T264" i="12"/>
  <c r="P273" i="12"/>
  <c r="T267" i="12" s="1"/>
  <c r="D274" i="12"/>
  <c r="P15" i="23"/>
  <c r="O15" i="23"/>
  <c r="M16" i="23"/>
  <c r="L57" i="12"/>
  <c r="L46" i="12" s="1"/>
  <c r="L35" i="12"/>
  <c r="G277" i="12"/>
  <c r="G278" i="12" s="1"/>
  <c r="T273" i="12"/>
  <c r="K274" i="12"/>
  <c r="O70" i="12"/>
  <c r="G70" i="12"/>
  <c r="K70" i="12"/>
  <c r="G59" i="12"/>
  <c r="G48" i="12" s="1"/>
  <c r="G81" i="12" s="1"/>
  <c r="G37" i="12"/>
  <c r="E54" i="12"/>
  <c r="E43" i="12" s="1"/>
  <c r="M65" i="12"/>
  <c r="E65" i="12"/>
  <c r="E32" i="12"/>
  <c r="I65" i="12"/>
  <c r="G287" i="15"/>
  <c r="F289" i="15" s="1"/>
  <c r="H288" i="15"/>
  <c r="I288" i="15" s="1"/>
  <c r="J288" i="15" s="1"/>
  <c r="K288" i="15" s="1"/>
  <c r="L288" i="15" s="1"/>
  <c r="M288" i="15" s="1"/>
  <c r="N288" i="15" s="1"/>
  <c r="O288" i="15" s="1"/>
  <c r="P288" i="15" s="1"/>
  <c r="Q288" i="15" s="1"/>
  <c r="R288" i="15" s="1"/>
  <c r="S288" i="15" s="1"/>
  <c r="M66" i="12"/>
  <c r="E66" i="12"/>
  <c r="I66" i="12"/>
  <c r="E55" i="12"/>
  <c r="E44" i="12" s="1"/>
  <c r="E33" i="12"/>
  <c r="N59" i="12"/>
  <c r="N48" i="12" s="1"/>
  <c r="N37" i="12"/>
  <c r="N26" i="12"/>
  <c r="N30" i="12"/>
  <c r="N25" i="12"/>
  <c r="S19" i="12" s="1"/>
  <c r="N52" i="12"/>
  <c r="N41" i="12" s="1"/>
  <c r="H57" i="12"/>
  <c r="H46" i="12" s="1"/>
  <c r="H79" i="12" s="1"/>
  <c r="H35" i="12"/>
  <c r="I33" i="12"/>
  <c r="I55" i="12"/>
  <c r="I44" i="12" s="1"/>
  <c r="J59" i="12"/>
  <c r="J48" i="12" s="1"/>
  <c r="J37" i="12"/>
  <c r="I31" i="12"/>
  <c r="I53" i="12"/>
  <c r="I42" i="12" s="1"/>
  <c r="O32" i="12"/>
  <c r="O54" i="12"/>
  <c r="O43" i="12" s="1"/>
  <c r="G274" i="12"/>
  <c r="G275" i="12" s="1"/>
  <c r="V267" i="12"/>
  <c r="P276" i="12"/>
  <c r="I277" i="12"/>
  <c r="O64" i="12"/>
  <c r="G64" i="12"/>
  <c r="G31" i="12"/>
  <c r="K64" i="12"/>
  <c r="G53" i="12"/>
  <c r="G42" i="12" s="1"/>
  <c r="G75" i="12" s="1"/>
  <c r="O26" i="11"/>
  <c r="N24" i="11"/>
  <c r="O66" i="12"/>
  <c r="G55" i="12"/>
  <c r="G44" i="12" s="1"/>
  <c r="G77" i="12" s="1"/>
  <c r="K66" i="12"/>
  <c r="G66" i="12"/>
  <c r="G33" i="12"/>
  <c r="N54" i="12"/>
  <c r="N43" i="12" s="1"/>
  <c r="N32" i="12"/>
  <c r="H59" i="12"/>
  <c r="H48" i="12" s="1"/>
  <c r="H81" i="12" s="1"/>
  <c r="H37" i="12"/>
  <c r="H26" i="12"/>
  <c r="N70" i="12"/>
  <c r="F70" i="12"/>
  <c r="F59" i="12"/>
  <c r="F48" i="12" s="1"/>
  <c r="F37" i="12"/>
  <c r="J70" i="12"/>
  <c r="M274" i="12"/>
  <c r="M275" i="12" s="1"/>
  <c r="S270" i="12"/>
  <c r="K74" i="12"/>
  <c r="H77" i="15"/>
  <c r="I77" i="15" s="1"/>
  <c r="J77" i="15" s="1"/>
  <c r="K77" i="15" s="1"/>
  <c r="L77" i="15" s="1"/>
  <c r="M77" i="15" s="1"/>
  <c r="N77" i="15" s="1"/>
  <c r="O77" i="15" s="1"/>
  <c r="P77" i="15" s="1"/>
  <c r="Q77" i="15" s="1"/>
  <c r="R77" i="15" s="1"/>
  <c r="S77" i="15" s="1"/>
  <c r="G76" i="15"/>
  <c r="F78" i="15" s="1"/>
  <c r="L67" i="12"/>
  <c r="D67" i="12"/>
  <c r="D34" i="12"/>
  <c r="P21" i="12"/>
  <c r="H67" i="12"/>
  <c r="D56" i="12"/>
  <c r="D45" i="12" s="1"/>
  <c r="M54" i="12"/>
  <c r="M43" i="12" s="1"/>
  <c r="M32" i="12"/>
  <c r="K33" i="12"/>
  <c r="K55" i="12"/>
  <c r="K44" i="12" s="1"/>
  <c r="J33" i="12"/>
  <c r="J55" i="12"/>
  <c r="J44" i="12" s="1"/>
  <c r="N63" i="12"/>
  <c r="F63" i="12"/>
  <c r="F26" i="12"/>
  <c r="F30" i="12"/>
  <c r="F25" i="12"/>
  <c r="V16" i="12" s="1"/>
  <c r="J63" i="12"/>
  <c r="F52" i="12"/>
  <c r="F41" i="12" s="1"/>
  <c r="F74" i="12" s="1"/>
  <c r="N68" i="12"/>
  <c r="F68" i="12"/>
  <c r="J68" i="12"/>
  <c r="F35" i="12"/>
  <c r="F57" i="12"/>
  <c r="F46" i="12" s="1"/>
  <c r="Q278" i="7"/>
  <c r="Q268" i="7"/>
  <c r="Q267" i="7" s="1"/>
  <c r="Q266" i="7" s="1"/>
  <c r="Q265" i="7" s="1"/>
  <c r="Q264" i="7" s="1"/>
  <c r="Q263" i="7" s="1"/>
  <c r="Q262" i="7" s="1"/>
  <c r="Q261" i="7" s="1"/>
  <c r="M35" i="12"/>
  <c r="M57" i="12"/>
  <c r="M46" i="12" s="1"/>
  <c r="J25" i="12"/>
  <c r="U25" i="12" s="1"/>
  <c r="J32" i="12"/>
  <c r="J54" i="12"/>
  <c r="J43" i="12" s="1"/>
  <c r="O65" i="12"/>
  <c r="G65" i="12"/>
  <c r="G32" i="12"/>
  <c r="G54" i="12"/>
  <c r="G43" i="12" s="1"/>
  <c r="G76" i="12" s="1"/>
  <c r="K65" i="12"/>
  <c r="J31" i="12"/>
  <c r="J53" i="12"/>
  <c r="J42" i="12" s="1"/>
  <c r="H52" i="12"/>
  <c r="H41" i="12" s="1"/>
  <c r="H74" i="12" s="1"/>
  <c r="N67" i="12"/>
  <c r="F67" i="12"/>
  <c r="J67" i="12"/>
  <c r="F56" i="12"/>
  <c r="F45" i="12" s="1"/>
  <c r="F34" i="12"/>
  <c r="K80" i="8"/>
  <c r="O31" i="12"/>
  <c r="O53" i="12"/>
  <c r="O42" i="12" s="1"/>
  <c r="L68" i="12"/>
  <c r="D68" i="12"/>
  <c r="D57" i="12"/>
  <c r="D46" i="12" s="1"/>
  <c r="D79" i="12" s="1"/>
  <c r="D91" i="12" s="1"/>
  <c r="P22" i="12"/>
  <c r="D35" i="12"/>
  <c r="H68" i="12"/>
  <c r="W286" i="7"/>
  <c r="W285" i="7" s="1"/>
  <c r="W284" i="7" s="1"/>
  <c r="W283" i="7" s="1"/>
  <c r="W282" i="7" s="1"/>
  <c r="W281" i="7" s="1"/>
  <c r="W280" i="7" s="1"/>
  <c r="W279" i="7" s="1"/>
  <c r="W296" i="7"/>
  <c r="O69" i="12"/>
  <c r="G69" i="12"/>
  <c r="K69" i="12"/>
  <c r="G36" i="12"/>
  <c r="G58" i="12"/>
  <c r="G47" i="12" s="1"/>
  <c r="G80" i="12" s="1"/>
  <c r="H311" i="15"/>
  <c r="I311" i="15" s="1"/>
  <c r="J311" i="15" s="1"/>
  <c r="K311" i="15" s="1"/>
  <c r="L311" i="15" s="1"/>
  <c r="M311" i="15" s="1"/>
  <c r="N311" i="15" s="1"/>
  <c r="O311" i="15" s="1"/>
  <c r="P311" i="15" s="1"/>
  <c r="Q311" i="15" s="1"/>
  <c r="R311" i="15" s="1"/>
  <c r="S311" i="15" s="1"/>
  <c r="G310" i="15"/>
  <c r="F312" i="15" s="1"/>
  <c r="N35" i="12"/>
  <c r="N57" i="12"/>
  <c r="N46" i="12" s="1"/>
  <c r="N274" i="12"/>
  <c r="N275" i="12" s="1"/>
  <c r="S267" i="12"/>
  <c r="L53" i="12"/>
  <c r="L42" i="12" s="1"/>
  <c r="L31" i="12"/>
  <c r="J57" i="12"/>
  <c r="J46" i="12" s="1"/>
  <c r="J35" i="12"/>
  <c r="K25" i="12"/>
  <c r="T25" i="12" s="1"/>
  <c r="Q28" i="23"/>
  <c r="P28" i="23"/>
  <c r="O28" i="23"/>
  <c r="M29" i="23"/>
  <c r="N55" i="12"/>
  <c r="N44" i="12" s="1"/>
  <c r="I70" i="12"/>
  <c r="M70" i="12"/>
  <c r="E70" i="12"/>
  <c r="E59" i="12"/>
  <c r="E48" i="12" s="1"/>
  <c r="E37" i="12"/>
  <c r="U273" i="12"/>
  <c r="J274" i="12"/>
  <c r="F54" i="12"/>
  <c r="F43" i="12" s="1"/>
  <c r="N65" i="12"/>
  <c r="F65" i="12"/>
  <c r="J65" i="12"/>
  <c r="F32" i="12"/>
  <c r="I57" i="12"/>
  <c r="I46" i="12" s="1"/>
  <c r="I35" i="12"/>
  <c r="B70" i="10"/>
  <c r="E69" i="10"/>
  <c r="D69" i="10"/>
  <c r="M59" i="12"/>
  <c r="M48" i="12" s="1"/>
  <c r="M37" i="12"/>
  <c r="N56" i="12"/>
  <c r="N45" i="12" s="1"/>
  <c r="N34" i="12"/>
  <c r="H65" i="12"/>
  <c r="D54" i="12"/>
  <c r="D43" i="12" s="1"/>
  <c r="L65" i="12"/>
  <c r="D65" i="12"/>
  <c r="P19" i="12"/>
  <c r="D32" i="12"/>
  <c r="C49" i="8"/>
  <c r="E83" i="7"/>
  <c r="D74" i="7"/>
  <c r="G86" i="12"/>
  <c r="G100" i="12"/>
  <c r="J100" i="12"/>
  <c r="N39" i="7"/>
  <c r="K39" i="7"/>
  <c r="G147" i="15"/>
  <c r="F149" i="15" s="1"/>
  <c r="H148" i="15"/>
  <c r="I148" i="15" s="1"/>
  <c r="J148" i="15" s="1"/>
  <c r="K148" i="15" s="1"/>
  <c r="L148" i="15" s="1"/>
  <c r="M148" i="15" s="1"/>
  <c r="N148" i="15" s="1"/>
  <c r="O148" i="15" s="1"/>
  <c r="P148" i="15" s="1"/>
  <c r="Q148" i="15" s="1"/>
  <c r="R148" i="15" s="1"/>
  <c r="S148" i="15" s="1"/>
  <c r="H274" i="12"/>
  <c r="H275" i="12" s="1"/>
  <c r="V270" i="12"/>
  <c r="F274" i="12"/>
  <c r="V264" i="12"/>
  <c r="H184" i="15"/>
  <c r="I184" i="15" s="1"/>
  <c r="J184" i="15" s="1"/>
  <c r="K184" i="15" s="1"/>
  <c r="L184" i="15" s="1"/>
  <c r="M184" i="15" s="1"/>
  <c r="N184" i="15" s="1"/>
  <c r="O184" i="15" s="1"/>
  <c r="P184" i="15" s="1"/>
  <c r="Q184" i="15" s="1"/>
  <c r="R184" i="15" s="1"/>
  <c r="S184" i="15" s="1"/>
  <c r="G183" i="15"/>
  <c r="F185" i="15" s="1"/>
  <c r="H256" i="15"/>
  <c r="I256" i="15" s="1"/>
  <c r="J256" i="15" s="1"/>
  <c r="K256" i="15" s="1"/>
  <c r="L256" i="15" s="1"/>
  <c r="M256" i="15" s="1"/>
  <c r="N256" i="15" s="1"/>
  <c r="O256" i="15" s="1"/>
  <c r="P256" i="15" s="1"/>
  <c r="Q256" i="15" s="1"/>
  <c r="R256" i="15" s="1"/>
  <c r="S256" i="15" s="1"/>
  <c r="G255" i="15"/>
  <c r="F257" i="15" s="1"/>
  <c r="E25" i="12"/>
  <c r="U16" i="12" s="1"/>
  <c r="E80" i="12"/>
  <c r="E42" i="7"/>
  <c r="F40" i="7"/>
  <c r="H68" i="10"/>
  <c r="J30" i="11"/>
  <c r="M28" i="11"/>
  <c r="K28" i="11"/>
  <c r="L28" i="11"/>
  <c r="K32" i="12"/>
  <c r="K54" i="12"/>
  <c r="K43" i="12" s="1"/>
  <c r="H70" i="12"/>
  <c r="L70" i="12"/>
  <c r="D70" i="12"/>
  <c r="D59" i="12"/>
  <c r="D48" i="12" s="1"/>
  <c r="D37" i="12"/>
  <c r="P24" i="12"/>
  <c r="E287" i="7"/>
  <c r="E277" i="7"/>
  <c r="E276" i="7" s="1"/>
  <c r="E275" i="7" s="1"/>
  <c r="E274" i="7" s="1"/>
  <c r="E273" i="7" s="1"/>
  <c r="E272" i="7" s="1"/>
  <c r="E271" i="7" s="1"/>
  <c r="E270" i="7" s="1"/>
  <c r="D53" i="12"/>
  <c r="D42" i="12" s="1"/>
  <c r="L64" i="12"/>
  <c r="D64" i="12"/>
  <c r="P18" i="12"/>
  <c r="D31" i="12"/>
  <c r="H64" i="12"/>
  <c r="O277" i="12"/>
  <c r="O278" i="12" s="1"/>
  <c r="O26" i="12"/>
  <c r="I32" i="12"/>
  <c r="I54" i="12"/>
  <c r="I43" i="12" s="1"/>
  <c r="K58" i="12"/>
  <c r="K47" i="12" s="1"/>
  <c r="K36" i="12"/>
  <c r="J52" i="12"/>
  <c r="J41" i="12" s="1"/>
  <c r="H31" i="12"/>
  <c r="H53" i="12"/>
  <c r="H42" i="12" s="1"/>
  <c r="H75" i="12" s="1"/>
  <c r="C46" i="8"/>
  <c r="I39" i="7"/>
  <c r="O39" i="7"/>
  <c r="G40" i="7"/>
  <c r="N277" i="12"/>
  <c r="N278" i="12" s="1"/>
  <c r="I26" i="12"/>
  <c r="H277" i="12"/>
  <c r="H278" i="12" s="1"/>
  <c r="J72" i="8"/>
  <c r="I72" i="8"/>
  <c r="H92" i="12" l="1"/>
  <c r="F80" i="12"/>
  <c r="F92" i="12" s="1"/>
  <c r="N78" i="12"/>
  <c r="N90" i="12" s="1"/>
  <c r="E106" i="12"/>
  <c r="O74" i="12"/>
  <c r="O86" i="12" s="1"/>
  <c r="L79" i="12"/>
  <c r="L91" i="12" s="1"/>
  <c r="I75" i="12"/>
  <c r="I87" i="12" s="1"/>
  <c r="D30" i="8"/>
  <c r="E78" i="12"/>
  <c r="E90" i="12" s="1"/>
  <c r="N74" i="12"/>
  <c r="N86" i="12" s="1"/>
  <c r="I79" i="12"/>
  <c r="I91" i="12" s="1"/>
  <c r="N77" i="12"/>
  <c r="N89" i="12" s="1"/>
  <c r="D29" i="8"/>
  <c r="O77" i="12"/>
  <c r="O89" i="12" s="1"/>
  <c r="D44" i="8"/>
  <c r="J75" i="12"/>
  <c r="J87" i="12" s="1"/>
  <c r="O80" i="12"/>
  <c r="O92" i="12" s="1"/>
  <c r="O78" i="12"/>
  <c r="O90" i="12" s="1"/>
  <c r="D38" i="8"/>
  <c r="E39" i="8" s="1"/>
  <c r="E40" i="8" s="1"/>
  <c r="E41" i="8" s="1"/>
  <c r="O76" i="12"/>
  <c r="O88" i="12" s="1"/>
  <c r="H106" i="12"/>
  <c r="J74" i="12"/>
  <c r="J86" i="12" s="1"/>
  <c r="E81" i="12"/>
  <c r="E93" i="12" s="1"/>
  <c r="F81" i="12"/>
  <c r="E107" i="12" s="1"/>
  <c r="D81" i="12"/>
  <c r="D93" i="12" s="1"/>
  <c r="J278" i="12"/>
  <c r="F278" i="12"/>
  <c r="M74" i="12"/>
  <c r="H100" i="12" s="1"/>
  <c r="D37" i="8"/>
  <c r="K80" i="12"/>
  <c r="K92" i="12" s="1"/>
  <c r="K278" i="12"/>
  <c r="J76" i="12"/>
  <c r="J88" i="12" s="1"/>
  <c r="D13" i="8"/>
  <c r="D278" i="12"/>
  <c r="K76" i="12"/>
  <c r="K88" i="12" s="1"/>
  <c r="E278" i="12"/>
  <c r="F78" i="12"/>
  <c r="F90" i="12" s="1"/>
  <c r="M76" i="12"/>
  <c r="M88" i="12" s="1"/>
  <c r="N79" i="12"/>
  <c r="N91" i="12" s="1"/>
  <c r="J77" i="12"/>
  <c r="J89" i="12" s="1"/>
  <c r="I76" i="12"/>
  <c r="I88" i="12" s="1"/>
  <c r="M81" i="12"/>
  <c r="H107" i="12" s="1"/>
  <c r="O75" i="12"/>
  <c r="O87" i="12" s="1"/>
  <c r="O81" i="12"/>
  <c r="O93" i="12" s="1"/>
  <c r="D75" i="12"/>
  <c r="D87" i="12" s="1"/>
  <c r="J79" i="12"/>
  <c r="J91" i="12" s="1"/>
  <c r="D47" i="8"/>
  <c r="D48" i="8" s="1"/>
  <c r="D49" i="8" s="1"/>
  <c r="F275" i="12"/>
  <c r="I77" i="12"/>
  <c r="I89" i="12" s="1"/>
  <c r="M75" i="12"/>
  <c r="M87" i="12" s="1"/>
  <c r="K78" i="12"/>
  <c r="K90" i="12" s="1"/>
  <c r="D43" i="8"/>
  <c r="D45" i="8" s="1"/>
  <c r="D77" i="12"/>
  <c r="D89" i="12" s="1"/>
  <c r="B70" i="8"/>
  <c r="J67" i="8"/>
  <c r="J68" i="8"/>
  <c r="K86" i="12"/>
  <c r="F100" i="12"/>
  <c r="N81" i="12"/>
  <c r="N93" i="12" s="1"/>
  <c r="E76" i="12"/>
  <c r="E75" i="12"/>
  <c r="I78" i="12"/>
  <c r="I90" i="12" s="1"/>
  <c r="I104" i="12"/>
  <c r="K75" i="12"/>
  <c r="K268" i="7"/>
  <c r="K267" i="7" s="1"/>
  <c r="K266" i="7" s="1"/>
  <c r="K265" i="7" s="1"/>
  <c r="K264" i="7" s="1"/>
  <c r="K263" i="7" s="1"/>
  <c r="K262" i="7" s="1"/>
  <c r="K261" i="7" s="1"/>
  <c r="K278" i="7"/>
  <c r="C57" i="8"/>
  <c r="Q277" i="7"/>
  <c r="Q276" i="7" s="1"/>
  <c r="Q275" i="7" s="1"/>
  <c r="Q274" i="7" s="1"/>
  <c r="Q273" i="7" s="1"/>
  <c r="Q272" i="7" s="1"/>
  <c r="Q271" i="7" s="1"/>
  <c r="Q270" i="7" s="1"/>
  <c r="Q287" i="7"/>
  <c r="H70" i="10"/>
  <c r="G89" i="12"/>
  <c r="G103" i="12"/>
  <c r="J103" i="12"/>
  <c r="P16" i="23"/>
  <c r="O16" i="23"/>
  <c r="M17" i="23"/>
  <c r="J275" i="12"/>
  <c r="E275" i="12"/>
  <c r="H89" i="12"/>
  <c r="K103" i="12"/>
  <c r="C53" i="8"/>
  <c r="P36" i="12"/>
  <c r="M9" i="5" s="1"/>
  <c r="H219" i="15"/>
  <c r="I219" i="15" s="1"/>
  <c r="J219" i="15" s="1"/>
  <c r="K219" i="15" s="1"/>
  <c r="L219" i="15" s="1"/>
  <c r="M219" i="15" s="1"/>
  <c r="N219" i="15" s="1"/>
  <c r="O219" i="15" s="1"/>
  <c r="P219" i="15" s="1"/>
  <c r="Q219" i="15" s="1"/>
  <c r="R219" i="15" s="1"/>
  <c r="S219" i="15" s="1"/>
  <c r="G218" i="15"/>
  <c r="F220" i="15" s="1"/>
  <c r="M78" i="12"/>
  <c r="L81" i="12"/>
  <c r="L93" i="12" s="1"/>
  <c r="L77" i="12"/>
  <c r="L89" i="12" s="1"/>
  <c r="J78" i="12"/>
  <c r="J90" i="12" s="1"/>
  <c r="P35" i="12"/>
  <c r="M8" i="5" s="1"/>
  <c r="F86" i="12"/>
  <c r="E100" i="12"/>
  <c r="C54" i="8"/>
  <c r="D80" i="12"/>
  <c r="D92" i="12" s="1"/>
  <c r="G90" i="12"/>
  <c r="G104" i="12"/>
  <c r="J104" i="12"/>
  <c r="H87" i="12"/>
  <c r="K101" i="12"/>
  <c r="M79" i="12"/>
  <c r="M86" i="12"/>
  <c r="P31" i="12"/>
  <c r="M4" i="5" s="1"/>
  <c r="E296" i="7"/>
  <c r="E286" i="7"/>
  <c r="E285" i="7" s="1"/>
  <c r="E284" i="7" s="1"/>
  <c r="E283" i="7" s="1"/>
  <c r="E282" i="7" s="1"/>
  <c r="E281" i="7" s="1"/>
  <c r="E280" i="7" s="1"/>
  <c r="E279" i="7" s="1"/>
  <c r="D75" i="7"/>
  <c r="D76" i="7" s="1"/>
  <c r="D77" i="7" s="1"/>
  <c r="D78" i="7" s="1"/>
  <c r="D79" i="7" s="1"/>
  <c r="D80" i="7" s="1"/>
  <c r="D81" i="7" s="1"/>
  <c r="D82" i="7" s="1"/>
  <c r="D83" i="7" s="1"/>
  <c r="D84" i="7" s="1"/>
  <c r="D85" i="7" s="1"/>
  <c r="D86" i="7" s="1"/>
  <c r="D87" i="7" s="1"/>
  <c r="D88" i="7" s="1"/>
  <c r="D89" i="7" s="1"/>
  <c r="D90" i="7" s="1"/>
  <c r="D91" i="7" s="1"/>
  <c r="F74" i="7"/>
  <c r="F75" i="7" s="1"/>
  <c r="F76" i="7" s="1"/>
  <c r="F77" i="7" s="1"/>
  <c r="F78" i="7" s="1"/>
  <c r="F79" i="7" s="1"/>
  <c r="F80" i="7" s="1"/>
  <c r="F81" i="7" s="1"/>
  <c r="F82" i="7" s="1"/>
  <c r="F83" i="7" s="1"/>
  <c r="F84" i="7" s="1"/>
  <c r="F85" i="7" s="1"/>
  <c r="F86" i="7" s="1"/>
  <c r="F87" i="7" s="1"/>
  <c r="F88" i="7" s="1"/>
  <c r="F89" i="7" s="1"/>
  <c r="F90" i="7" s="1"/>
  <c r="F91" i="7" s="1"/>
  <c r="D76" i="12"/>
  <c r="D88" i="12" s="1"/>
  <c r="F76" i="12"/>
  <c r="F79" i="12"/>
  <c r="P34" i="12"/>
  <c r="M7" i="5" s="1"/>
  <c r="N76" i="12"/>
  <c r="N88" i="12" s="1"/>
  <c r="E74" i="12"/>
  <c r="H290" i="15"/>
  <c r="I290" i="15" s="1"/>
  <c r="J290" i="15" s="1"/>
  <c r="K290" i="15" s="1"/>
  <c r="L290" i="15" s="1"/>
  <c r="M290" i="15" s="1"/>
  <c r="N290" i="15" s="1"/>
  <c r="O290" i="15" s="1"/>
  <c r="P290" i="15" s="1"/>
  <c r="Q290" i="15" s="1"/>
  <c r="R290" i="15" s="1"/>
  <c r="S290" i="15" s="1"/>
  <c r="G289" i="15"/>
  <c r="F291" i="15" s="1"/>
  <c r="K79" i="12"/>
  <c r="H90" i="12"/>
  <c r="K104" i="12"/>
  <c r="D22" i="8"/>
  <c r="E23" i="8" s="1"/>
  <c r="E24" i="8" s="1"/>
  <c r="G69" i="10"/>
  <c r="F70" i="10" s="1"/>
  <c r="G70" i="10" s="1"/>
  <c r="F71" i="10" s="1"/>
  <c r="AC296" i="7"/>
  <c r="AC286" i="7"/>
  <c r="AC285" i="7" s="1"/>
  <c r="AC284" i="7" s="1"/>
  <c r="AC283" i="7" s="1"/>
  <c r="AC282" i="7" s="1"/>
  <c r="AC281" i="7" s="1"/>
  <c r="AC280" i="7" s="1"/>
  <c r="AC279" i="7" s="1"/>
  <c r="P26" i="12"/>
  <c r="G110" i="15"/>
  <c r="F112" i="15" s="1"/>
  <c r="H111" i="15"/>
  <c r="I111" i="15" s="1"/>
  <c r="J111" i="15" s="1"/>
  <c r="K111" i="15" s="1"/>
  <c r="L111" i="15" s="1"/>
  <c r="M111" i="15" s="1"/>
  <c r="N111" i="15" s="1"/>
  <c r="O111" i="15" s="1"/>
  <c r="P111" i="15" s="1"/>
  <c r="Q111" i="15" s="1"/>
  <c r="R111" i="15" s="1"/>
  <c r="S111" i="15" s="1"/>
  <c r="D17" i="8"/>
  <c r="E15" i="8" s="1"/>
  <c r="B71" i="10"/>
  <c r="E70" i="10"/>
  <c r="D70" i="10"/>
  <c r="L30" i="11"/>
  <c r="L31" i="11" s="1"/>
  <c r="K30" i="11"/>
  <c r="M30" i="11"/>
  <c r="H258" i="15"/>
  <c r="I258" i="15" s="1"/>
  <c r="J258" i="15" s="1"/>
  <c r="K258" i="15" s="1"/>
  <c r="L258" i="15" s="1"/>
  <c r="M258" i="15" s="1"/>
  <c r="N258" i="15" s="1"/>
  <c r="O258" i="15" s="1"/>
  <c r="P258" i="15" s="1"/>
  <c r="Q258" i="15" s="1"/>
  <c r="R258" i="15" s="1"/>
  <c r="S258" i="15" s="1"/>
  <c r="G257" i="15"/>
  <c r="F259" i="15" s="1"/>
  <c r="K88" i="8"/>
  <c r="E77" i="12"/>
  <c r="G93" i="12"/>
  <c r="G107" i="12"/>
  <c r="J107" i="12"/>
  <c r="I74" i="12"/>
  <c r="I86" i="12" s="1"/>
  <c r="P33" i="12"/>
  <c r="M6" i="5" s="1"/>
  <c r="M77" i="12"/>
  <c r="L17" i="21"/>
  <c r="K28" i="21"/>
  <c r="B46" i="14"/>
  <c r="B48" i="14"/>
  <c r="B49" i="14" s="1"/>
  <c r="B50" i="14" s="1"/>
  <c r="B51" i="14" s="1"/>
  <c r="B52" i="14" s="1"/>
  <c r="B53" i="14" s="1"/>
  <c r="B54" i="14" s="1"/>
  <c r="B55" i="14" s="1"/>
  <c r="B56" i="14" s="1"/>
  <c r="B57" i="14" s="1"/>
  <c r="B58" i="14" s="1"/>
  <c r="B59" i="14" s="1"/>
  <c r="B60" i="14" s="1"/>
  <c r="B61" i="14" s="1"/>
  <c r="B62" i="14" s="1"/>
  <c r="C47" i="14"/>
  <c r="L78" i="12"/>
  <c r="L90" i="12" s="1"/>
  <c r="D44" i="4"/>
  <c r="E45" i="4"/>
  <c r="F44" i="4"/>
  <c r="F77" i="12"/>
  <c r="P30" i="12"/>
  <c r="O79" i="12"/>
  <c r="O91" i="12" s="1"/>
  <c r="D21" i="8"/>
  <c r="G149" i="15"/>
  <c r="F151" i="15" s="1"/>
  <c r="H150" i="15"/>
  <c r="I150" i="15" s="1"/>
  <c r="J150" i="15" s="1"/>
  <c r="K150" i="15" s="1"/>
  <c r="L150" i="15" s="1"/>
  <c r="M150" i="15" s="1"/>
  <c r="N150" i="15" s="1"/>
  <c r="O150" i="15" s="1"/>
  <c r="P150" i="15" s="1"/>
  <c r="Q150" i="15" s="1"/>
  <c r="R150" i="15" s="1"/>
  <c r="S150" i="15" s="1"/>
  <c r="L75" i="12"/>
  <c r="L87" i="12" s="1"/>
  <c r="G312" i="15"/>
  <c r="F314" i="15" s="1"/>
  <c r="H313" i="15"/>
  <c r="I313" i="15" s="1"/>
  <c r="J313" i="15" s="1"/>
  <c r="K313" i="15" s="1"/>
  <c r="L313" i="15" s="1"/>
  <c r="M313" i="15" s="1"/>
  <c r="N313" i="15" s="1"/>
  <c r="O313" i="15" s="1"/>
  <c r="P313" i="15" s="1"/>
  <c r="Q313" i="15" s="1"/>
  <c r="R313" i="15" s="1"/>
  <c r="S313" i="15" s="1"/>
  <c r="J81" i="12"/>
  <c r="J93" i="12" s="1"/>
  <c r="H91" i="12"/>
  <c r="K105" i="12"/>
  <c r="K275" i="12"/>
  <c r="D275" i="12"/>
  <c r="H48" i="15"/>
  <c r="I48" i="15" s="1"/>
  <c r="J48" i="15" s="1"/>
  <c r="K48" i="15" s="1"/>
  <c r="L48" i="15" s="1"/>
  <c r="M48" i="15" s="1"/>
  <c r="N48" i="15" s="1"/>
  <c r="O48" i="15" s="1"/>
  <c r="P48" i="15" s="1"/>
  <c r="Q48" i="15" s="1"/>
  <c r="R48" i="15" s="1"/>
  <c r="S48" i="15" s="1"/>
  <c r="G47" i="15"/>
  <c r="F49" i="15" s="1"/>
  <c r="H69" i="10"/>
  <c r="I23" i="7"/>
  <c r="I24" i="7" s="1"/>
  <c r="I25" i="7" s="1"/>
  <c r="I26" i="7" s="1"/>
  <c r="I27" i="7" s="1"/>
  <c r="I28" i="7" s="1"/>
  <c r="I29" i="7" s="1"/>
  <c r="I30" i="7" s="1"/>
  <c r="L21" i="7"/>
  <c r="I275" i="12"/>
  <c r="P25" i="12"/>
  <c r="T19" i="12" s="1"/>
  <c r="T16" i="12"/>
  <c r="L76" i="12"/>
  <c r="L88" i="12" s="1"/>
  <c r="C63" i="8"/>
  <c r="C64" i="8" s="1"/>
  <c r="C59" i="8"/>
  <c r="C60" i="8"/>
  <c r="Q29" i="23"/>
  <c r="P29" i="23"/>
  <c r="O29" i="23"/>
  <c r="M30" i="23"/>
  <c r="H186" i="15"/>
  <c r="I186" i="15" s="1"/>
  <c r="J186" i="15" s="1"/>
  <c r="K186" i="15" s="1"/>
  <c r="L186" i="15" s="1"/>
  <c r="M186" i="15" s="1"/>
  <c r="N186" i="15" s="1"/>
  <c r="O186" i="15" s="1"/>
  <c r="P186" i="15" s="1"/>
  <c r="Q186" i="15" s="1"/>
  <c r="R186" i="15" s="1"/>
  <c r="S186" i="15" s="1"/>
  <c r="G185" i="15"/>
  <c r="F187" i="15" s="1"/>
  <c r="W305" i="7"/>
  <c r="W295" i="7"/>
  <c r="W294" i="7" s="1"/>
  <c r="W293" i="7" s="1"/>
  <c r="W292" i="7" s="1"/>
  <c r="W291" i="7" s="1"/>
  <c r="W290" i="7" s="1"/>
  <c r="W289" i="7" s="1"/>
  <c r="W288" i="7" s="1"/>
  <c r="H86" i="12"/>
  <c r="K100" i="12"/>
  <c r="H79" i="15"/>
  <c r="I79" i="15" s="1"/>
  <c r="J79" i="15" s="1"/>
  <c r="K79" i="15" s="1"/>
  <c r="L79" i="15" s="1"/>
  <c r="M79" i="15" s="1"/>
  <c r="N79" i="15" s="1"/>
  <c r="O79" i="15" s="1"/>
  <c r="P79" i="15" s="1"/>
  <c r="Q79" i="15" s="1"/>
  <c r="R79" i="15" s="1"/>
  <c r="S79" i="15" s="1"/>
  <c r="G78" i="15"/>
  <c r="F80" i="15" s="1"/>
  <c r="O28" i="11"/>
  <c r="N26" i="11"/>
  <c r="I278" i="12"/>
  <c r="N75" i="12"/>
  <c r="N87" i="12" s="1"/>
  <c r="L80" i="12"/>
  <c r="L92" i="12" s="1"/>
  <c r="G91" i="12"/>
  <c r="G105" i="12"/>
  <c r="J105" i="12"/>
  <c r="E92" i="12"/>
  <c r="D106" i="12"/>
  <c r="I106" i="12"/>
  <c r="P37" i="12"/>
  <c r="M10" i="5" s="1"/>
  <c r="E44" i="7"/>
  <c r="F42" i="7"/>
  <c r="I41" i="7"/>
  <c r="M41" i="7"/>
  <c r="J41" i="7"/>
  <c r="L41" i="7"/>
  <c r="P41" i="7"/>
  <c r="N41" i="7"/>
  <c r="G42" i="7"/>
  <c r="O41" i="7"/>
  <c r="K41" i="7"/>
  <c r="P32" i="12"/>
  <c r="M5" i="5" s="1"/>
  <c r="G92" i="12"/>
  <c r="G106" i="12"/>
  <c r="J106" i="12"/>
  <c r="G88" i="12"/>
  <c r="G102" i="12"/>
  <c r="J102" i="12"/>
  <c r="K77" i="12"/>
  <c r="D78" i="12"/>
  <c r="D90" i="12" s="1"/>
  <c r="H93" i="12"/>
  <c r="K107" i="12"/>
  <c r="G87" i="12"/>
  <c r="G101" i="12"/>
  <c r="J101" i="12"/>
  <c r="F75" i="12"/>
  <c r="K81" i="12"/>
  <c r="H351" i="15"/>
  <c r="I351" i="15" s="1"/>
  <c r="J351" i="15" s="1"/>
  <c r="K351" i="15" s="1"/>
  <c r="L351" i="15" s="1"/>
  <c r="M351" i="15" s="1"/>
  <c r="N351" i="15" s="1"/>
  <c r="O351" i="15" s="1"/>
  <c r="P351" i="15" s="1"/>
  <c r="Q351" i="15" s="1"/>
  <c r="R351" i="15" s="1"/>
  <c r="S351" i="15" s="1"/>
  <c r="G350" i="15"/>
  <c r="F352" i="15" s="1"/>
  <c r="H88" i="12"/>
  <c r="K102" i="12"/>
  <c r="E79" i="12"/>
  <c r="I81" i="12"/>
  <c r="I93" i="12" s="1"/>
  <c r="I80" i="8"/>
  <c r="J80" i="8"/>
  <c r="D104" i="12" l="1"/>
  <c r="E36" i="8"/>
  <c r="E104" i="12"/>
  <c r="E27" i="8"/>
  <c r="F106" i="12"/>
  <c r="O106" i="12" s="1"/>
  <c r="P106" i="12" s="1"/>
  <c r="Q106" i="12" s="1"/>
  <c r="M93" i="12"/>
  <c r="E28" i="8"/>
  <c r="E31" i="8"/>
  <c r="E32" i="8" s="1"/>
  <c r="E33" i="8" s="1"/>
  <c r="H101" i="12"/>
  <c r="H102" i="12"/>
  <c r="I107" i="12"/>
  <c r="F93" i="12"/>
  <c r="D107" i="12"/>
  <c r="E35" i="8"/>
  <c r="E38" i="8" s="1"/>
  <c r="F39" i="8" s="1"/>
  <c r="F40" i="8" s="1"/>
  <c r="F104" i="12"/>
  <c r="E12" i="8"/>
  <c r="D52" i="8"/>
  <c r="F102" i="12"/>
  <c r="E19" i="8"/>
  <c r="C61" i="8"/>
  <c r="D46" i="8"/>
  <c r="E44" i="8" s="1"/>
  <c r="E11" i="8"/>
  <c r="D51" i="8"/>
  <c r="J75" i="8"/>
  <c r="J76" i="8"/>
  <c r="B78" i="8"/>
  <c r="H50" i="15"/>
  <c r="I50" i="15" s="1"/>
  <c r="J50" i="15" s="1"/>
  <c r="K50" i="15" s="1"/>
  <c r="L50" i="15" s="1"/>
  <c r="M50" i="15" s="1"/>
  <c r="N50" i="15" s="1"/>
  <c r="O50" i="15" s="1"/>
  <c r="P50" i="15" s="1"/>
  <c r="Q50" i="15" s="1"/>
  <c r="R50" i="15" s="1"/>
  <c r="S50" i="15" s="1"/>
  <c r="G49" i="15"/>
  <c r="F51" i="15" s="1"/>
  <c r="K96" i="8"/>
  <c r="G220" i="15"/>
  <c r="F222" i="15" s="1"/>
  <c r="H221" i="15"/>
  <c r="I221" i="15" s="1"/>
  <c r="J221" i="15" s="1"/>
  <c r="K221" i="15" s="1"/>
  <c r="L221" i="15" s="1"/>
  <c r="M221" i="15" s="1"/>
  <c r="N221" i="15" s="1"/>
  <c r="O221" i="15" s="1"/>
  <c r="P221" i="15" s="1"/>
  <c r="Q221" i="15" s="1"/>
  <c r="R221" i="15" s="1"/>
  <c r="S221" i="15" s="1"/>
  <c r="O30" i="11"/>
  <c r="N30" i="11" s="1"/>
  <c r="N28" i="11"/>
  <c r="Q11" i="5"/>
  <c r="P15" i="11"/>
  <c r="Q15" i="11" s="1"/>
  <c r="R15" i="11" s="1"/>
  <c r="S15" i="11" s="1"/>
  <c r="T15" i="11" s="1"/>
  <c r="U15" i="11" s="1"/>
  <c r="V15" i="11" s="1"/>
  <c r="W15" i="11" s="1"/>
  <c r="X15" i="11" s="1"/>
  <c r="E16" i="8"/>
  <c r="E25" i="8"/>
  <c r="E86" i="12"/>
  <c r="P86" i="12" s="1"/>
  <c r="D100" i="12"/>
  <c r="I100" i="12"/>
  <c r="F91" i="12"/>
  <c r="E105" i="12"/>
  <c r="E305" i="7"/>
  <c r="E295" i="7"/>
  <c r="E294" i="7" s="1"/>
  <c r="E293" i="7" s="1"/>
  <c r="E292" i="7" s="1"/>
  <c r="E291" i="7" s="1"/>
  <c r="E290" i="7" s="1"/>
  <c r="E289" i="7" s="1"/>
  <c r="E288" i="7" s="1"/>
  <c r="C67" i="8"/>
  <c r="C71" i="8"/>
  <c r="C72" i="8" s="1"/>
  <c r="C68" i="8"/>
  <c r="F87" i="12"/>
  <c r="E101" i="12"/>
  <c r="M90" i="12"/>
  <c r="P90" i="12" s="1"/>
  <c r="H104" i="12"/>
  <c r="H152" i="15"/>
  <c r="I152" i="15" s="1"/>
  <c r="J152" i="15" s="1"/>
  <c r="K152" i="15" s="1"/>
  <c r="L152" i="15" s="1"/>
  <c r="M152" i="15" s="1"/>
  <c r="N152" i="15" s="1"/>
  <c r="O152" i="15" s="1"/>
  <c r="P152" i="15" s="1"/>
  <c r="Q152" i="15" s="1"/>
  <c r="R152" i="15" s="1"/>
  <c r="S152" i="15" s="1"/>
  <c r="G151" i="15"/>
  <c r="F153" i="15" s="1"/>
  <c r="P38" i="12"/>
  <c r="M3" i="5"/>
  <c r="M11" i="5" s="1"/>
  <c r="B63" i="14"/>
  <c r="B64" i="14" s="1"/>
  <c r="B65" i="14" s="1"/>
  <c r="B66" i="14" s="1"/>
  <c r="B67" i="14" s="1"/>
  <c r="B68" i="14" s="1"/>
  <c r="B69" i="14" s="1"/>
  <c r="B70" i="14" s="1"/>
  <c r="B71" i="14" s="1"/>
  <c r="B72" i="14" s="1"/>
  <c r="B73" i="14" s="1"/>
  <c r="B74" i="14" s="1"/>
  <c r="B75" i="14" s="1"/>
  <c r="B76" i="14" s="1"/>
  <c r="E47" i="14" s="1"/>
  <c r="C62" i="14"/>
  <c r="E20" i="8"/>
  <c r="E21" i="8" s="1"/>
  <c r="G75" i="7"/>
  <c r="G76" i="7" s="1"/>
  <c r="G77" i="7" s="1"/>
  <c r="G78" i="7" s="1"/>
  <c r="G79" i="7" s="1"/>
  <c r="G80" i="7" s="1"/>
  <c r="G81" i="7" s="1"/>
  <c r="G82" i="7" s="1"/>
  <c r="G83" i="7" s="1"/>
  <c r="G84" i="7" s="1"/>
  <c r="G85" i="7" s="1"/>
  <c r="G86" i="7" s="1"/>
  <c r="G87" i="7" s="1"/>
  <c r="G88" i="7" s="1"/>
  <c r="G89" i="7" s="1"/>
  <c r="G90" i="7" s="1"/>
  <c r="G91" i="7" s="1"/>
  <c r="G92" i="7" s="1"/>
  <c r="I31" i="7"/>
  <c r="J20" i="7"/>
  <c r="Q30" i="23"/>
  <c r="P30" i="23"/>
  <c r="O30" i="23"/>
  <c r="M31" i="23"/>
  <c r="AC295" i="7"/>
  <c r="AC294" i="7" s="1"/>
  <c r="AC293" i="7" s="1"/>
  <c r="AC292" i="7" s="1"/>
  <c r="AC291" i="7" s="1"/>
  <c r="AC290" i="7" s="1"/>
  <c r="AC289" i="7" s="1"/>
  <c r="AC288" i="7" s="1"/>
  <c r="AC305" i="7"/>
  <c r="H353" i="15"/>
  <c r="I353" i="15" s="1"/>
  <c r="J353" i="15" s="1"/>
  <c r="K353" i="15" s="1"/>
  <c r="L353" i="15" s="1"/>
  <c r="M353" i="15" s="1"/>
  <c r="N353" i="15" s="1"/>
  <c r="O353" i="15" s="1"/>
  <c r="P353" i="15" s="1"/>
  <c r="Q353" i="15" s="1"/>
  <c r="R353" i="15" s="1"/>
  <c r="S353" i="15" s="1"/>
  <c r="G352" i="15"/>
  <c r="F354" i="15" s="1"/>
  <c r="K89" i="12"/>
  <c r="F103" i="12"/>
  <c r="H81" i="15"/>
  <c r="I81" i="15" s="1"/>
  <c r="J81" i="15" s="1"/>
  <c r="K81" i="15" s="1"/>
  <c r="L81" i="15" s="1"/>
  <c r="M81" i="15" s="1"/>
  <c r="N81" i="15" s="1"/>
  <c r="O81" i="15" s="1"/>
  <c r="P81" i="15" s="1"/>
  <c r="Q81" i="15" s="1"/>
  <c r="R81" i="15" s="1"/>
  <c r="S81" i="15" s="1"/>
  <c r="G80" i="15"/>
  <c r="F82" i="15" s="1"/>
  <c r="W304" i="7"/>
  <c r="W303" i="7" s="1"/>
  <c r="W302" i="7" s="1"/>
  <c r="W301" i="7" s="1"/>
  <c r="W300" i="7" s="1"/>
  <c r="W299" i="7" s="1"/>
  <c r="W298" i="7" s="1"/>
  <c r="W297" i="7" s="1"/>
  <c r="W314" i="7"/>
  <c r="C62" i="8"/>
  <c r="F89" i="12"/>
  <c r="E103" i="12"/>
  <c r="F88" i="12"/>
  <c r="E102" i="12"/>
  <c r="M18" i="23"/>
  <c r="P17" i="23"/>
  <c r="O17" i="23"/>
  <c r="D55" i="8"/>
  <c r="D56" i="8" s="1"/>
  <c r="E87" i="12"/>
  <c r="I101" i="12"/>
  <c r="D101" i="12"/>
  <c r="D45" i="4"/>
  <c r="E46" i="4"/>
  <c r="F45" i="4"/>
  <c r="G259" i="15"/>
  <c r="F261" i="15" s="1"/>
  <c r="H260" i="15"/>
  <c r="I260" i="15" s="1"/>
  <c r="J260" i="15" s="1"/>
  <c r="K260" i="15" s="1"/>
  <c r="L260" i="15" s="1"/>
  <c r="M260" i="15" s="1"/>
  <c r="N260" i="15" s="1"/>
  <c r="O260" i="15" s="1"/>
  <c r="P260" i="15" s="1"/>
  <c r="Q260" i="15" s="1"/>
  <c r="R260" i="15" s="1"/>
  <c r="S260" i="15" s="1"/>
  <c r="E91" i="12"/>
  <c r="D105" i="12"/>
  <c r="I105" i="12"/>
  <c r="H315" i="15"/>
  <c r="I315" i="15" s="1"/>
  <c r="J315" i="15" s="1"/>
  <c r="K315" i="15" s="1"/>
  <c r="L315" i="15" s="1"/>
  <c r="M315" i="15" s="1"/>
  <c r="N315" i="15" s="1"/>
  <c r="O315" i="15" s="1"/>
  <c r="P315" i="15" s="1"/>
  <c r="Q315" i="15" s="1"/>
  <c r="R315" i="15" s="1"/>
  <c r="S315" i="15" s="1"/>
  <c r="G314" i="15"/>
  <c r="F316" i="15" s="1"/>
  <c r="M89" i="12"/>
  <c r="H103" i="12"/>
  <c r="K91" i="12"/>
  <c r="F105" i="12"/>
  <c r="G291" i="15"/>
  <c r="F293" i="15" s="1"/>
  <c r="H292" i="15"/>
  <c r="I292" i="15" s="1"/>
  <c r="J292" i="15" s="1"/>
  <c r="K292" i="15" s="1"/>
  <c r="L292" i="15" s="1"/>
  <c r="M292" i="15" s="1"/>
  <c r="N292" i="15" s="1"/>
  <c r="O292" i="15" s="1"/>
  <c r="P292" i="15" s="1"/>
  <c r="Q292" i="15" s="1"/>
  <c r="R292" i="15" s="1"/>
  <c r="S292" i="15" s="1"/>
  <c r="K93" i="12"/>
  <c r="F107" i="12"/>
  <c r="E46" i="7"/>
  <c r="F44" i="7"/>
  <c r="I43" i="7"/>
  <c r="P43" i="7"/>
  <c r="L43" i="7"/>
  <c r="J43" i="7"/>
  <c r="G44" i="7"/>
  <c r="M43" i="7"/>
  <c r="K43" i="7"/>
  <c r="N43" i="7"/>
  <c r="O43" i="7"/>
  <c r="H188" i="15"/>
  <c r="I188" i="15" s="1"/>
  <c r="J188" i="15" s="1"/>
  <c r="K188" i="15" s="1"/>
  <c r="L188" i="15" s="1"/>
  <c r="M188" i="15" s="1"/>
  <c r="N188" i="15" s="1"/>
  <c r="O188" i="15" s="1"/>
  <c r="P188" i="15" s="1"/>
  <c r="Q188" i="15" s="1"/>
  <c r="R188" i="15" s="1"/>
  <c r="S188" i="15" s="1"/>
  <c r="G187" i="15"/>
  <c r="F189" i="15" s="1"/>
  <c r="C65" i="8"/>
  <c r="L32" i="7"/>
  <c r="L22" i="7"/>
  <c r="L23" i="7" s="1"/>
  <c r="L24" i="7" s="1"/>
  <c r="L25" i="7" s="1"/>
  <c r="L26" i="7" s="1"/>
  <c r="L27" i="7" s="1"/>
  <c r="L28" i="7" s="1"/>
  <c r="L29" i="7" s="1"/>
  <c r="L30" i="7" s="1"/>
  <c r="L28" i="21"/>
  <c r="K27" i="21"/>
  <c r="E89" i="12"/>
  <c r="D103" i="12"/>
  <c r="I103" i="12"/>
  <c r="E92" i="7"/>
  <c r="B72" i="10"/>
  <c r="E71" i="10"/>
  <c r="G71" i="10" s="1"/>
  <c r="F72" i="10" s="1"/>
  <c r="D71" i="10"/>
  <c r="H113" i="15"/>
  <c r="I113" i="15" s="1"/>
  <c r="J113" i="15" s="1"/>
  <c r="K113" i="15" s="1"/>
  <c r="L113" i="15" s="1"/>
  <c r="M113" i="15" s="1"/>
  <c r="N113" i="15" s="1"/>
  <c r="O113" i="15" s="1"/>
  <c r="P113" i="15" s="1"/>
  <c r="Q113" i="15" s="1"/>
  <c r="R113" i="15" s="1"/>
  <c r="S113" i="15" s="1"/>
  <c r="G112" i="15"/>
  <c r="F114" i="15" s="1"/>
  <c r="P92" i="12"/>
  <c r="K277" i="7"/>
  <c r="K276" i="7" s="1"/>
  <c r="K275" i="7" s="1"/>
  <c r="K274" i="7" s="1"/>
  <c r="K273" i="7" s="1"/>
  <c r="K272" i="7" s="1"/>
  <c r="K271" i="7" s="1"/>
  <c r="K270" i="7" s="1"/>
  <c r="K287" i="7"/>
  <c r="E88" i="12"/>
  <c r="I102" i="12"/>
  <c r="D102" i="12"/>
  <c r="M91" i="12"/>
  <c r="H105" i="12"/>
  <c r="Q286" i="7"/>
  <c r="Q285" i="7" s="1"/>
  <c r="Q284" i="7" s="1"/>
  <c r="Q283" i="7" s="1"/>
  <c r="Q282" i="7" s="1"/>
  <c r="Q281" i="7" s="1"/>
  <c r="Q280" i="7" s="1"/>
  <c r="Q279" i="7" s="1"/>
  <c r="Q296" i="7"/>
  <c r="K87" i="12"/>
  <c r="F101" i="12"/>
  <c r="J88" i="8"/>
  <c r="I88" i="8"/>
  <c r="E29" i="8" l="1"/>
  <c r="F27" i="8" s="1"/>
  <c r="D53" i="8"/>
  <c r="O107" i="12"/>
  <c r="P107" i="12" s="1"/>
  <c r="Q107" i="12" s="1"/>
  <c r="E30" i="8"/>
  <c r="F31" i="8" s="1"/>
  <c r="F32" i="8" s="1"/>
  <c r="F33" i="8" s="1"/>
  <c r="E43" i="8"/>
  <c r="E45" i="8" s="1"/>
  <c r="P93" i="12"/>
  <c r="E13" i="8"/>
  <c r="E37" i="8"/>
  <c r="F36" i="8" s="1"/>
  <c r="D60" i="8"/>
  <c r="O100" i="12"/>
  <c r="P100" i="12" s="1"/>
  <c r="Q100" i="12" s="1"/>
  <c r="Q112" i="12" s="1"/>
  <c r="E47" i="8"/>
  <c r="E48" i="8" s="1"/>
  <c r="E49" i="8" s="1"/>
  <c r="O104" i="12"/>
  <c r="P104" i="12" s="1"/>
  <c r="Q104" i="12" s="1"/>
  <c r="Q116" i="12" s="1"/>
  <c r="E14" i="8"/>
  <c r="O102" i="12"/>
  <c r="P102" i="12" s="1"/>
  <c r="Q102" i="12" s="1"/>
  <c r="P88" i="12"/>
  <c r="D54" i="8"/>
  <c r="O103" i="12"/>
  <c r="P103" i="12" s="1"/>
  <c r="Q103" i="12" s="1"/>
  <c r="C69" i="8"/>
  <c r="B86" i="8"/>
  <c r="J83" i="8"/>
  <c r="J84" i="8"/>
  <c r="I42" i="7"/>
  <c r="J40" i="7"/>
  <c r="K40" i="7" s="1"/>
  <c r="L40" i="7" s="1"/>
  <c r="M40" i="7" s="1"/>
  <c r="N40" i="7" s="1"/>
  <c r="O40" i="7" s="1"/>
  <c r="P40" i="7" s="1"/>
  <c r="Q40" i="7" s="1"/>
  <c r="I33" i="7"/>
  <c r="I34" i="7" s="1"/>
  <c r="I35" i="7" s="1"/>
  <c r="G51" i="15"/>
  <c r="F53" i="15" s="1"/>
  <c r="H52" i="15"/>
  <c r="I52" i="15" s="1"/>
  <c r="J52" i="15" s="1"/>
  <c r="K52" i="15" s="1"/>
  <c r="L52" i="15" s="1"/>
  <c r="M52" i="15" s="1"/>
  <c r="N52" i="15" s="1"/>
  <c r="O52" i="15" s="1"/>
  <c r="P52" i="15" s="1"/>
  <c r="Q52" i="15" s="1"/>
  <c r="R52" i="15" s="1"/>
  <c r="S52" i="15" s="1"/>
  <c r="L27" i="21"/>
  <c r="K26" i="21"/>
  <c r="G82" i="15"/>
  <c r="F84" i="15" s="1"/>
  <c r="H83" i="15"/>
  <c r="I83" i="15" s="1"/>
  <c r="J83" i="15" s="1"/>
  <c r="K83" i="15" s="1"/>
  <c r="L83" i="15" s="1"/>
  <c r="M83" i="15" s="1"/>
  <c r="N83" i="15" s="1"/>
  <c r="O83" i="15" s="1"/>
  <c r="P83" i="15" s="1"/>
  <c r="Q83" i="15" s="1"/>
  <c r="R83" i="15" s="1"/>
  <c r="S83" i="15" s="1"/>
  <c r="H154" i="15"/>
  <c r="I154" i="15" s="1"/>
  <c r="J154" i="15" s="1"/>
  <c r="K154" i="15" s="1"/>
  <c r="L154" i="15" s="1"/>
  <c r="M154" i="15" s="1"/>
  <c r="N154" i="15" s="1"/>
  <c r="O154" i="15" s="1"/>
  <c r="P154" i="15" s="1"/>
  <c r="Q154" i="15" s="1"/>
  <c r="R154" i="15" s="1"/>
  <c r="S154" i="15" s="1"/>
  <c r="G153" i="15"/>
  <c r="F155" i="15" s="1"/>
  <c r="C73" i="8"/>
  <c r="E314" i="7"/>
  <c r="E304" i="7"/>
  <c r="E303" i="7" s="1"/>
  <c r="E302" i="7" s="1"/>
  <c r="E301" i="7" s="1"/>
  <c r="E300" i="7" s="1"/>
  <c r="E299" i="7" s="1"/>
  <c r="E298" i="7" s="1"/>
  <c r="E297" i="7" s="1"/>
  <c r="W313" i="7"/>
  <c r="W312" i="7" s="1"/>
  <c r="W311" i="7" s="1"/>
  <c r="W310" i="7" s="1"/>
  <c r="W309" i="7" s="1"/>
  <c r="W308" i="7" s="1"/>
  <c r="W307" i="7" s="1"/>
  <c r="W306" i="7" s="1"/>
  <c r="W323" i="7"/>
  <c r="W322" i="7" s="1"/>
  <c r="W321" i="7" s="1"/>
  <c r="W320" i="7" s="1"/>
  <c r="W319" i="7" s="1"/>
  <c r="W318" i="7" s="1"/>
  <c r="W317" i="7" s="1"/>
  <c r="W316" i="7" s="1"/>
  <c r="W315" i="7" s="1"/>
  <c r="D46" i="4"/>
  <c r="F46" i="4"/>
  <c r="E47" i="4"/>
  <c r="C70" i="8"/>
  <c r="E17" i="8"/>
  <c r="L31" i="7"/>
  <c r="M20" i="7"/>
  <c r="H294" i="15"/>
  <c r="I294" i="15" s="1"/>
  <c r="J294" i="15" s="1"/>
  <c r="K294" i="15" s="1"/>
  <c r="L294" i="15" s="1"/>
  <c r="M294" i="15" s="1"/>
  <c r="N294" i="15" s="1"/>
  <c r="O294" i="15" s="1"/>
  <c r="P294" i="15" s="1"/>
  <c r="Q294" i="15" s="1"/>
  <c r="R294" i="15" s="1"/>
  <c r="S294" i="15" s="1"/>
  <c r="G293" i="15"/>
  <c r="F295" i="15" s="1"/>
  <c r="M19" i="23"/>
  <c r="P18" i="23"/>
  <c r="O18" i="23"/>
  <c r="F41" i="8"/>
  <c r="G222" i="15"/>
  <c r="F224" i="15" s="1"/>
  <c r="H223" i="15"/>
  <c r="I223" i="15" s="1"/>
  <c r="J223" i="15" s="1"/>
  <c r="K223" i="15" s="1"/>
  <c r="L223" i="15" s="1"/>
  <c r="M223" i="15" s="1"/>
  <c r="N223" i="15" s="1"/>
  <c r="O223" i="15" s="1"/>
  <c r="P223" i="15" s="1"/>
  <c r="Q223" i="15" s="1"/>
  <c r="R223" i="15" s="1"/>
  <c r="S223" i="15" s="1"/>
  <c r="H190" i="15"/>
  <c r="I190" i="15" s="1"/>
  <c r="J190" i="15" s="1"/>
  <c r="K190" i="15" s="1"/>
  <c r="L190" i="15" s="1"/>
  <c r="M190" i="15" s="1"/>
  <c r="N190" i="15" s="1"/>
  <c r="O190" i="15" s="1"/>
  <c r="P190" i="15" s="1"/>
  <c r="Q190" i="15" s="1"/>
  <c r="R190" i="15" s="1"/>
  <c r="S190" i="15" s="1"/>
  <c r="G189" i="15"/>
  <c r="F191" i="15" s="1"/>
  <c r="AC304" i="7"/>
  <c r="AC303" i="7" s="1"/>
  <c r="AC302" i="7" s="1"/>
  <c r="AC301" i="7" s="1"/>
  <c r="AC300" i="7" s="1"/>
  <c r="AC299" i="7" s="1"/>
  <c r="AC298" i="7" s="1"/>
  <c r="AC297" i="7" s="1"/>
  <c r="AC314" i="7"/>
  <c r="O20" i="7"/>
  <c r="N21" i="7" s="1"/>
  <c r="N22" i="7" s="1"/>
  <c r="N23" i="7" s="1"/>
  <c r="N24" i="7" s="1"/>
  <c r="N25" i="7" s="1"/>
  <c r="N26" i="7" s="1"/>
  <c r="N27" i="7" s="1"/>
  <c r="N28" i="7" s="1"/>
  <c r="N29" i="7" s="1"/>
  <c r="O21" i="7"/>
  <c r="K104" i="8"/>
  <c r="K286" i="7"/>
  <c r="K285" i="7" s="1"/>
  <c r="K284" i="7" s="1"/>
  <c r="K283" i="7" s="1"/>
  <c r="K282" i="7" s="1"/>
  <c r="K281" i="7" s="1"/>
  <c r="K280" i="7" s="1"/>
  <c r="K279" i="7" s="1"/>
  <c r="K296" i="7"/>
  <c r="H115" i="15"/>
  <c r="I115" i="15" s="1"/>
  <c r="J115" i="15" s="1"/>
  <c r="K115" i="15" s="1"/>
  <c r="L115" i="15" s="1"/>
  <c r="M115" i="15" s="1"/>
  <c r="N115" i="15" s="1"/>
  <c r="O115" i="15" s="1"/>
  <c r="P115" i="15" s="1"/>
  <c r="Q115" i="15" s="1"/>
  <c r="R115" i="15" s="1"/>
  <c r="S115" i="15" s="1"/>
  <c r="G114" i="15"/>
  <c r="F116" i="15" s="1"/>
  <c r="P89" i="12"/>
  <c r="G316" i="15"/>
  <c r="F318" i="15" s="1"/>
  <c r="H317" i="15"/>
  <c r="I317" i="15" s="1"/>
  <c r="J317" i="15" s="1"/>
  <c r="K317" i="15" s="1"/>
  <c r="L317" i="15" s="1"/>
  <c r="M317" i="15" s="1"/>
  <c r="N317" i="15" s="1"/>
  <c r="O317" i="15" s="1"/>
  <c r="P317" i="15" s="1"/>
  <c r="Q317" i="15" s="1"/>
  <c r="R317" i="15" s="1"/>
  <c r="S317" i="15" s="1"/>
  <c r="Q295" i="7"/>
  <c r="Q294" i="7" s="1"/>
  <c r="Q293" i="7" s="1"/>
  <c r="Q292" i="7" s="1"/>
  <c r="Q291" i="7" s="1"/>
  <c r="Q290" i="7" s="1"/>
  <c r="Q289" i="7" s="1"/>
  <c r="Q288" i="7" s="1"/>
  <c r="Q305" i="7"/>
  <c r="B73" i="10"/>
  <c r="E72" i="10"/>
  <c r="D72" i="10"/>
  <c r="L33" i="7"/>
  <c r="L34" i="7" s="1"/>
  <c r="L35" i="7" s="1"/>
  <c r="P91" i="12"/>
  <c r="H72" i="10"/>
  <c r="H71" i="10"/>
  <c r="O105" i="12"/>
  <c r="P105" i="12" s="1"/>
  <c r="Q105" i="12" s="1"/>
  <c r="O101" i="12"/>
  <c r="P101" i="12" s="1"/>
  <c r="Q101" i="12" s="1"/>
  <c r="M32" i="23"/>
  <c r="Q31" i="23"/>
  <c r="P31" i="23"/>
  <c r="O31" i="23"/>
  <c r="E101" i="7"/>
  <c r="P87" i="12"/>
  <c r="D59" i="8"/>
  <c r="G354" i="15"/>
  <c r="F356" i="15" s="1"/>
  <c r="H355" i="15"/>
  <c r="I355" i="15" s="1"/>
  <c r="J355" i="15" s="1"/>
  <c r="K355" i="15" s="1"/>
  <c r="L355" i="15" s="1"/>
  <c r="M355" i="15" s="1"/>
  <c r="N355" i="15" s="1"/>
  <c r="O355" i="15" s="1"/>
  <c r="P355" i="15" s="1"/>
  <c r="Q355" i="15" s="1"/>
  <c r="R355" i="15" s="1"/>
  <c r="S355" i="15" s="1"/>
  <c r="Q118" i="12"/>
  <c r="D92" i="7"/>
  <c r="D63" i="8"/>
  <c r="D64" i="8" s="1"/>
  <c r="E48" i="7"/>
  <c r="F46" i="7"/>
  <c r="L45" i="7"/>
  <c r="P45" i="7"/>
  <c r="N45" i="7"/>
  <c r="J45" i="7"/>
  <c r="O45" i="7"/>
  <c r="M45" i="7"/>
  <c r="G46" i="7"/>
  <c r="K45" i="7"/>
  <c r="I45" i="7"/>
  <c r="G261" i="15"/>
  <c r="F263" i="15" s="1"/>
  <c r="H262" i="15"/>
  <c r="I262" i="15" s="1"/>
  <c r="J262" i="15" s="1"/>
  <c r="K262" i="15" s="1"/>
  <c r="L262" i="15" s="1"/>
  <c r="M262" i="15" s="1"/>
  <c r="N262" i="15" s="1"/>
  <c r="O262" i="15" s="1"/>
  <c r="P262" i="15" s="1"/>
  <c r="Q262" i="15" s="1"/>
  <c r="R262" i="15" s="1"/>
  <c r="S262" i="15" s="1"/>
  <c r="D57" i="8"/>
  <c r="E48" i="14"/>
  <c r="E49" i="14" s="1"/>
  <c r="E50" i="14" s="1"/>
  <c r="E51" i="14" s="1"/>
  <c r="E52" i="14" s="1"/>
  <c r="E53" i="14" s="1"/>
  <c r="E54" i="14" s="1"/>
  <c r="E55" i="14" s="1"/>
  <c r="E56" i="14" s="1"/>
  <c r="E57" i="14" s="1"/>
  <c r="E58" i="14" s="1"/>
  <c r="E59" i="14" s="1"/>
  <c r="E60" i="14" s="1"/>
  <c r="E61" i="14" s="1"/>
  <c r="E62" i="14" s="1"/>
  <c r="F47" i="14"/>
  <c r="E46" i="14"/>
  <c r="E22" i="8"/>
  <c r="F19" i="8" s="1"/>
  <c r="C79" i="8"/>
  <c r="C80" i="8" s="1"/>
  <c r="C75" i="8"/>
  <c r="C76" i="8"/>
  <c r="J96" i="8"/>
  <c r="I96" i="8"/>
  <c r="F28" i="8" l="1"/>
  <c r="F29" i="8" s="1"/>
  <c r="E46" i="8"/>
  <c r="F43" i="8" s="1"/>
  <c r="E55" i="8"/>
  <c r="E56" i="8" s="1"/>
  <c r="F35" i="8"/>
  <c r="F37" i="8" s="1"/>
  <c r="Q119" i="12"/>
  <c r="I119" i="12" s="1"/>
  <c r="D61" i="8"/>
  <c r="F15" i="8"/>
  <c r="F16" i="8" s="1"/>
  <c r="D68" i="8"/>
  <c r="Q114" i="12"/>
  <c r="Q113" i="12"/>
  <c r="N113" i="12" s="1"/>
  <c r="Q115" i="12"/>
  <c r="I115" i="12" s="1"/>
  <c r="E52" i="8"/>
  <c r="Q117" i="12"/>
  <c r="O117" i="12" s="1"/>
  <c r="D71" i="8"/>
  <c r="D72" i="8" s="1"/>
  <c r="D73" i="8" s="1"/>
  <c r="B94" i="8"/>
  <c r="J91" i="8"/>
  <c r="J92" i="8"/>
  <c r="E57" i="8"/>
  <c r="R20" i="7"/>
  <c r="Q21" i="7" s="1"/>
  <c r="Q22" i="7" s="1"/>
  <c r="Q23" i="7" s="1"/>
  <c r="Q24" i="7" s="1"/>
  <c r="Q25" i="7" s="1"/>
  <c r="Q26" i="7" s="1"/>
  <c r="Q27" i="7" s="1"/>
  <c r="Q28" i="7" s="1"/>
  <c r="Q29" i="7" s="1"/>
  <c r="R21" i="7"/>
  <c r="G116" i="15"/>
  <c r="F118" i="15" s="1"/>
  <c r="H117" i="15"/>
  <c r="I117" i="15" s="1"/>
  <c r="J117" i="15" s="1"/>
  <c r="K117" i="15" s="1"/>
  <c r="L117" i="15" s="1"/>
  <c r="M117" i="15" s="1"/>
  <c r="N117" i="15" s="1"/>
  <c r="O117" i="15" s="1"/>
  <c r="P117" i="15" s="1"/>
  <c r="Q117" i="15" s="1"/>
  <c r="R117" i="15" s="1"/>
  <c r="S117" i="15" s="1"/>
  <c r="H264" i="15"/>
  <c r="I264" i="15" s="1"/>
  <c r="J264" i="15" s="1"/>
  <c r="K264" i="15" s="1"/>
  <c r="L264" i="15" s="1"/>
  <c r="M264" i="15" s="1"/>
  <c r="N264" i="15" s="1"/>
  <c r="O264" i="15" s="1"/>
  <c r="P264" i="15" s="1"/>
  <c r="Q264" i="15" s="1"/>
  <c r="R264" i="15" s="1"/>
  <c r="S264" i="15" s="1"/>
  <c r="G263" i="15"/>
  <c r="F265" i="15" s="1"/>
  <c r="K112" i="12"/>
  <c r="J112" i="12"/>
  <c r="I112" i="12"/>
  <c r="Q122" i="12"/>
  <c r="H112" i="12"/>
  <c r="O112" i="12"/>
  <c r="G112" i="12"/>
  <c r="N112" i="12"/>
  <c r="F112" i="12"/>
  <c r="M112" i="12"/>
  <c r="E112" i="12"/>
  <c r="L112" i="12"/>
  <c r="D112" i="12"/>
  <c r="AC323" i="7"/>
  <c r="AC322" i="7" s="1"/>
  <c r="AC321" i="7" s="1"/>
  <c r="AC320" i="7" s="1"/>
  <c r="AC319" i="7" s="1"/>
  <c r="AC318" i="7" s="1"/>
  <c r="AC317" i="7" s="1"/>
  <c r="AC316" i="7" s="1"/>
  <c r="AC315" i="7" s="1"/>
  <c r="AC313" i="7"/>
  <c r="AC312" i="7" s="1"/>
  <c r="AC311" i="7" s="1"/>
  <c r="AC310" i="7" s="1"/>
  <c r="AC309" i="7" s="1"/>
  <c r="AC308" i="7" s="1"/>
  <c r="AC307" i="7" s="1"/>
  <c r="AC306" i="7" s="1"/>
  <c r="G53" i="15"/>
  <c r="F55" i="15" s="1"/>
  <c r="H54" i="15"/>
  <c r="I54" i="15" s="1"/>
  <c r="J54" i="15" s="1"/>
  <c r="K54" i="15" s="1"/>
  <c r="L54" i="15" s="1"/>
  <c r="M54" i="15" s="1"/>
  <c r="N54" i="15" s="1"/>
  <c r="O54" i="15" s="1"/>
  <c r="P54" i="15" s="1"/>
  <c r="Q54" i="15" s="1"/>
  <c r="R54" i="15" s="1"/>
  <c r="S54" i="15" s="1"/>
  <c r="C83" i="8"/>
  <c r="C87" i="8"/>
  <c r="C88" i="8" s="1"/>
  <c r="C84" i="8"/>
  <c r="C81" i="8"/>
  <c r="H225" i="15"/>
  <c r="I225" i="15" s="1"/>
  <c r="J225" i="15" s="1"/>
  <c r="K225" i="15" s="1"/>
  <c r="L225" i="15" s="1"/>
  <c r="M225" i="15" s="1"/>
  <c r="N225" i="15" s="1"/>
  <c r="O225" i="15" s="1"/>
  <c r="P225" i="15" s="1"/>
  <c r="Q225" i="15" s="1"/>
  <c r="R225" i="15" s="1"/>
  <c r="S225" i="15" s="1"/>
  <c r="G224" i="15"/>
  <c r="F226" i="15" s="1"/>
  <c r="F20" i="8"/>
  <c r="F21" i="8" s="1"/>
  <c r="F23" i="8"/>
  <c r="F24" i="8" s="1"/>
  <c r="K295" i="7"/>
  <c r="K294" i="7" s="1"/>
  <c r="K293" i="7" s="1"/>
  <c r="K292" i="7" s="1"/>
  <c r="K291" i="7" s="1"/>
  <c r="K290" i="7" s="1"/>
  <c r="K289" i="7" s="1"/>
  <c r="K288" i="7" s="1"/>
  <c r="K305" i="7"/>
  <c r="F12" i="8"/>
  <c r="F11" i="8"/>
  <c r="E323" i="7"/>
  <c r="E322" i="7" s="1"/>
  <c r="E321" i="7" s="1"/>
  <c r="E320" i="7" s="1"/>
  <c r="E319" i="7" s="1"/>
  <c r="E318" i="7" s="1"/>
  <c r="E317" i="7" s="1"/>
  <c r="E316" i="7" s="1"/>
  <c r="E315" i="7" s="1"/>
  <c r="E313" i="7"/>
  <c r="E312" i="7" s="1"/>
  <c r="E311" i="7" s="1"/>
  <c r="E310" i="7" s="1"/>
  <c r="E309" i="7" s="1"/>
  <c r="E308" i="7" s="1"/>
  <c r="E307" i="7" s="1"/>
  <c r="E306" i="7" s="1"/>
  <c r="B74" i="10"/>
  <c r="E73" i="10"/>
  <c r="D73" i="10"/>
  <c r="E50" i="7"/>
  <c r="F48" i="7"/>
  <c r="P47" i="7"/>
  <c r="L47" i="7"/>
  <c r="J47" i="7"/>
  <c r="I47" i="7"/>
  <c r="G48" i="7"/>
  <c r="K47" i="7"/>
  <c r="O47" i="7"/>
  <c r="M47" i="7"/>
  <c r="N47" i="7"/>
  <c r="H357" i="15"/>
  <c r="I357" i="15" s="1"/>
  <c r="J357" i="15" s="1"/>
  <c r="K357" i="15" s="1"/>
  <c r="L357" i="15" s="1"/>
  <c r="M357" i="15" s="1"/>
  <c r="N357" i="15" s="1"/>
  <c r="O357" i="15" s="1"/>
  <c r="P357" i="15" s="1"/>
  <c r="Q357" i="15" s="1"/>
  <c r="R357" i="15" s="1"/>
  <c r="S357" i="15" s="1"/>
  <c r="G356" i="15"/>
  <c r="F358" i="15" s="1"/>
  <c r="M33" i="23"/>
  <c r="Q32" i="23"/>
  <c r="P32" i="23"/>
  <c r="O32" i="23"/>
  <c r="Q314" i="7"/>
  <c r="Q304" i="7"/>
  <c r="Q303" i="7" s="1"/>
  <c r="Q302" i="7" s="1"/>
  <c r="Q301" i="7" s="1"/>
  <c r="Q300" i="7" s="1"/>
  <c r="Q299" i="7" s="1"/>
  <c r="Q298" i="7" s="1"/>
  <c r="Q297" i="7" s="1"/>
  <c r="K116" i="12"/>
  <c r="J116" i="12"/>
  <c r="I116" i="12"/>
  <c r="Q126" i="12"/>
  <c r="H116" i="12"/>
  <c r="O116" i="12"/>
  <c r="G116" i="12"/>
  <c r="N116" i="12"/>
  <c r="F116" i="12"/>
  <c r="M116" i="12"/>
  <c r="E116" i="12"/>
  <c r="L116" i="12"/>
  <c r="D116" i="12"/>
  <c r="D47" i="4"/>
  <c r="E48" i="4"/>
  <c r="F47" i="4"/>
  <c r="G72" i="10"/>
  <c r="F73" i="10" s="1"/>
  <c r="E63" i="14"/>
  <c r="E64" i="14" s="1"/>
  <c r="E65" i="14" s="1"/>
  <c r="E66" i="14" s="1"/>
  <c r="E67" i="14" s="1"/>
  <c r="E68" i="14" s="1"/>
  <c r="E69" i="14" s="1"/>
  <c r="E70" i="14" s="1"/>
  <c r="E71" i="14" s="1"/>
  <c r="E72" i="14" s="1"/>
  <c r="E73" i="14" s="1"/>
  <c r="E74" i="14" s="1"/>
  <c r="E75" i="14" s="1"/>
  <c r="E76" i="14" s="1"/>
  <c r="H47" i="14" s="1"/>
  <c r="F62" i="14"/>
  <c r="D65" i="8"/>
  <c r="D62" i="8"/>
  <c r="K112" i="8"/>
  <c r="G191" i="15"/>
  <c r="F193" i="15" s="1"/>
  <c r="H192" i="15"/>
  <c r="I192" i="15" s="1"/>
  <c r="J192" i="15" s="1"/>
  <c r="K192" i="15" s="1"/>
  <c r="L192" i="15" s="1"/>
  <c r="M192" i="15" s="1"/>
  <c r="N192" i="15" s="1"/>
  <c r="O192" i="15" s="1"/>
  <c r="P192" i="15" s="1"/>
  <c r="Q192" i="15" s="1"/>
  <c r="R192" i="15" s="1"/>
  <c r="S192" i="15" s="1"/>
  <c r="P19" i="23"/>
  <c r="O19" i="23"/>
  <c r="M20" i="23"/>
  <c r="D67" i="8"/>
  <c r="G84" i="15"/>
  <c r="F86" i="15" s="1"/>
  <c r="H85" i="15"/>
  <c r="I85" i="15" s="1"/>
  <c r="J85" i="15" s="1"/>
  <c r="K85" i="15" s="1"/>
  <c r="L85" i="15" s="1"/>
  <c r="M85" i="15" s="1"/>
  <c r="N85" i="15" s="1"/>
  <c r="O85" i="15" s="1"/>
  <c r="P85" i="15" s="1"/>
  <c r="Q85" i="15" s="1"/>
  <c r="R85" i="15" s="1"/>
  <c r="S85" i="15" s="1"/>
  <c r="E51" i="8"/>
  <c r="C77" i="8"/>
  <c r="D93" i="7"/>
  <c r="D94" i="7" s="1"/>
  <c r="D95" i="7" s="1"/>
  <c r="D96" i="7" s="1"/>
  <c r="D97" i="7" s="1"/>
  <c r="D98" i="7" s="1"/>
  <c r="D99" i="7" s="1"/>
  <c r="F92" i="7"/>
  <c r="G295" i="15"/>
  <c r="F297" i="15" s="1"/>
  <c r="H296" i="15"/>
  <c r="I296" i="15" s="1"/>
  <c r="J296" i="15" s="1"/>
  <c r="K296" i="15" s="1"/>
  <c r="L296" i="15" s="1"/>
  <c r="M296" i="15" s="1"/>
  <c r="N296" i="15" s="1"/>
  <c r="O296" i="15" s="1"/>
  <c r="P296" i="15" s="1"/>
  <c r="Q296" i="15" s="1"/>
  <c r="R296" i="15" s="1"/>
  <c r="S296" i="15" s="1"/>
  <c r="G155" i="15"/>
  <c r="F157" i="15" s="1"/>
  <c r="H156" i="15"/>
  <c r="I156" i="15" s="1"/>
  <c r="J156" i="15" s="1"/>
  <c r="K156" i="15" s="1"/>
  <c r="L156" i="15" s="1"/>
  <c r="M156" i="15" s="1"/>
  <c r="N156" i="15" s="1"/>
  <c r="O156" i="15" s="1"/>
  <c r="P156" i="15" s="1"/>
  <c r="Q156" i="15" s="1"/>
  <c r="R156" i="15" s="1"/>
  <c r="S156" i="15" s="1"/>
  <c r="O22" i="7"/>
  <c r="O23" i="7" s="1"/>
  <c r="O24" i="7" s="1"/>
  <c r="O25" i="7" s="1"/>
  <c r="O26" i="7" s="1"/>
  <c r="O27" i="7" s="1"/>
  <c r="O28" i="7" s="1"/>
  <c r="O29" i="7" s="1"/>
  <c r="O30" i="7" s="1"/>
  <c r="O32" i="7"/>
  <c r="C78" i="8"/>
  <c r="K118" i="12"/>
  <c r="J118" i="12"/>
  <c r="I118" i="12"/>
  <c r="Q128" i="12"/>
  <c r="H118" i="12"/>
  <c r="O118" i="12"/>
  <c r="G118" i="12"/>
  <c r="N118" i="12"/>
  <c r="F118" i="12"/>
  <c r="M118" i="12"/>
  <c r="E118" i="12"/>
  <c r="D118" i="12"/>
  <c r="L118" i="12"/>
  <c r="H73" i="10"/>
  <c r="H319" i="15"/>
  <c r="I319" i="15" s="1"/>
  <c r="J319" i="15" s="1"/>
  <c r="K319" i="15" s="1"/>
  <c r="L319" i="15" s="1"/>
  <c r="M319" i="15" s="1"/>
  <c r="N319" i="15" s="1"/>
  <c r="O319" i="15" s="1"/>
  <c r="P319" i="15" s="1"/>
  <c r="Q319" i="15" s="1"/>
  <c r="R319" i="15" s="1"/>
  <c r="S319" i="15" s="1"/>
  <c r="G318" i="15"/>
  <c r="F320" i="15" s="1"/>
  <c r="L26" i="21"/>
  <c r="K25" i="21"/>
  <c r="I44" i="7"/>
  <c r="J42" i="7"/>
  <c r="K42" i="7" s="1"/>
  <c r="L42" i="7" s="1"/>
  <c r="M42" i="7" s="1"/>
  <c r="N42" i="7" s="1"/>
  <c r="O42" i="7" s="1"/>
  <c r="P42" i="7" s="1"/>
  <c r="Q42" i="7" s="1"/>
  <c r="I104" i="8"/>
  <c r="J104" i="8"/>
  <c r="F30" i="8" l="1"/>
  <c r="G31" i="8" s="1"/>
  <c r="G32" i="8" s="1"/>
  <c r="G33" i="8" s="1"/>
  <c r="F44" i="8"/>
  <c r="F45" i="8" s="1"/>
  <c r="F47" i="8"/>
  <c r="F48" i="8" s="1"/>
  <c r="F49" i="8" s="1"/>
  <c r="I113" i="12"/>
  <c r="G119" i="12"/>
  <c r="L119" i="12"/>
  <c r="K119" i="12"/>
  <c r="N119" i="12"/>
  <c r="F38" i="8"/>
  <c r="G39" i="8" s="1"/>
  <c r="G40" i="8" s="1"/>
  <c r="G41" i="8" s="1"/>
  <c r="E119" i="12"/>
  <c r="O119" i="12"/>
  <c r="J119" i="12"/>
  <c r="Q129" i="12"/>
  <c r="G129" i="12" s="1"/>
  <c r="M119" i="12"/>
  <c r="D119" i="12"/>
  <c r="F119" i="12"/>
  <c r="H119" i="12"/>
  <c r="D117" i="12"/>
  <c r="D79" i="8"/>
  <c r="D80" i="8" s="1"/>
  <c r="D81" i="8" s="1"/>
  <c r="G27" i="8"/>
  <c r="H117" i="12"/>
  <c r="Q127" i="12"/>
  <c r="F127" i="12" s="1"/>
  <c r="L117" i="12"/>
  <c r="M115" i="12"/>
  <c r="J115" i="12"/>
  <c r="E113" i="12"/>
  <c r="D113" i="12"/>
  <c r="G113" i="12"/>
  <c r="H113" i="12"/>
  <c r="O113" i="12"/>
  <c r="E63" i="8"/>
  <c r="E64" i="8" s="1"/>
  <c r="E65" i="8" s="1"/>
  <c r="N115" i="12"/>
  <c r="L113" i="12"/>
  <c r="Q123" i="12"/>
  <c r="L123" i="12" s="1"/>
  <c r="M117" i="12"/>
  <c r="J117" i="12"/>
  <c r="G115" i="12"/>
  <c r="D69" i="8"/>
  <c r="O115" i="12"/>
  <c r="L115" i="12"/>
  <c r="H115" i="12"/>
  <c r="F113" i="12"/>
  <c r="K113" i="12"/>
  <c r="G117" i="12"/>
  <c r="D115" i="12"/>
  <c r="Q125" i="12"/>
  <c r="Q135" i="12" s="1"/>
  <c r="N114" i="12"/>
  <c r="J114" i="12"/>
  <c r="M114" i="12"/>
  <c r="I114" i="12"/>
  <c r="E114" i="12"/>
  <c r="O114" i="12"/>
  <c r="G114" i="12"/>
  <c r="K114" i="12"/>
  <c r="F114" i="12"/>
  <c r="Q124" i="12"/>
  <c r="D114" i="12"/>
  <c r="H114" i="12"/>
  <c r="L114" i="12"/>
  <c r="F115" i="12"/>
  <c r="K115" i="12"/>
  <c r="E117" i="12"/>
  <c r="I117" i="12"/>
  <c r="F117" i="12"/>
  <c r="K117" i="12"/>
  <c r="M113" i="12"/>
  <c r="J113" i="12"/>
  <c r="N117" i="12"/>
  <c r="E115" i="12"/>
  <c r="C85" i="8"/>
  <c r="D76" i="8"/>
  <c r="F13" i="8"/>
  <c r="E59" i="8"/>
  <c r="G35" i="8"/>
  <c r="J99" i="8"/>
  <c r="J100" i="8"/>
  <c r="B102" i="8"/>
  <c r="H321" i="15"/>
  <c r="I321" i="15" s="1"/>
  <c r="J321" i="15" s="1"/>
  <c r="K321" i="15" s="1"/>
  <c r="L321" i="15" s="1"/>
  <c r="M321" i="15" s="1"/>
  <c r="N321" i="15" s="1"/>
  <c r="O321" i="15" s="1"/>
  <c r="P321" i="15" s="1"/>
  <c r="Q321" i="15" s="1"/>
  <c r="R321" i="15" s="1"/>
  <c r="S321" i="15" s="1"/>
  <c r="G320" i="15"/>
  <c r="F322" i="15" s="1"/>
  <c r="Q136" i="12"/>
  <c r="J126" i="12"/>
  <c r="O126" i="12"/>
  <c r="L126" i="12"/>
  <c r="N126" i="12"/>
  <c r="H126" i="12"/>
  <c r="G126" i="12"/>
  <c r="M126" i="12"/>
  <c r="K126" i="12"/>
  <c r="E126" i="12"/>
  <c r="I126" i="12"/>
  <c r="D126" i="12"/>
  <c r="F126" i="12"/>
  <c r="H194" i="15"/>
  <c r="I194" i="15" s="1"/>
  <c r="J194" i="15" s="1"/>
  <c r="K194" i="15" s="1"/>
  <c r="L194" i="15" s="1"/>
  <c r="M194" i="15" s="1"/>
  <c r="N194" i="15" s="1"/>
  <c r="O194" i="15" s="1"/>
  <c r="P194" i="15" s="1"/>
  <c r="Q194" i="15" s="1"/>
  <c r="R194" i="15" s="1"/>
  <c r="S194" i="15" s="1"/>
  <c r="G193" i="15"/>
  <c r="F195" i="15" s="1"/>
  <c r="H158" i="15"/>
  <c r="I158" i="15" s="1"/>
  <c r="J158" i="15" s="1"/>
  <c r="K158" i="15" s="1"/>
  <c r="L158" i="15" s="1"/>
  <c r="M158" i="15" s="1"/>
  <c r="N158" i="15" s="1"/>
  <c r="O158" i="15" s="1"/>
  <c r="P158" i="15" s="1"/>
  <c r="Q158" i="15" s="1"/>
  <c r="R158" i="15" s="1"/>
  <c r="S158" i="15" s="1"/>
  <c r="G157" i="15"/>
  <c r="F159" i="15" s="1"/>
  <c r="E60" i="8"/>
  <c r="D48" i="4"/>
  <c r="H40" i="4"/>
  <c r="F48" i="4"/>
  <c r="Q313" i="7"/>
  <c r="Q312" i="7" s="1"/>
  <c r="Q311" i="7" s="1"/>
  <c r="Q310" i="7" s="1"/>
  <c r="Q309" i="7" s="1"/>
  <c r="Q308" i="7" s="1"/>
  <c r="Q307" i="7" s="1"/>
  <c r="Q306" i="7" s="1"/>
  <c r="Q323" i="7"/>
  <c r="Q322" i="7" s="1"/>
  <c r="Q321" i="7" s="1"/>
  <c r="Q320" i="7" s="1"/>
  <c r="Q319" i="7" s="1"/>
  <c r="Q318" i="7" s="1"/>
  <c r="Q317" i="7" s="1"/>
  <c r="Q316" i="7" s="1"/>
  <c r="Q315" i="7" s="1"/>
  <c r="K304" i="7"/>
  <c r="K303" i="7" s="1"/>
  <c r="K302" i="7" s="1"/>
  <c r="K301" i="7" s="1"/>
  <c r="K300" i="7" s="1"/>
  <c r="K299" i="7" s="1"/>
  <c r="K298" i="7" s="1"/>
  <c r="K297" i="7" s="1"/>
  <c r="K314" i="7"/>
  <c r="H227" i="15"/>
  <c r="I227" i="15" s="1"/>
  <c r="J227" i="15" s="1"/>
  <c r="K227" i="15" s="1"/>
  <c r="L227" i="15" s="1"/>
  <c r="M227" i="15" s="1"/>
  <c r="N227" i="15" s="1"/>
  <c r="O227" i="15" s="1"/>
  <c r="P227" i="15" s="1"/>
  <c r="Q227" i="15" s="1"/>
  <c r="R227" i="15" s="1"/>
  <c r="S227" i="15" s="1"/>
  <c r="G226" i="15"/>
  <c r="F228" i="15" s="1"/>
  <c r="J44" i="7"/>
  <c r="K44" i="7" s="1"/>
  <c r="L44" i="7" s="1"/>
  <c r="M44" i="7" s="1"/>
  <c r="N44" i="7" s="1"/>
  <c r="O44" i="7" s="1"/>
  <c r="P44" i="7" s="1"/>
  <c r="Q44" i="7" s="1"/>
  <c r="I46" i="7"/>
  <c r="L25" i="21"/>
  <c r="K24" i="21"/>
  <c r="D75" i="8"/>
  <c r="H87" i="15"/>
  <c r="I87" i="15" s="1"/>
  <c r="J87" i="15" s="1"/>
  <c r="K87" i="15" s="1"/>
  <c r="L87" i="15" s="1"/>
  <c r="M87" i="15" s="1"/>
  <c r="N87" i="15" s="1"/>
  <c r="O87" i="15" s="1"/>
  <c r="P87" i="15" s="1"/>
  <c r="Q87" i="15" s="1"/>
  <c r="R87" i="15" s="1"/>
  <c r="S87" i="15" s="1"/>
  <c r="G86" i="15"/>
  <c r="F88" i="15" s="1"/>
  <c r="H119" i="15"/>
  <c r="I119" i="15" s="1"/>
  <c r="J119" i="15" s="1"/>
  <c r="K119" i="15" s="1"/>
  <c r="L119" i="15" s="1"/>
  <c r="M119" i="15" s="1"/>
  <c r="N119" i="15" s="1"/>
  <c r="O119" i="15" s="1"/>
  <c r="P119" i="15" s="1"/>
  <c r="Q119" i="15" s="1"/>
  <c r="R119" i="15" s="1"/>
  <c r="S119" i="15" s="1"/>
  <c r="G118" i="15"/>
  <c r="F120" i="15" s="1"/>
  <c r="P20" i="7"/>
  <c r="O31" i="7"/>
  <c r="O33" i="7" s="1"/>
  <c r="O34" i="7" s="1"/>
  <c r="O35" i="7" s="1"/>
  <c r="E54" i="8"/>
  <c r="F55" i="8" s="1"/>
  <c r="F56" i="8" s="1"/>
  <c r="H56" i="15"/>
  <c r="I56" i="15" s="1"/>
  <c r="J56" i="15" s="1"/>
  <c r="K56" i="15" s="1"/>
  <c r="L56" i="15" s="1"/>
  <c r="M56" i="15" s="1"/>
  <c r="N56" i="15" s="1"/>
  <c r="O56" i="15" s="1"/>
  <c r="P56" i="15" s="1"/>
  <c r="Q56" i="15" s="1"/>
  <c r="R56" i="15" s="1"/>
  <c r="S56" i="15" s="1"/>
  <c r="G55" i="15"/>
  <c r="F57" i="15" s="1"/>
  <c r="Q132" i="12"/>
  <c r="I122" i="12"/>
  <c r="M122" i="12"/>
  <c r="G122" i="12"/>
  <c r="E122" i="12"/>
  <c r="J122" i="12"/>
  <c r="O122" i="12"/>
  <c r="H122" i="12"/>
  <c r="K122" i="12"/>
  <c r="L122" i="12"/>
  <c r="N122" i="12"/>
  <c r="F122" i="12"/>
  <c r="D122" i="12"/>
  <c r="K120" i="8"/>
  <c r="P33" i="23"/>
  <c r="O33" i="23"/>
  <c r="M34" i="23"/>
  <c r="Q33" i="23"/>
  <c r="H298" i="15"/>
  <c r="I298" i="15" s="1"/>
  <c r="J298" i="15" s="1"/>
  <c r="K298" i="15" s="1"/>
  <c r="L298" i="15" s="1"/>
  <c r="M298" i="15" s="1"/>
  <c r="N298" i="15" s="1"/>
  <c r="O298" i="15" s="1"/>
  <c r="P298" i="15" s="1"/>
  <c r="Q298" i="15" s="1"/>
  <c r="R298" i="15" s="1"/>
  <c r="S298" i="15" s="1"/>
  <c r="G297" i="15"/>
  <c r="F299" i="15" s="1"/>
  <c r="D70" i="8"/>
  <c r="E71" i="8" s="1"/>
  <c r="E72" i="8" s="1"/>
  <c r="L127" i="12"/>
  <c r="O127" i="12"/>
  <c r="H127" i="12"/>
  <c r="E127" i="12"/>
  <c r="G127" i="12"/>
  <c r="H359" i="15"/>
  <c r="I359" i="15" s="1"/>
  <c r="J359" i="15" s="1"/>
  <c r="K359" i="15" s="1"/>
  <c r="L359" i="15" s="1"/>
  <c r="M359" i="15" s="1"/>
  <c r="N359" i="15" s="1"/>
  <c r="O359" i="15" s="1"/>
  <c r="P359" i="15" s="1"/>
  <c r="Q359" i="15" s="1"/>
  <c r="R359" i="15" s="1"/>
  <c r="S359" i="15" s="1"/>
  <c r="G358" i="15"/>
  <c r="F360" i="15" s="1"/>
  <c r="F17" i="8"/>
  <c r="R32" i="7"/>
  <c r="R22" i="7"/>
  <c r="R23" i="7" s="1"/>
  <c r="R24" i="7" s="1"/>
  <c r="R25" i="7" s="1"/>
  <c r="R26" i="7" s="1"/>
  <c r="R27" i="7" s="1"/>
  <c r="R28" i="7" s="1"/>
  <c r="R29" i="7" s="1"/>
  <c r="R30" i="7" s="1"/>
  <c r="P20" i="23"/>
  <c r="O20" i="23"/>
  <c r="M21" i="23"/>
  <c r="H266" i="15"/>
  <c r="I266" i="15" s="1"/>
  <c r="J266" i="15" s="1"/>
  <c r="K266" i="15" s="1"/>
  <c r="L266" i="15" s="1"/>
  <c r="M266" i="15" s="1"/>
  <c r="N266" i="15" s="1"/>
  <c r="O266" i="15" s="1"/>
  <c r="P266" i="15" s="1"/>
  <c r="Q266" i="15" s="1"/>
  <c r="R266" i="15" s="1"/>
  <c r="S266" i="15" s="1"/>
  <c r="G265" i="15"/>
  <c r="F267" i="15" s="1"/>
  <c r="F22" i="8"/>
  <c r="F93" i="7"/>
  <c r="F94" i="7" s="1"/>
  <c r="F95" i="7" s="1"/>
  <c r="F96" i="7" s="1"/>
  <c r="F97" i="7" s="1"/>
  <c r="F98" i="7" s="1"/>
  <c r="F99" i="7" s="1"/>
  <c r="G93" i="7"/>
  <c r="C89" i="8"/>
  <c r="C91" i="8"/>
  <c r="C92" i="8"/>
  <c r="C95" i="8"/>
  <c r="C96" i="8" s="1"/>
  <c r="Q138" i="12"/>
  <c r="L128" i="12"/>
  <c r="E128" i="12"/>
  <c r="J128" i="12"/>
  <c r="H128" i="12"/>
  <c r="I128" i="12"/>
  <c r="F128" i="12"/>
  <c r="N128" i="12"/>
  <c r="M128" i="12"/>
  <c r="K128" i="12"/>
  <c r="D128" i="12"/>
  <c r="G128" i="12"/>
  <c r="O128" i="12"/>
  <c r="H48" i="14"/>
  <c r="H49" i="14" s="1"/>
  <c r="H50" i="14" s="1"/>
  <c r="H51" i="14" s="1"/>
  <c r="H52" i="14" s="1"/>
  <c r="H53" i="14" s="1"/>
  <c r="H54" i="14" s="1"/>
  <c r="H55" i="14" s="1"/>
  <c r="H56" i="14" s="1"/>
  <c r="H57" i="14" s="1"/>
  <c r="H58" i="14" s="1"/>
  <c r="H59" i="14" s="1"/>
  <c r="H60" i="14" s="1"/>
  <c r="H61" i="14" s="1"/>
  <c r="H62" i="14" s="1"/>
  <c r="I47" i="14"/>
  <c r="H46" i="14"/>
  <c r="F25" i="8"/>
  <c r="C86" i="8"/>
  <c r="E53" i="8"/>
  <c r="D100" i="7"/>
  <c r="D101" i="7" s="1"/>
  <c r="D148" i="7"/>
  <c r="G73" i="10"/>
  <c r="F74" i="10" s="1"/>
  <c r="G74" i="10" s="1"/>
  <c r="F75" i="10" s="1"/>
  <c r="E52" i="7"/>
  <c r="F50" i="7"/>
  <c r="P49" i="7"/>
  <c r="N49" i="7"/>
  <c r="J49" i="7"/>
  <c r="O49" i="7"/>
  <c r="K49" i="7"/>
  <c r="L49" i="7"/>
  <c r="I49" i="7"/>
  <c r="M49" i="7"/>
  <c r="G50" i="7"/>
  <c r="B75" i="10"/>
  <c r="E74" i="10"/>
  <c r="H74" i="10" s="1"/>
  <c r="D74" i="10"/>
  <c r="F14" i="8"/>
  <c r="I112" i="8"/>
  <c r="J112" i="8"/>
  <c r="H129" i="12" l="1"/>
  <c r="F46" i="8"/>
  <c r="G47" i="8" s="1"/>
  <c r="G48" i="8" s="1"/>
  <c r="G28" i="8"/>
  <c r="G29" i="8" s="1"/>
  <c r="L129" i="12"/>
  <c r="E129" i="12"/>
  <c r="N129" i="12"/>
  <c r="F129" i="12"/>
  <c r="Q139" i="12"/>
  <c r="I139" i="12" s="1"/>
  <c r="M129" i="12"/>
  <c r="G36" i="8"/>
  <c r="G38" i="8" s="1"/>
  <c r="H39" i="8" s="1"/>
  <c r="H40" i="8" s="1"/>
  <c r="H41" i="8" s="1"/>
  <c r="D129" i="12"/>
  <c r="J129" i="12"/>
  <c r="D139" i="12"/>
  <c r="Q137" i="12"/>
  <c r="M137" i="12" s="1"/>
  <c r="O129" i="12"/>
  <c r="D127" i="12"/>
  <c r="K129" i="12"/>
  <c r="I129" i="12"/>
  <c r="N127" i="12"/>
  <c r="M127" i="12"/>
  <c r="K127" i="12"/>
  <c r="I127" i="12"/>
  <c r="J127" i="12"/>
  <c r="J123" i="12"/>
  <c r="G125" i="12"/>
  <c r="G123" i="12"/>
  <c r="E125" i="12"/>
  <c r="O123" i="12"/>
  <c r="H123" i="12"/>
  <c r="D125" i="12"/>
  <c r="M125" i="12"/>
  <c r="I123" i="12"/>
  <c r="Q133" i="12"/>
  <c r="E133" i="12" s="1"/>
  <c r="J125" i="12"/>
  <c r="K123" i="12"/>
  <c r="E123" i="12"/>
  <c r="K125" i="12"/>
  <c r="F125" i="12"/>
  <c r="F123" i="12"/>
  <c r="O125" i="12"/>
  <c r="N125" i="12"/>
  <c r="I125" i="12"/>
  <c r="L125" i="12"/>
  <c r="D123" i="12"/>
  <c r="M123" i="12"/>
  <c r="H125" i="12"/>
  <c r="N123" i="12"/>
  <c r="G43" i="8"/>
  <c r="G15" i="8"/>
  <c r="G16" i="8" s="1"/>
  <c r="J124" i="12"/>
  <c r="O124" i="12"/>
  <c r="H124" i="12"/>
  <c r="I124" i="12"/>
  <c r="N124" i="12"/>
  <c r="L124" i="12"/>
  <c r="F124" i="12"/>
  <c r="D124" i="12"/>
  <c r="E124" i="12"/>
  <c r="K124" i="12"/>
  <c r="G124" i="12"/>
  <c r="M124" i="12"/>
  <c r="Q134" i="12"/>
  <c r="E61" i="8"/>
  <c r="D87" i="8"/>
  <c r="D88" i="8" s="1"/>
  <c r="D89" i="8" s="1"/>
  <c r="G19" i="8"/>
  <c r="D77" i="8"/>
  <c r="G23" i="8"/>
  <c r="G24" i="8" s="1"/>
  <c r="G25" i="8" s="1"/>
  <c r="G12" i="8"/>
  <c r="D83" i="8"/>
  <c r="J107" i="8"/>
  <c r="J108" i="8"/>
  <c r="B110" i="8"/>
  <c r="F57" i="8"/>
  <c r="G20" i="8"/>
  <c r="F51" i="8"/>
  <c r="U20" i="7"/>
  <c r="T21" i="7" s="1"/>
  <c r="T22" i="7" s="1"/>
  <c r="T23" i="7" s="1"/>
  <c r="T24" i="7" s="1"/>
  <c r="T25" i="7" s="1"/>
  <c r="T26" i="7" s="1"/>
  <c r="T27" i="7" s="1"/>
  <c r="T28" i="7" s="1"/>
  <c r="T29" i="7" s="1"/>
  <c r="U21" i="7"/>
  <c r="I48" i="7"/>
  <c r="J46" i="7"/>
  <c r="K46" i="7" s="1"/>
  <c r="L46" i="7" s="1"/>
  <c r="M46" i="7" s="1"/>
  <c r="N46" i="7" s="1"/>
  <c r="O46" i="7" s="1"/>
  <c r="P46" i="7" s="1"/>
  <c r="Q46" i="7" s="1"/>
  <c r="S20" i="7"/>
  <c r="R31" i="7"/>
  <c r="R33" i="7" s="1"/>
  <c r="R34" i="7" s="1"/>
  <c r="R35" i="7" s="1"/>
  <c r="K313" i="7"/>
  <c r="K312" i="7" s="1"/>
  <c r="K311" i="7" s="1"/>
  <c r="K310" i="7" s="1"/>
  <c r="K309" i="7" s="1"/>
  <c r="K308" i="7" s="1"/>
  <c r="K307" i="7" s="1"/>
  <c r="K306" i="7" s="1"/>
  <c r="K323" i="7"/>
  <c r="K322" i="7" s="1"/>
  <c r="K321" i="7" s="1"/>
  <c r="K320" i="7" s="1"/>
  <c r="K319" i="7" s="1"/>
  <c r="K318" i="7" s="1"/>
  <c r="K317" i="7" s="1"/>
  <c r="K316" i="7" s="1"/>
  <c r="K315" i="7" s="1"/>
  <c r="F52" i="8"/>
  <c r="C94" i="8"/>
  <c r="G11" i="8"/>
  <c r="G75" i="10"/>
  <c r="F76" i="10" s="1"/>
  <c r="G228" i="15"/>
  <c r="F230" i="15" s="1"/>
  <c r="H229" i="15"/>
  <c r="I229" i="15" s="1"/>
  <c r="J229" i="15" s="1"/>
  <c r="K229" i="15" s="1"/>
  <c r="L229" i="15" s="1"/>
  <c r="M229" i="15" s="1"/>
  <c r="N229" i="15" s="1"/>
  <c r="O229" i="15" s="1"/>
  <c r="P229" i="15" s="1"/>
  <c r="Q229" i="15" s="1"/>
  <c r="R229" i="15" s="1"/>
  <c r="S229" i="15" s="1"/>
  <c r="J136" i="12"/>
  <c r="D136" i="12"/>
  <c r="L136" i="12"/>
  <c r="H136" i="12"/>
  <c r="G136" i="12"/>
  <c r="M136" i="12"/>
  <c r="K136" i="12"/>
  <c r="E136" i="12"/>
  <c r="I136" i="12"/>
  <c r="F136" i="12"/>
  <c r="N136" i="12"/>
  <c r="O136" i="12"/>
  <c r="G299" i="15"/>
  <c r="H300" i="15"/>
  <c r="I300" i="15" s="1"/>
  <c r="J300" i="15" s="1"/>
  <c r="K300" i="15" s="1"/>
  <c r="L300" i="15" s="1"/>
  <c r="M300" i="15" s="1"/>
  <c r="N300" i="15" s="1"/>
  <c r="O300" i="15" s="1"/>
  <c r="P300" i="15" s="1"/>
  <c r="Q300" i="15" s="1"/>
  <c r="R300" i="15" s="1"/>
  <c r="S300" i="15" s="1"/>
  <c r="H121" i="15"/>
  <c r="I121" i="15" s="1"/>
  <c r="J121" i="15" s="1"/>
  <c r="K121" i="15" s="1"/>
  <c r="L121" i="15" s="1"/>
  <c r="M121" i="15" s="1"/>
  <c r="N121" i="15" s="1"/>
  <c r="O121" i="15" s="1"/>
  <c r="P121" i="15" s="1"/>
  <c r="Q121" i="15" s="1"/>
  <c r="R121" i="15" s="1"/>
  <c r="S121" i="15" s="1"/>
  <c r="G120" i="15"/>
  <c r="F122" i="15" s="1"/>
  <c r="L135" i="12"/>
  <c r="N135" i="12"/>
  <c r="F135" i="12"/>
  <c r="M135" i="12"/>
  <c r="D135" i="12"/>
  <c r="E135" i="12"/>
  <c r="J135" i="12"/>
  <c r="G135" i="12"/>
  <c r="H135" i="12"/>
  <c r="I135" i="12"/>
  <c r="O135" i="12"/>
  <c r="K135" i="12"/>
  <c r="Q34" i="23"/>
  <c r="P34" i="23"/>
  <c r="O34" i="23"/>
  <c r="J138" i="12"/>
  <c r="H138" i="12"/>
  <c r="I138" i="12"/>
  <c r="F138" i="12"/>
  <c r="N138" i="12"/>
  <c r="E138" i="12"/>
  <c r="M138" i="12"/>
  <c r="L138" i="12"/>
  <c r="K138" i="12"/>
  <c r="D138" i="12"/>
  <c r="G138" i="12"/>
  <c r="O138" i="12"/>
  <c r="G94" i="7"/>
  <c r="G95" i="7" s="1"/>
  <c r="G96" i="7" s="1"/>
  <c r="G97" i="7" s="1"/>
  <c r="G98" i="7" s="1"/>
  <c r="G99" i="7" s="1"/>
  <c r="P21" i="23"/>
  <c r="O21" i="23"/>
  <c r="H137" i="12"/>
  <c r="L137" i="12"/>
  <c r="N137" i="12"/>
  <c r="G137" i="12"/>
  <c r="J137" i="12"/>
  <c r="H89" i="15"/>
  <c r="I89" i="15" s="1"/>
  <c r="J89" i="15" s="1"/>
  <c r="K89" i="15" s="1"/>
  <c r="L89" i="15" s="1"/>
  <c r="M89" i="15" s="1"/>
  <c r="N89" i="15" s="1"/>
  <c r="O89" i="15" s="1"/>
  <c r="P89" i="15" s="1"/>
  <c r="Q89" i="15" s="1"/>
  <c r="R89" i="15" s="1"/>
  <c r="S89" i="15" s="1"/>
  <c r="G88" i="15"/>
  <c r="F90" i="15" s="1"/>
  <c r="G322" i="15"/>
  <c r="F324" i="15" s="1"/>
  <c r="H323" i="15"/>
  <c r="I323" i="15" s="1"/>
  <c r="J323" i="15" s="1"/>
  <c r="K323" i="15" s="1"/>
  <c r="L323" i="15" s="1"/>
  <c r="M323" i="15" s="1"/>
  <c r="N323" i="15" s="1"/>
  <c r="O323" i="15" s="1"/>
  <c r="P323" i="15" s="1"/>
  <c r="Q323" i="15" s="1"/>
  <c r="R323" i="15" s="1"/>
  <c r="S323" i="15" s="1"/>
  <c r="E62" i="8"/>
  <c r="F63" i="8" s="1"/>
  <c r="F64" i="8" s="1"/>
  <c r="F100" i="7"/>
  <c r="F101" i="7" s="1"/>
  <c r="F148" i="7"/>
  <c r="H148" i="7" s="1"/>
  <c r="E73" i="8"/>
  <c r="I132" i="12"/>
  <c r="M132" i="12"/>
  <c r="G132" i="12"/>
  <c r="E132" i="12"/>
  <c r="K132" i="12"/>
  <c r="H132" i="12"/>
  <c r="J132" i="12"/>
  <c r="O132" i="12"/>
  <c r="N132" i="12"/>
  <c r="L132" i="12"/>
  <c r="D132" i="12"/>
  <c r="F132" i="12"/>
  <c r="G49" i="8"/>
  <c r="H41" i="4"/>
  <c r="I40" i="4"/>
  <c r="G195" i="15"/>
  <c r="F197" i="15" s="1"/>
  <c r="H196" i="15"/>
  <c r="I196" i="15" s="1"/>
  <c r="J196" i="15" s="1"/>
  <c r="K196" i="15" s="1"/>
  <c r="L196" i="15" s="1"/>
  <c r="M196" i="15" s="1"/>
  <c r="N196" i="15" s="1"/>
  <c r="O196" i="15" s="1"/>
  <c r="P196" i="15" s="1"/>
  <c r="Q196" i="15" s="1"/>
  <c r="R196" i="15" s="1"/>
  <c r="S196" i="15" s="1"/>
  <c r="D102" i="7"/>
  <c r="D103" i="7" s="1"/>
  <c r="D104" i="7" s="1"/>
  <c r="D105" i="7" s="1"/>
  <c r="D106" i="7" s="1"/>
  <c r="D107" i="7" s="1"/>
  <c r="D108" i="7" s="1"/>
  <c r="D109" i="7" s="1"/>
  <c r="D110" i="7" s="1"/>
  <c r="D111" i="7" s="1"/>
  <c r="D112" i="7" s="1"/>
  <c r="D113" i="7" s="1"/>
  <c r="D114" i="7" s="1"/>
  <c r="D115" i="7" s="1"/>
  <c r="D116" i="7" s="1"/>
  <c r="D117" i="7" s="1"/>
  <c r="D118" i="7" s="1"/>
  <c r="E110" i="7"/>
  <c r="D84" i="8"/>
  <c r="C97" i="8"/>
  <c r="G360" i="15"/>
  <c r="F362" i="15" s="1"/>
  <c r="H361" i="15"/>
  <c r="I361" i="15" s="1"/>
  <c r="J361" i="15" s="1"/>
  <c r="K361" i="15" s="1"/>
  <c r="L361" i="15" s="1"/>
  <c r="M361" i="15" s="1"/>
  <c r="N361" i="15" s="1"/>
  <c r="O361" i="15" s="1"/>
  <c r="P361" i="15" s="1"/>
  <c r="Q361" i="15" s="1"/>
  <c r="R361" i="15" s="1"/>
  <c r="S361" i="15" s="1"/>
  <c r="E68" i="8"/>
  <c r="K128" i="8"/>
  <c r="H58" i="15"/>
  <c r="I58" i="15" s="1"/>
  <c r="J58" i="15" s="1"/>
  <c r="K58" i="15" s="1"/>
  <c r="L58" i="15" s="1"/>
  <c r="M58" i="15" s="1"/>
  <c r="N58" i="15" s="1"/>
  <c r="O58" i="15" s="1"/>
  <c r="P58" i="15" s="1"/>
  <c r="Q58" i="15" s="1"/>
  <c r="R58" i="15" s="1"/>
  <c r="S58" i="15" s="1"/>
  <c r="G57" i="15"/>
  <c r="F59" i="15" s="1"/>
  <c r="D78" i="8"/>
  <c r="E79" i="8" s="1"/>
  <c r="E80" i="8" s="1"/>
  <c r="G44" i="8"/>
  <c r="G159" i="15"/>
  <c r="F161" i="15" s="1"/>
  <c r="H160" i="15"/>
  <c r="I160" i="15" s="1"/>
  <c r="J160" i="15" s="1"/>
  <c r="K160" i="15" s="1"/>
  <c r="L160" i="15" s="1"/>
  <c r="M160" i="15" s="1"/>
  <c r="N160" i="15" s="1"/>
  <c r="O160" i="15" s="1"/>
  <c r="P160" i="15" s="1"/>
  <c r="Q160" i="15" s="1"/>
  <c r="R160" i="15" s="1"/>
  <c r="S160" i="15" s="1"/>
  <c r="E54" i="7"/>
  <c r="F52" i="7"/>
  <c r="K51" i="7"/>
  <c r="N51" i="7"/>
  <c r="M51" i="7"/>
  <c r="O51" i="7"/>
  <c r="L51" i="7"/>
  <c r="G52" i="7"/>
  <c r="J51" i="7"/>
  <c r="I51" i="7"/>
  <c r="P51" i="7"/>
  <c r="B76" i="10"/>
  <c r="E75" i="10"/>
  <c r="H75" i="10" s="1"/>
  <c r="D75" i="10"/>
  <c r="I62" i="14"/>
  <c r="H63" i="14"/>
  <c r="H64" i="14" s="1"/>
  <c r="H65" i="14" s="1"/>
  <c r="H66" i="14" s="1"/>
  <c r="H67" i="14" s="1"/>
  <c r="H68" i="14" s="1"/>
  <c r="H69" i="14" s="1"/>
  <c r="H70" i="14" s="1"/>
  <c r="H71" i="14" s="1"/>
  <c r="H72" i="14" s="1"/>
  <c r="H73" i="14" s="1"/>
  <c r="H74" i="14" s="1"/>
  <c r="H75" i="14" s="1"/>
  <c r="H76" i="14" s="1"/>
  <c r="K47" i="14" s="1"/>
  <c r="C93" i="8"/>
  <c r="H268" i="15"/>
  <c r="I268" i="15" s="1"/>
  <c r="J268" i="15" s="1"/>
  <c r="K268" i="15" s="1"/>
  <c r="L268" i="15" s="1"/>
  <c r="M268" i="15" s="1"/>
  <c r="N268" i="15" s="1"/>
  <c r="O268" i="15" s="1"/>
  <c r="P268" i="15" s="1"/>
  <c r="Q268" i="15" s="1"/>
  <c r="R268" i="15" s="1"/>
  <c r="S268" i="15" s="1"/>
  <c r="G267" i="15"/>
  <c r="E67" i="8"/>
  <c r="D133" i="12"/>
  <c r="H133" i="12"/>
  <c r="K133" i="12"/>
  <c r="N133" i="12"/>
  <c r="L24" i="21"/>
  <c r="K23" i="21"/>
  <c r="C100" i="8"/>
  <c r="C99" i="8"/>
  <c r="C103" i="8"/>
  <c r="C104" i="8" s="1"/>
  <c r="I120" i="8"/>
  <c r="J120" i="8"/>
  <c r="H28" i="8" l="1"/>
  <c r="G30" i="8"/>
  <c r="H31" i="8" s="1"/>
  <c r="H32" i="8" s="1"/>
  <c r="H33" i="8" s="1"/>
  <c r="G37" i="8"/>
  <c r="F139" i="12"/>
  <c r="K137" i="12"/>
  <c r="O139" i="12"/>
  <c r="L139" i="12"/>
  <c r="N139" i="12"/>
  <c r="K139" i="12"/>
  <c r="G139" i="12"/>
  <c r="J139" i="12"/>
  <c r="H139" i="12"/>
  <c r="E139" i="12"/>
  <c r="M139" i="12"/>
  <c r="I137" i="12"/>
  <c r="D137" i="12"/>
  <c r="F137" i="12"/>
  <c r="E137" i="12"/>
  <c r="O137" i="12"/>
  <c r="I133" i="12"/>
  <c r="M133" i="12"/>
  <c r="L133" i="12"/>
  <c r="G133" i="12"/>
  <c r="H27" i="8"/>
  <c r="H30" i="8" s="1"/>
  <c r="O133" i="12"/>
  <c r="H35" i="8"/>
  <c r="F133" i="12"/>
  <c r="J133" i="12"/>
  <c r="D95" i="8"/>
  <c r="D96" i="8" s="1"/>
  <c r="D97" i="8" s="1"/>
  <c r="H36" i="8"/>
  <c r="G45" i="8"/>
  <c r="G13" i="8"/>
  <c r="F53" i="8"/>
  <c r="O134" i="12"/>
  <c r="K134" i="12"/>
  <c r="H134" i="12"/>
  <c r="I134" i="12"/>
  <c r="M134" i="12"/>
  <c r="E134" i="12"/>
  <c r="J134" i="12"/>
  <c r="D134" i="12"/>
  <c r="L134" i="12"/>
  <c r="G134" i="12"/>
  <c r="N134" i="12"/>
  <c r="F134" i="12"/>
  <c r="G21" i="8"/>
  <c r="E75" i="8"/>
  <c r="D85" i="8"/>
  <c r="D92" i="8"/>
  <c r="E76" i="8"/>
  <c r="G22" i="8"/>
  <c r="H23" i="8" s="1"/>
  <c r="H24" i="8" s="1"/>
  <c r="H25" i="8" s="1"/>
  <c r="D91" i="8"/>
  <c r="J115" i="8"/>
  <c r="J116" i="8"/>
  <c r="B118" i="8"/>
  <c r="H198" i="15"/>
  <c r="I198" i="15" s="1"/>
  <c r="J198" i="15" s="1"/>
  <c r="K198" i="15" s="1"/>
  <c r="L198" i="15" s="1"/>
  <c r="M198" i="15" s="1"/>
  <c r="N198" i="15" s="1"/>
  <c r="O198" i="15" s="1"/>
  <c r="P198" i="15" s="1"/>
  <c r="Q198" i="15" s="1"/>
  <c r="R198" i="15" s="1"/>
  <c r="S198" i="15" s="1"/>
  <c r="G197" i="15"/>
  <c r="H231" i="15"/>
  <c r="I231" i="15" s="1"/>
  <c r="J231" i="15" s="1"/>
  <c r="K231" i="15" s="1"/>
  <c r="L231" i="15" s="1"/>
  <c r="M231" i="15" s="1"/>
  <c r="N231" i="15" s="1"/>
  <c r="O231" i="15" s="1"/>
  <c r="P231" i="15" s="1"/>
  <c r="Q231" i="15" s="1"/>
  <c r="R231" i="15" s="1"/>
  <c r="S231" i="15" s="1"/>
  <c r="G230" i="15"/>
  <c r="F232" i="15" s="1"/>
  <c r="C102" i="8"/>
  <c r="B77" i="10"/>
  <c r="E76" i="10"/>
  <c r="H76" i="10" s="1"/>
  <c r="D76" i="10"/>
  <c r="F54" i="8"/>
  <c r="G55" i="8" s="1"/>
  <c r="G56" i="8" s="1"/>
  <c r="F60" i="8"/>
  <c r="C107" i="8"/>
  <c r="C108" i="8"/>
  <c r="C111" i="8"/>
  <c r="C112" i="8" s="1"/>
  <c r="G148" i="7"/>
  <c r="I148" i="7" s="1"/>
  <c r="K148" i="7" s="1"/>
  <c r="G100" i="7"/>
  <c r="G101" i="7" s="1"/>
  <c r="G102" i="7" s="1"/>
  <c r="G76" i="10"/>
  <c r="F77" i="10" s="1"/>
  <c r="G324" i="15"/>
  <c r="F326" i="15" s="1"/>
  <c r="H325" i="15"/>
  <c r="I325" i="15" s="1"/>
  <c r="J325" i="15" s="1"/>
  <c r="K325" i="15" s="1"/>
  <c r="L325" i="15" s="1"/>
  <c r="M325" i="15" s="1"/>
  <c r="N325" i="15" s="1"/>
  <c r="O325" i="15" s="1"/>
  <c r="P325" i="15" s="1"/>
  <c r="Q325" i="15" s="1"/>
  <c r="R325" i="15" s="1"/>
  <c r="S325" i="15" s="1"/>
  <c r="E56" i="7"/>
  <c r="F54" i="7"/>
  <c r="M53" i="7"/>
  <c r="I53" i="7"/>
  <c r="J53" i="7"/>
  <c r="G54" i="7"/>
  <c r="L53" i="7"/>
  <c r="P53" i="7"/>
  <c r="O53" i="7"/>
  <c r="N53" i="7"/>
  <c r="K53" i="7"/>
  <c r="H42" i="4"/>
  <c r="I41" i="4"/>
  <c r="G90" i="15"/>
  <c r="F92" i="15" s="1"/>
  <c r="H91" i="15"/>
  <c r="I91" i="15" s="1"/>
  <c r="J91" i="15" s="1"/>
  <c r="K91" i="15" s="1"/>
  <c r="L91" i="15" s="1"/>
  <c r="M91" i="15" s="1"/>
  <c r="N91" i="15" s="1"/>
  <c r="O91" i="15" s="1"/>
  <c r="P91" i="15" s="1"/>
  <c r="Q91" i="15" s="1"/>
  <c r="R91" i="15" s="1"/>
  <c r="S91" i="15" s="1"/>
  <c r="H149" i="7"/>
  <c r="H150" i="7" s="1"/>
  <c r="H151" i="7" s="1"/>
  <c r="H152" i="7" s="1"/>
  <c r="H153" i="7" s="1"/>
  <c r="H154" i="7" s="1"/>
  <c r="H155" i="7" s="1"/>
  <c r="H156" i="7" s="1"/>
  <c r="H157" i="7" s="1"/>
  <c r="H158" i="7" s="1"/>
  <c r="H159" i="7" s="1"/>
  <c r="H160" i="7" s="1"/>
  <c r="H161" i="7" s="1"/>
  <c r="H162" i="7" s="1"/>
  <c r="H163" i="7" s="1"/>
  <c r="H164" i="7" s="1"/>
  <c r="H165" i="7" s="1"/>
  <c r="H166" i="7" s="1"/>
  <c r="H167" i="7" s="1"/>
  <c r="H168" i="7" s="1"/>
  <c r="H169" i="7" s="1"/>
  <c r="H170" i="7" s="1"/>
  <c r="H171" i="7" s="1"/>
  <c r="H172" i="7" s="1"/>
  <c r="H173" i="7" s="1"/>
  <c r="H174" i="7" s="1"/>
  <c r="H175" i="7" s="1"/>
  <c r="H176" i="7" s="1"/>
  <c r="H177" i="7" s="1"/>
  <c r="H178" i="7" s="1"/>
  <c r="H179" i="7" s="1"/>
  <c r="H180" i="7" s="1"/>
  <c r="H181" i="7" s="1"/>
  <c r="H182" i="7" s="1"/>
  <c r="H183" i="7" s="1"/>
  <c r="H184" i="7" s="1"/>
  <c r="H185" i="7" s="1"/>
  <c r="H186" i="7" s="1"/>
  <c r="H187" i="7" s="1"/>
  <c r="H188" i="7" s="1"/>
  <c r="H189" i="7" s="1"/>
  <c r="H190" i="7" s="1"/>
  <c r="H191" i="7" s="1"/>
  <c r="H192" i="7" s="1"/>
  <c r="H193" i="7" s="1"/>
  <c r="H194" i="7" s="1"/>
  <c r="H195" i="7" s="1"/>
  <c r="H196" i="7" s="1"/>
  <c r="H197" i="7" s="1"/>
  <c r="H198" i="7" s="1"/>
  <c r="H199" i="7" s="1"/>
  <c r="H200" i="7" s="1"/>
  <c r="H201" i="7" s="1"/>
  <c r="H202" i="7" s="1"/>
  <c r="H203" i="7" s="1"/>
  <c r="H204" i="7" s="1"/>
  <c r="H205" i="7" s="1"/>
  <c r="H206" i="7" s="1"/>
  <c r="H207" i="7" s="1"/>
  <c r="H208" i="7" s="1"/>
  <c r="H209" i="7" s="1"/>
  <c r="H210" i="7" s="1"/>
  <c r="H211" i="7" s="1"/>
  <c r="H212" i="7" s="1"/>
  <c r="H213" i="7" s="1"/>
  <c r="H214" i="7" s="1"/>
  <c r="H215" i="7" s="1"/>
  <c r="H216" i="7" s="1"/>
  <c r="H217" i="7" s="1"/>
  <c r="H218" i="7" s="1"/>
  <c r="H219" i="7" s="1"/>
  <c r="H220" i="7" s="1"/>
  <c r="H221" i="7" s="1"/>
  <c r="H222" i="7" s="1"/>
  <c r="H223" i="7" s="1"/>
  <c r="H224" i="7" s="1"/>
  <c r="H225" i="7" s="1"/>
  <c r="H226" i="7" s="1"/>
  <c r="H227" i="7" s="1"/>
  <c r="H228" i="7" s="1"/>
  <c r="J148" i="7"/>
  <c r="G14" i="8"/>
  <c r="G17" i="8"/>
  <c r="G46" i="8"/>
  <c r="H47" i="8" s="1"/>
  <c r="H48" i="8" s="1"/>
  <c r="H49" i="8" s="1"/>
  <c r="E70" i="8"/>
  <c r="F71" i="8" s="1"/>
  <c r="F72" i="8" s="1"/>
  <c r="F65" i="8"/>
  <c r="C101" i="8"/>
  <c r="K48" i="14"/>
  <c r="K49" i="14" s="1"/>
  <c r="K50" i="14" s="1"/>
  <c r="K51" i="14" s="1"/>
  <c r="K52" i="14" s="1"/>
  <c r="K53" i="14" s="1"/>
  <c r="K54" i="14" s="1"/>
  <c r="K55" i="14" s="1"/>
  <c r="K56" i="14" s="1"/>
  <c r="K57" i="14" s="1"/>
  <c r="K58" i="14" s="1"/>
  <c r="K59" i="14" s="1"/>
  <c r="K60" i="14" s="1"/>
  <c r="K61" i="14" s="1"/>
  <c r="K62" i="14" s="1"/>
  <c r="L47" i="14"/>
  <c r="K46" i="14"/>
  <c r="G161" i="15"/>
  <c r="H162" i="15"/>
  <c r="I162" i="15" s="1"/>
  <c r="J162" i="15" s="1"/>
  <c r="K162" i="15" s="1"/>
  <c r="L162" i="15" s="1"/>
  <c r="M162" i="15" s="1"/>
  <c r="N162" i="15" s="1"/>
  <c r="O162" i="15" s="1"/>
  <c r="P162" i="15" s="1"/>
  <c r="Q162" i="15" s="1"/>
  <c r="R162" i="15" s="1"/>
  <c r="S162" i="15" s="1"/>
  <c r="K136" i="8"/>
  <c r="E119" i="7"/>
  <c r="F102" i="7"/>
  <c r="F103" i="7" s="1"/>
  <c r="F104" i="7" s="1"/>
  <c r="F105" i="7" s="1"/>
  <c r="F106" i="7" s="1"/>
  <c r="F107" i="7" s="1"/>
  <c r="F108" i="7" s="1"/>
  <c r="F109" i="7" s="1"/>
  <c r="F110" i="7" s="1"/>
  <c r="F111" i="7" s="1"/>
  <c r="F112" i="7" s="1"/>
  <c r="F113" i="7" s="1"/>
  <c r="F114" i="7" s="1"/>
  <c r="F115" i="7" s="1"/>
  <c r="F116" i="7" s="1"/>
  <c r="F117" i="7" s="1"/>
  <c r="F118" i="7" s="1"/>
  <c r="F119" i="7" s="1"/>
  <c r="F120" i="7" s="1"/>
  <c r="F121" i="7" s="1"/>
  <c r="F122" i="7" s="1"/>
  <c r="F123" i="7" s="1"/>
  <c r="F124" i="7" s="1"/>
  <c r="F125" i="7" s="1"/>
  <c r="F126" i="7" s="1"/>
  <c r="F127" i="7" s="1"/>
  <c r="D86" i="8"/>
  <c r="E87" i="8" s="1"/>
  <c r="E88" i="8" s="1"/>
  <c r="D119" i="7"/>
  <c r="D120" i="7" s="1"/>
  <c r="D121" i="7" s="1"/>
  <c r="D122" i="7" s="1"/>
  <c r="D123" i="7" s="1"/>
  <c r="D124" i="7" s="1"/>
  <c r="D125" i="7" s="1"/>
  <c r="D126" i="7" s="1"/>
  <c r="D127" i="7" s="1"/>
  <c r="U32" i="7"/>
  <c r="U22" i="7"/>
  <c r="U23" i="7" s="1"/>
  <c r="U24" i="7" s="1"/>
  <c r="U25" i="7" s="1"/>
  <c r="U26" i="7" s="1"/>
  <c r="U27" i="7" s="1"/>
  <c r="U28" i="7" s="1"/>
  <c r="U29" i="7" s="1"/>
  <c r="U30" i="7" s="1"/>
  <c r="H363" i="15"/>
  <c r="I363" i="15" s="1"/>
  <c r="J363" i="15" s="1"/>
  <c r="K363" i="15" s="1"/>
  <c r="L363" i="15" s="1"/>
  <c r="M363" i="15" s="1"/>
  <c r="N363" i="15" s="1"/>
  <c r="O363" i="15" s="1"/>
  <c r="P363" i="15" s="1"/>
  <c r="Q363" i="15" s="1"/>
  <c r="R363" i="15" s="1"/>
  <c r="S363" i="15" s="1"/>
  <c r="G362" i="15"/>
  <c r="L23" i="21"/>
  <c r="K22" i="21"/>
  <c r="L22" i="21" s="1"/>
  <c r="H60" i="15"/>
  <c r="I60" i="15" s="1"/>
  <c r="J60" i="15" s="1"/>
  <c r="K60" i="15" s="1"/>
  <c r="L60" i="15" s="1"/>
  <c r="M60" i="15" s="1"/>
  <c r="N60" i="15" s="1"/>
  <c r="O60" i="15" s="1"/>
  <c r="P60" i="15" s="1"/>
  <c r="Q60" i="15" s="1"/>
  <c r="R60" i="15" s="1"/>
  <c r="S60" i="15" s="1"/>
  <c r="G59" i="15"/>
  <c r="F61" i="15" s="1"/>
  <c r="C105" i="8"/>
  <c r="E81" i="8"/>
  <c r="E69" i="8"/>
  <c r="F59" i="8"/>
  <c r="H123" i="15"/>
  <c r="I123" i="15" s="1"/>
  <c r="J123" i="15" s="1"/>
  <c r="K123" i="15" s="1"/>
  <c r="L123" i="15" s="1"/>
  <c r="M123" i="15" s="1"/>
  <c r="N123" i="15" s="1"/>
  <c r="O123" i="15" s="1"/>
  <c r="P123" i="15" s="1"/>
  <c r="Q123" i="15" s="1"/>
  <c r="R123" i="15" s="1"/>
  <c r="S123" i="15" s="1"/>
  <c r="G122" i="15"/>
  <c r="F124" i="15" s="1"/>
  <c r="J48" i="7"/>
  <c r="K48" i="7" s="1"/>
  <c r="L48" i="7" s="1"/>
  <c r="M48" i="7" s="1"/>
  <c r="N48" i="7" s="1"/>
  <c r="O48" i="7" s="1"/>
  <c r="P48" i="7" s="1"/>
  <c r="Q48" i="7" s="1"/>
  <c r="I50" i="7"/>
  <c r="H29" i="8"/>
  <c r="I128" i="8"/>
  <c r="J128" i="8"/>
  <c r="H38" i="8" l="1"/>
  <c r="D103" i="8"/>
  <c r="D104" i="8" s="1"/>
  <c r="D105" i="8" s="1"/>
  <c r="H37" i="8"/>
  <c r="D93" i="8"/>
  <c r="E78" i="8"/>
  <c r="F79" i="8" s="1"/>
  <c r="F80" i="8" s="1"/>
  <c r="F81" i="8" s="1"/>
  <c r="H20" i="8"/>
  <c r="H11" i="8"/>
  <c r="E77" i="8"/>
  <c r="H19" i="8"/>
  <c r="D94" i="8"/>
  <c r="E95" i="8" s="1"/>
  <c r="E96" i="8" s="1"/>
  <c r="E97" i="8" s="1"/>
  <c r="H15" i="8"/>
  <c r="H16" i="8" s="1"/>
  <c r="H17" i="8" s="1"/>
  <c r="D99" i="8"/>
  <c r="F67" i="8"/>
  <c r="C109" i="8"/>
  <c r="D100" i="8"/>
  <c r="E84" i="8"/>
  <c r="F68" i="8"/>
  <c r="H44" i="8"/>
  <c r="J123" i="8"/>
  <c r="J124" i="8"/>
  <c r="B126" i="8"/>
  <c r="H12" i="8"/>
  <c r="G51" i="8"/>
  <c r="H43" i="4"/>
  <c r="I42" i="4"/>
  <c r="F62" i="8"/>
  <c r="G63" i="8" s="1"/>
  <c r="G64" i="8" s="1"/>
  <c r="F73" i="8"/>
  <c r="G103" i="7"/>
  <c r="G104" i="7" s="1"/>
  <c r="G105" i="7" s="1"/>
  <c r="G106" i="7" s="1"/>
  <c r="G107" i="7" s="1"/>
  <c r="G108" i="7" s="1"/>
  <c r="G109" i="7" s="1"/>
  <c r="G110" i="7" s="1"/>
  <c r="G111" i="7" s="1"/>
  <c r="G112" i="7" s="1"/>
  <c r="G113" i="7" s="1"/>
  <c r="G114" i="7" s="1"/>
  <c r="G115" i="7" s="1"/>
  <c r="G116" i="7" s="1"/>
  <c r="G117" i="7" s="1"/>
  <c r="G118" i="7" s="1"/>
  <c r="G119" i="7" s="1"/>
  <c r="G120" i="7" s="1"/>
  <c r="G121" i="7" s="1"/>
  <c r="G122" i="7" s="1"/>
  <c r="G123" i="7" s="1"/>
  <c r="G124" i="7" s="1"/>
  <c r="G125" i="7" s="1"/>
  <c r="G126" i="7" s="1"/>
  <c r="G127" i="7" s="1"/>
  <c r="G128" i="7" s="1"/>
  <c r="G52" i="8"/>
  <c r="G232" i="15"/>
  <c r="H233" i="15"/>
  <c r="I233" i="15" s="1"/>
  <c r="J233" i="15" s="1"/>
  <c r="K233" i="15" s="1"/>
  <c r="L233" i="15" s="1"/>
  <c r="M233" i="15" s="1"/>
  <c r="N233" i="15" s="1"/>
  <c r="O233" i="15" s="1"/>
  <c r="P233" i="15" s="1"/>
  <c r="Q233" i="15" s="1"/>
  <c r="R233" i="15" s="1"/>
  <c r="S233" i="15" s="1"/>
  <c r="H43" i="8"/>
  <c r="G124" i="15"/>
  <c r="F126" i="15" s="1"/>
  <c r="H125" i="15"/>
  <c r="I125" i="15" s="1"/>
  <c r="J125" i="15" s="1"/>
  <c r="K125" i="15" s="1"/>
  <c r="L125" i="15" s="1"/>
  <c r="M125" i="15" s="1"/>
  <c r="N125" i="15" s="1"/>
  <c r="O125" i="15" s="1"/>
  <c r="P125" i="15" s="1"/>
  <c r="Q125" i="15" s="1"/>
  <c r="R125" i="15" s="1"/>
  <c r="S125" i="15" s="1"/>
  <c r="G61" i="15"/>
  <c r="H62" i="15"/>
  <c r="I62" i="15" s="1"/>
  <c r="J62" i="15" s="1"/>
  <c r="K62" i="15" s="1"/>
  <c r="L62" i="15" s="1"/>
  <c r="M62" i="15" s="1"/>
  <c r="N62" i="15" s="1"/>
  <c r="O62" i="15" s="1"/>
  <c r="P62" i="15" s="1"/>
  <c r="Q62" i="15" s="1"/>
  <c r="R62" i="15" s="1"/>
  <c r="S62" i="15" s="1"/>
  <c r="G57" i="8"/>
  <c r="E89" i="8"/>
  <c r="J149" i="7"/>
  <c r="J150" i="7" s="1"/>
  <c r="J151" i="7" s="1"/>
  <c r="J152" i="7" s="1"/>
  <c r="J153" i="7" s="1"/>
  <c r="J154" i="7" s="1"/>
  <c r="J155" i="7" s="1"/>
  <c r="J156" i="7" s="1"/>
  <c r="J157" i="7" s="1"/>
  <c r="J158" i="7" s="1"/>
  <c r="J159" i="7" s="1"/>
  <c r="J160" i="7" s="1"/>
  <c r="J161" i="7" s="1"/>
  <c r="J162" i="7" s="1"/>
  <c r="J163" i="7" s="1"/>
  <c r="J164" i="7" s="1"/>
  <c r="J165" i="7" s="1"/>
  <c r="L148" i="7"/>
  <c r="E58" i="7"/>
  <c r="F56" i="7"/>
  <c r="M55" i="7"/>
  <c r="G56" i="7"/>
  <c r="P55" i="7"/>
  <c r="O55" i="7"/>
  <c r="L55" i="7"/>
  <c r="K55" i="7"/>
  <c r="J55" i="7"/>
  <c r="I55" i="7"/>
  <c r="N55" i="7"/>
  <c r="K157" i="7"/>
  <c r="M148" i="7"/>
  <c r="C113" i="8"/>
  <c r="H327" i="15"/>
  <c r="I327" i="15" s="1"/>
  <c r="J327" i="15" s="1"/>
  <c r="K327" i="15" s="1"/>
  <c r="L327" i="15" s="1"/>
  <c r="M327" i="15" s="1"/>
  <c r="N327" i="15" s="1"/>
  <c r="O327" i="15" s="1"/>
  <c r="P327" i="15" s="1"/>
  <c r="Q327" i="15" s="1"/>
  <c r="R327" i="15" s="1"/>
  <c r="S327" i="15" s="1"/>
  <c r="G326" i="15"/>
  <c r="F328" i="15" s="1"/>
  <c r="B78" i="10"/>
  <c r="E77" i="10"/>
  <c r="H77" i="10" s="1"/>
  <c r="D77" i="10"/>
  <c r="U31" i="7"/>
  <c r="U33" i="7" s="1"/>
  <c r="U34" i="7" s="1"/>
  <c r="U35" i="7" s="1"/>
  <c r="V20" i="7"/>
  <c r="E128" i="7"/>
  <c r="D128" i="7" s="1"/>
  <c r="L62" i="14"/>
  <c r="K63" i="14"/>
  <c r="K64" i="14" s="1"/>
  <c r="K65" i="14" s="1"/>
  <c r="K66" i="14" s="1"/>
  <c r="K67" i="14" s="1"/>
  <c r="K68" i="14" s="1"/>
  <c r="K69" i="14" s="1"/>
  <c r="K70" i="14" s="1"/>
  <c r="K71" i="14" s="1"/>
  <c r="K72" i="14" s="1"/>
  <c r="K73" i="14" s="1"/>
  <c r="K74" i="14" s="1"/>
  <c r="K75" i="14" s="1"/>
  <c r="K76" i="14" s="1"/>
  <c r="H93" i="15"/>
  <c r="I93" i="15" s="1"/>
  <c r="J93" i="15" s="1"/>
  <c r="K93" i="15" s="1"/>
  <c r="L93" i="15" s="1"/>
  <c r="M93" i="15" s="1"/>
  <c r="N93" i="15" s="1"/>
  <c r="O93" i="15" s="1"/>
  <c r="P93" i="15" s="1"/>
  <c r="Q93" i="15" s="1"/>
  <c r="R93" i="15" s="1"/>
  <c r="S93" i="15" s="1"/>
  <c r="G92" i="15"/>
  <c r="F94" i="15" s="1"/>
  <c r="C110" i="8"/>
  <c r="I52" i="7"/>
  <c r="J50" i="7"/>
  <c r="K50" i="7" s="1"/>
  <c r="L50" i="7" s="1"/>
  <c r="M50" i="7" s="1"/>
  <c r="N50" i="7" s="1"/>
  <c r="O50" i="7" s="1"/>
  <c r="P50" i="7" s="1"/>
  <c r="Q50" i="7" s="1"/>
  <c r="K144" i="8"/>
  <c r="F61" i="8"/>
  <c r="E83" i="8"/>
  <c r="C119" i="8"/>
  <c r="C120" i="8" s="1"/>
  <c r="C115" i="8"/>
  <c r="C116" i="8"/>
  <c r="J136" i="8"/>
  <c r="I136" i="8"/>
  <c r="E92" i="8" l="1"/>
  <c r="F76" i="8"/>
  <c r="F75" i="8"/>
  <c r="H22" i="8"/>
  <c r="I15" i="8"/>
  <c r="E91" i="8"/>
  <c r="H21" i="8"/>
  <c r="H13" i="8"/>
  <c r="F70" i="8"/>
  <c r="F69" i="8"/>
  <c r="H46" i="8"/>
  <c r="G53" i="8"/>
  <c r="D107" i="8"/>
  <c r="D102" i="8"/>
  <c r="E103" i="8" s="1"/>
  <c r="E104" i="8" s="1"/>
  <c r="E105" i="8" s="1"/>
  <c r="D101" i="8"/>
  <c r="G59" i="8"/>
  <c r="G71" i="8"/>
  <c r="G72" i="8" s="1"/>
  <c r="G73" i="8" s="1"/>
  <c r="D108" i="8"/>
  <c r="B134" i="8"/>
  <c r="J131" i="8"/>
  <c r="J132" i="8"/>
  <c r="D129" i="7"/>
  <c r="D130" i="7" s="1"/>
  <c r="D131" i="7" s="1"/>
  <c r="D132" i="7" s="1"/>
  <c r="D133" i="7" s="1"/>
  <c r="D134" i="7" s="1"/>
  <c r="D135" i="7" s="1"/>
  <c r="D136" i="7" s="1"/>
  <c r="F128" i="7"/>
  <c r="F129" i="7" s="1"/>
  <c r="F130" i="7" s="1"/>
  <c r="F131" i="7" s="1"/>
  <c r="F132" i="7" s="1"/>
  <c r="F133" i="7" s="1"/>
  <c r="F134" i="7" s="1"/>
  <c r="F135" i="7" s="1"/>
  <c r="F136" i="7" s="1"/>
  <c r="G129" i="7"/>
  <c r="G130" i="7" s="1"/>
  <c r="G131" i="7" s="1"/>
  <c r="G132" i="7" s="1"/>
  <c r="G133" i="7" s="1"/>
  <c r="G134" i="7" s="1"/>
  <c r="G135" i="7" s="1"/>
  <c r="G136" i="7" s="1"/>
  <c r="G137" i="7" s="1"/>
  <c r="H44" i="4"/>
  <c r="I43" i="4"/>
  <c r="E86" i="8"/>
  <c r="F87" i="8" s="1"/>
  <c r="F88" i="8" s="1"/>
  <c r="D111" i="8"/>
  <c r="D112" i="8" s="1"/>
  <c r="E85" i="8"/>
  <c r="C118" i="8"/>
  <c r="C121" i="8"/>
  <c r="M149" i="7"/>
  <c r="L149" i="7" s="1"/>
  <c r="G54" i="8"/>
  <c r="H55" i="8" s="1"/>
  <c r="H56" i="8" s="1"/>
  <c r="H57" i="8" s="1"/>
  <c r="C123" i="8"/>
  <c r="C124" i="8"/>
  <c r="C127" i="8"/>
  <c r="C128" i="8" s="1"/>
  <c r="J52" i="7"/>
  <c r="K52" i="7" s="1"/>
  <c r="L52" i="7" s="1"/>
  <c r="M52" i="7" s="1"/>
  <c r="N52" i="7" s="1"/>
  <c r="O52" i="7" s="1"/>
  <c r="P52" i="7" s="1"/>
  <c r="Q52" i="7" s="1"/>
  <c r="I54" i="7"/>
  <c r="G94" i="15"/>
  <c r="F96" i="15" s="1"/>
  <c r="H95" i="15"/>
  <c r="I95" i="15" s="1"/>
  <c r="J95" i="15" s="1"/>
  <c r="K95" i="15" s="1"/>
  <c r="L95" i="15" s="1"/>
  <c r="M95" i="15" s="1"/>
  <c r="N95" i="15" s="1"/>
  <c r="O95" i="15" s="1"/>
  <c r="P95" i="15" s="1"/>
  <c r="Q95" i="15" s="1"/>
  <c r="R95" i="15" s="1"/>
  <c r="S95" i="15" s="1"/>
  <c r="B79" i="10"/>
  <c r="E78" i="10"/>
  <c r="H78" i="10" s="1"/>
  <c r="D78" i="10"/>
  <c r="K166" i="7"/>
  <c r="H45" i="8"/>
  <c r="G126" i="15"/>
  <c r="F128" i="15" s="1"/>
  <c r="H127" i="15"/>
  <c r="I127" i="15" s="1"/>
  <c r="J127" i="15" s="1"/>
  <c r="K127" i="15" s="1"/>
  <c r="L127" i="15" s="1"/>
  <c r="M127" i="15" s="1"/>
  <c r="N127" i="15" s="1"/>
  <c r="O127" i="15" s="1"/>
  <c r="P127" i="15" s="1"/>
  <c r="Q127" i="15" s="1"/>
  <c r="R127" i="15" s="1"/>
  <c r="S127" i="15" s="1"/>
  <c r="G65" i="8"/>
  <c r="G77" i="10"/>
  <c r="F78" i="10" s="1"/>
  <c r="G78" i="10" s="1"/>
  <c r="F79" i="10" s="1"/>
  <c r="H329" i="15"/>
  <c r="I329" i="15" s="1"/>
  <c r="J329" i="15" s="1"/>
  <c r="K329" i="15" s="1"/>
  <c r="L329" i="15" s="1"/>
  <c r="M329" i="15" s="1"/>
  <c r="N329" i="15" s="1"/>
  <c r="O329" i="15" s="1"/>
  <c r="P329" i="15" s="1"/>
  <c r="Q329" i="15" s="1"/>
  <c r="R329" i="15" s="1"/>
  <c r="S329" i="15" s="1"/>
  <c r="G328" i="15"/>
  <c r="F330" i="15" s="1"/>
  <c r="G60" i="8"/>
  <c r="K152" i="8"/>
  <c r="H14" i="8"/>
  <c r="C117" i="8"/>
  <c r="E137" i="7"/>
  <c r="E60" i="7"/>
  <c r="F58" i="7"/>
  <c r="I57" i="7"/>
  <c r="J57" i="7"/>
  <c r="K57" i="7"/>
  <c r="O57" i="7"/>
  <c r="L57" i="7"/>
  <c r="P57" i="7"/>
  <c r="N57" i="7"/>
  <c r="G58" i="7"/>
  <c r="M57" i="7"/>
  <c r="J144" i="8"/>
  <c r="I144" i="8"/>
  <c r="E93" i="8" l="1"/>
  <c r="G68" i="8"/>
  <c r="F77" i="8"/>
  <c r="E94" i="8"/>
  <c r="F95" i="8" s="1"/>
  <c r="F96" i="8" s="1"/>
  <c r="F97" i="8" s="1"/>
  <c r="F78" i="8"/>
  <c r="E99" i="8"/>
  <c r="D109" i="8"/>
  <c r="G67" i="8"/>
  <c r="G69" i="8" s="1"/>
  <c r="G61" i="8"/>
  <c r="E100" i="8"/>
  <c r="D116" i="8"/>
  <c r="D119" i="8"/>
  <c r="D120" i="8" s="1"/>
  <c r="D121" i="8" s="1"/>
  <c r="D110" i="8"/>
  <c r="B142" i="8"/>
  <c r="J139" i="8"/>
  <c r="J140" i="8"/>
  <c r="H97" i="15"/>
  <c r="I97" i="15" s="1"/>
  <c r="J97" i="15" s="1"/>
  <c r="K97" i="15" s="1"/>
  <c r="L97" i="15" s="1"/>
  <c r="M97" i="15" s="1"/>
  <c r="N97" i="15" s="1"/>
  <c r="O97" i="15" s="1"/>
  <c r="P97" i="15" s="1"/>
  <c r="Q97" i="15" s="1"/>
  <c r="R97" i="15" s="1"/>
  <c r="S97" i="15" s="1"/>
  <c r="G96" i="15"/>
  <c r="D137" i="7"/>
  <c r="D138" i="7" s="1"/>
  <c r="D139" i="7" s="1"/>
  <c r="D140" i="7" s="1"/>
  <c r="D141" i="7" s="1"/>
  <c r="D142" i="7" s="1"/>
  <c r="D143" i="7" s="1"/>
  <c r="D144" i="7" s="1"/>
  <c r="D145" i="7" s="1"/>
  <c r="C131" i="8"/>
  <c r="C132" i="8"/>
  <c r="C135" i="8"/>
  <c r="C136" i="8" s="1"/>
  <c r="H129" i="15"/>
  <c r="I129" i="15" s="1"/>
  <c r="J129" i="15" s="1"/>
  <c r="K129" i="15" s="1"/>
  <c r="L129" i="15" s="1"/>
  <c r="M129" i="15" s="1"/>
  <c r="N129" i="15" s="1"/>
  <c r="O129" i="15" s="1"/>
  <c r="P129" i="15" s="1"/>
  <c r="Q129" i="15" s="1"/>
  <c r="R129" i="15" s="1"/>
  <c r="S129" i="15" s="1"/>
  <c r="G128" i="15"/>
  <c r="F83" i="8"/>
  <c r="G330" i="15"/>
  <c r="H331" i="15"/>
  <c r="I331" i="15" s="1"/>
  <c r="J331" i="15" s="1"/>
  <c r="K331" i="15" s="1"/>
  <c r="L331" i="15" s="1"/>
  <c r="M331" i="15" s="1"/>
  <c r="N331" i="15" s="1"/>
  <c r="O331" i="15" s="1"/>
  <c r="P331" i="15" s="1"/>
  <c r="Q331" i="15" s="1"/>
  <c r="R331" i="15" s="1"/>
  <c r="S331" i="15" s="1"/>
  <c r="I56" i="7"/>
  <c r="J54" i="7"/>
  <c r="K54" i="7" s="1"/>
  <c r="L54" i="7" s="1"/>
  <c r="M54" i="7" s="1"/>
  <c r="N54" i="7" s="1"/>
  <c r="O54" i="7" s="1"/>
  <c r="P54" i="7" s="1"/>
  <c r="Q54" i="7" s="1"/>
  <c r="H51" i="8"/>
  <c r="D115" i="8"/>
  <c r="J166" i="7"/>
  <c r="J167" i="7" s="1"/>
  <c r="J168" i="7" s="1"/>
  <c r="J169" i="7" s="1"/>
  <c r="J170" i="7" s="1"/>
  <c r="J171" i="7" s="1"/>
  <c r="J172" i="7" s="1"/>
  <c r="J173" i="7" s="1"/>
  <c r="J174" i="7" s="1"/>
  <c r="G62" i="8"/>
  <c r="H63" i="8" s="1"/>
  <c r="H64" i="8" s="1"/>
  <c r="H65" i="8" s="1"/>
  <c r="F89" i="8"/>
  <c r="F84" i="8"/>
  <c r="K160" i="8"/>
  <c r="H52" i="8"/>
  <c r="C126" i="8"/>
  <c r="B80" i="10"/>
  <c r="E79" i="10"/>
  <c r="H79" i="10" s="1"/>
  <c r="D79" i="10"/>
  <c r="C129" i="8"/>
  <c r="E62" i="7"/>
  <c r="F60" i="7"/>
  <c r="G60" i="7"/>
  <c r="N59" i="7"/>
  <c r="K59" i="7"/>
  <c r="P59" i="7"/>
  <c r="L59" i="7"/>
  <c r="J59" i="7"/>
  <c r="O59" i="7"/>
  <c r="M59" i="7"/>
  <c r="I59" i="7"/>
  <c r="C125" i="8"/>
  <c r="M150" i="7"/>
  <c r="D113" i="8"/>
  <c r="H45" i="4"/>
  <c r="I44" i="4"/>
  <c r="I152" i="8"/>
  <c r="J152" i="8"/>
  <c r="E101" i="8" l="1"/>
  <c r="F91" i="8"/>
  <c r="G75" i="8"/>
  <c r="G76" i="8"/>
  <c r="F92" i="8"/>
  <c r="F93" i="8" s="1"/>
  <c r="F85" i="8"/>
  <c r="E111" i="8"/>
  <c r="E112" i="8" s="1"/>
  <c r="G70" i="8"/>
  <c r="H71" i="8" s="1"/>
  <c r="H72" i="8" s="1"/>
  <c r="H73" i="8" s="1"/>
  <c r="G79" i="8"/>
  <c r="G80" i="8" s="1"/>
  <c r="G81" i="8" s="1"/>
  <c r="D127" i="8"/>
  <c r="D128" i="8" s="1"/>
  <c r="D129" i="8" s="1"/>
  <c r="H60" i="8"/>
  <c r="E102" i="8"/>
  <c r="F103" i="8" s="1"/>
  <c r="F104" i="8" s="1"/>
  <c r="F105" i="8" s="1"/>
  <c r="H53" i="8"/>
  <c r="C133" i="8"/>
  <c r="J147" i="8"/>
  <c r="J148" i="8"/>
  <c r="B150" i="8"/>
  <c r="F62" i="7"/>
  <c r="O61" i="7"/>
  <c r="L61" i="7"/>
  <c r="P61" i="7"/>
  <c r="N61" i="7"/>
  <c r="G62" i="7"/>
  <c r="J61" i="7"/>
  <c r="K61" i="7"/>
  <c r="I61" i="7"/>
  <c r="M61" i="7"/>
  <c r="G79" i="10"/>
  <c r="F80" i="10" s="1"/>
  <c r="K168" i="8"/>
  <c r="H46" i="4"/>
  <c r="I45" i="4"/>
  <c r="D118" i="8"/>
  <c r="E119" i="8" s="1"/>
  <c r="E120" i="8" s="1"/>
  <c r="F137" i="7"/>
  <c r="D123" i="8"/>
  <c r="H54" i="8"/>
  <c r="D117" i="8"/>
  <c r="D124" i="8"/>
  <c r="M151" i="7"/>
  <c r="J56" i="7"/>
  <c r="K56" i="7" s="1"/>
  <c r="L56" i="7" s="1"/>
  <c r="M56" i="7" s="1"/>
  <c r="N56" i="7" s="1"/>
  <c r="O56" i="7" s="1"/>
  <c r="P56" i="7" s="1"/>
  <c r="Q56" i="7" s="1"/>
  <c r="I58" i="7"/>
  <c r="E113" i="8"/>
  <c r="C137" i="8"/>
  <c r="C139" i="8"/>
  <c r="C140" i="8"/>
  <c r="C143" i="8"/>
  <c r="C144" i="8" s="1"/>
  <c r="K175" i="7"/>
  <c r="C134" i="8"/>
  <c r="L150" i="7"/>
  <c r="H59" i="8"/>
  <c r="E108" i="8"/>
  <c r="E107" i="8"/>
  <c r="F94" i="8"/>
  <c r="G95" i="8" s="1"/>
  <c r="G96" i="8" s="1"/>
  <c r="B81" i="10"/>
  <c r="E80" i="10"/>
  <c r="H80" i="10" s="1"/>
  <c r="D80" i="10"/>
  <c r="F86" i="8"/>
  <c r="G87" i="8" s="1"/>
  <c r="G88" i="8" s="1"/>
  <c r="J160" i="8"/>
  <c r="I160" i="8"/>
  <c r="F99" i="8" l="1"/>
  <c r="H67" i="8"/>
  <c r="G77" i="8"/>
  <c r="H68" i="8"/>
  <c r="G78" i="8"/>
  <c r="H75" i="8" s="1"/>
  <c r="F100" i="8"/>
  <c r="F101" i="8" s="1"/>
  <c r="H62" i="8"/>
  <c r="D125" i="8"/>
  <c r="D132" i="8"/>
  <c r="E116" i="8"/>
  <c r="E115" i="8"/>
  <c r="D135" i="8"/>
  <c r="D136" i="8" s="1"/>
  <c r="D137" i="8" s="1"/>
  <c r="D131" i="8"/>
  <c r="B158" i="8"/>
  <c r="J155" i="8"/>
  <c r="J156" i="8"/>
  <c r="G91" i="8"/>
  <c r="B82" i="10"/>
  <c r="E81" i="10"/>
  <c r="H81" i="10" s="1"/>
  <c r="D81" i="10"/>
  <c r="G80" i="10"/>
  <c r="F81" i="10" s="1"/>
  <c r="G81" i="10" s="1"/>
  <c r="F82" i="10" s="1"/>
  <c r="G97" i="8"/>
  <c r="G84" i="8"/>
  <c r="E110" i="8"/>
  <c r="F111" i="8" s="1"/>
  <c r="F112" i="8" s="1"/>
  <c r="G83" i="8"/>
  <c r="E109" i="8"/>
  <c r="C145" i="8"/>
  <c r="H61" i="8"/>
  <c r="H47" i="4"/>
  <c r="I46" i="4"/>
  <c r="G89" i="8"/>
  <c r="J175" i="7"/>
  <c r="J176" i="7" s="1"/>
  <c r="J177" i="7" s="1"/>
  <c r="J178" i="7" s="1"/>
  <c r="J179" i="7" s="1"/>
  <c r="J180" i="7" s="1"/>
  <c r="J181" i="7" s="1"/>
  <c r="J182" i="7" s="1"/>
  <c r="J183" i="7" s="1"/>
  <c r="C141" i="8"/>
  <c r="I60" i="7"/>
  <c r="J58" i="7"/>
  <c r="K58" i="7" s="1"/>
  <c r="L58" i="7" s="1"/>
  <c r="M58" i="7" s="1"/>
  <c r="N58" i="7" s="1"/>
  <c r="O58" i="7" s="1"/>
  <c r="P58" i="7" s="1"/>
  <c r="Q58" i="7" s="1"/>
  <c r="D126" i="8"/>
  <c r="E127" i="8" s="1"/>
  <c r="E128" i="8" s="1"/>
  <c r="K176" i="8"/>
  <c r="C142" i="8"/>
  <c r="F138" i="7"/>
  <c r="F139" i="7" s="1"/>
  <c r="F140" i="7" s="1"/>
  <c r="F141" i="7" s="1"/>
  <c r="F142" i="7" s="1"/>
  <c r="F143" i="7" s="1"/>
  <c r="F144" i="7" s="1"/>
  <c r="F145" i="7" s="1"/>
  <c r="G138" i="7"/>
  <c r="G139" i="7" s="1"/>
  <c r="G140" i="7" s="1"/>
  <c r="G141" i="7" s="1"/>
  <c r="G142" i="7" s="1"/>
  <c r="G143" i="7" s="1"/>
  <c r="G92" i="8"/>
  <c r="L151" i="7"/>
  <c r="M152" i="7" s="1"/>
  <c r="E121" i="8"/>
  <c r="C148" i="8"/>
  <c r="C151" i="8"/>
  <c r="C152" i="8" s="1"/>
  <c r="C147" i="8"/>
  <c r="I168" i="8"/>
  <c r="J168" i="8"/>
  <c r="F102" i="8" l="1"/>
  <c r="G103" i="8" s="1"/>
  <c r="G104" i="8" s="1"/>
  <c r="G105" i="8" s="1"/>
  <c r="H70" i="8"/>
  <c r="D133" i="8"/>
  <c r="H69" i="8"/>
  <c r="E117" i="8"/>
  <c r="G93" i="8"/>
  <c r="H79" i="8"/>
  <c r="H80" i="8" s="1"/>
  <c r="H81" i="8" s="1"/>
  <c r="H76" i="8"/>
  <c r="H77" i="8" s="1"/>
  <c r="E118" i="8"/>
  <c r="F115" i="8" s="1"/>
  <c r="E124" i="8"/>
  <c r="D139" i="8"/>
  <c r="F108" i="8"/>
  <c r="D140" i="8"/>
  <c r="D141" i="8" s="1"/>
  <c r="D143" i="8"/>
  <c r="D144" i="8" s="1"/>
  <c r="D145" i="8" s="1"/>
  <c r="F107" i="8"/>
  <c r="F109" i="8" s="1"/>
  <c r="C149" i="8"/>
  <c r="D134" i="8"/>
  <c r="E135" i="8" s="1"/>
  <c r="E136" i="8" s="1"/>
  <c r="E137" i="8" s="1"/>
  <c r="J164" i="8"/>
  <c r="J163" i="8"/>
  <c r="B166" i="8"/>
  <c r="G86" i="8"/>
  <c r="H87" i="8" s="1"/>
  <c r="H88" i="8" s="1"/>
  <c r="H89" i="8" s="1"/>
  <c r="G144" i="7"/>
  <c r="G145" i="7" s="1"/>
  <c r="E129" i="8"/>
  <c r="F113" i="8"/>
  <c r="K184" i="7"/>
  <c r="E123" i="8"/>
  <c r="H48" i="4"/>
  <c r="I47" i="4"/>
  <c r="C159" i="8"/>
  <c r="C160" i="8" s="1"/>
  <c r="C155" i="8"/>
  <c r="C156" i="8"/>
  <c r="L152" i="7"/>
  <c r="J60" i="7"/>
  <c r="K60" i="7" s="1"/>
  <c r="L60" i="7" s="1"/>
  <c r="M60" i="7" s="1"/>
  <c r="N60" i="7" s="1"/>
  <c r="O60" i="7" s="1"/>
  <c r="P60" i="7" s="1"/>
  <c r="Q60" i="7" s="1"/>
  <c r="I62" i="7"/>
  <c r="J62" i="7" s="1"/>
  <c r="K62" i="7" s="1"/>
  <c r="L62" i="7" s="1"/>
  <c r="M62" i="7" s="1"/>
  <c r="N62" i="7" s="1"/>
  <c r="O62" i="7" s="1"/>
  <c r="P62" i="7" s="1"/>
  <c r="Q62" i="7" s="1"/>
  <c r="G85" i="8"/>
  <c r="B83" i="10"/>
  <c r="E82" i="10"/>
  <c r="H82" i="10" s="1"/>
  <c r="D82" i="10"/>
  <c r="C150" i="8"/>
  <c r="C153" i="8"/>
  <c r="K184" i="8"/>
  <c r="G94" i="8"/>
  <c r="H95" i="8" s="1"/>
  <c r="H96" i="8" s="1"/>
  <c r="H97" i="8" s="1"/>
  <c r="J176" i="8"/>
  <c r="I176" i="8"/>
  <c r="G99" i="8" l="1"/>
  <c r="D142" i="8"/>
  <c r="G100" i="8"/>
  <c r="F119" i="8"/>
  <c r="F120" i="8" s="1"/>
  <c r="F121" i="8" s="1"/>
  <c r="F116" i="8"/>
  <c r="F117" i="8" s="1"/>
  <c r="H78" i="8"/>
  <c r="E125" i="8"/>
  <c r="D147" i="8"/>
  <c r="E143" i="8"/>
  <c r="E144" i="8" s="1"/>
  <c r="E145" i="8" s="1"/>
  <c r="F110" i="8"/>
  <c r="G107" i="8" s="1"/>
  <c r="E131" i="8"/>
  <c r="E132" i="8"/>
  <c r="E134" i="8" s="1"/>
  <c r="F135" i="8" s="1"/>
  <c r="F136" i="8" s="1"/>
  <c r="H84" i="8"/>
  <c r="E139" i="8"/>
  <c r="H92" i="8"/>
  <c r="D148" i="8"/>
  <c r="E140" i="8"/>
  <c r="C157" i="8"/>
  <c r="B174" i="8"/>
  <c r="J171" i="8"/>
  <c r="J172" i="8"/>
  <c r="K40" i="4"/>
  <c r="I48" i="4"/>
  <c r="C163" i="8"/>
  <c r="C167" i="8"/>
  <c r="C168" i="8" s="1"/>
  <c r="C164" i="8"/>
  <c r="K192" i="8"/>
  <c r="C158" i="8"/>
  <c r="H83" i="8"/>
  <c r="E126" i="8"/>
  <c r="F127" i="8" s="1"/>
  <c r="F128" i="8" s="1"/>
  <c r="C161" i="8"/>
  <c r="G82" i="10"/>
  <c r="F83" i="10" s="1"/>
  <c r="G111" i="8"/>
  <c r="G112" i="8" s="1"/>
  <c r="J184" i="7"/>
  <c r="J185" i="7" s="1"/>
  <c r="J186" i="7" s="1"/>
  <c r="J187" i="7" s="1"/>
  <c r="J188" i="7" s="1"/>
  <c r="J189" i="7" s="1"/>
  <c r="J190" i="7" s="1"/>
  <c r="J191" i="7" s="1"/>
  <c r="J192" i="7" s="1"/>
  <c r="M153" i="7"/>
  <c r="B84" i="10"/>
  <c r="E83" i="10"/>
  <c r="H83" i="10" s="1"/>
  <c r="D83" i="10"/>
  <c r="D151" i="8"/>
  <c r="D152" i="8" s="1"/>
  <c r="H91" i="8"/>
  <c r="H94" i="8" s="1"/>
  <c r="J184" i="8"/>
  <c r="I184" i="8"/>
  <c r="D149" i="8" l="1"/>
  <c r="G102" i="8"/>
  <c r="H103" i="8" s="1"/>
  <c r="H104" i="8" s="1"/>
  <c r="H105" i="8" s="1"/>
  <c r="G101" i="8"/>
  <c r="H99" i="8" s="1"/>
  <c r="F118" i="8"/>
  <c r="G119" i="8" s="1"/>
  <c r="G120" i="8" s="1"/>
  <c r="D150" i="8"/>
  <c r="E141" i="8"/>
  <c r="G108" i="8"/>
  <c r="H86" i="8"/>
  <c r="E133" i="8"/>
  <c r="F132" i="8" s="1"/>
  <c r="E142" i="8"/>
  <c r="F143" i="8" s="1"/>
  <c r="F144" i="8" s="1"/>
  <c r="F145" i="8" s="1"/>
  <c r="D156" i="8"/>
  <c r="F123" i="8"/>
  <c r="D159" i="8"/>
  <c r="D160" i="8" s="1"/>
  <c r="D161" i="8" s="1"/>
  <c r="G116" i="8"/>
  <c r="B182" i="8"/>
  <c r="J179" i="8"/>
  <c r="J180" i="8"/>
  <c r="G83" i="10"/>
  <c r="F84" i="10" s="1"/>
  <c r="N40" i="4"/>
  <c r="L40" i="4"/>
  <c r="K41" i="4"/>
  <c r="C175" i="8"/>
  <c r="C176" i="8" s="1"/>
  <c r="C171" i="8"/>
  <c r="C172" i="8"/>
  <c r="K200" i="8"/>
  <c r="B85" i="10"/>
  <c r="E84" i="10"/>
  <c r="H84" i="10" s="1"/>
  <c r="D84" i="10"/>
  <c r="F137" i="8"/>
  <c r="H93" i="8"/>
  <c r="F139" i="8"/>
  <c r="K193" i="7"/>
  <c r="J193" i="7" s="1"/>
  <c r="J194" i="7" s="1"/>
  <c r="J195" i="7" s="1"/>
  <c r="J196" i="7" s="1"/>
  <c r="J197" i="7" s="1"/>
  <c r="J198" i="7" s="1"/>
  <c r="J199" i="7" s="1"/>
  <c r="J200" i="7" s="1"/>
  <c r="J201" i="7" s="1"/>
  <c r="L153" i="7"/>
  <c r="G113" i="8"/>
  <c r="F129" i="8"/>
  <c r="C165" i="8"/>
  <c r="G121" i="8"/>
  <c r="D155" i="8"/>
  <c r="C169" i="8"/>
  <c r="H85" i="8"/>
  <c r="D153" i="8"/>
  <c r="E148" i="8" s="1"/>
  <c r="G115" i="8"/>
  <c r="F124" i="8"/>
  <c r="C166" i="8"/>
  <c r="J192" i="8"/>
  <c r="I192" i="8"/>
  <c r="F131" i="8" l="1"/>
  <c r="F134" i="8" s="1"/>
  <c r="G135" i="8" s="1"/>
  <c r="G136" i="8" s="1"/>
  <c r="H100" i="8"/>
  <c r="H102" i="8" s="1"/>
  <c r="F140" i="8"/>
  <c r="F141" i="8" s="1"/>
  <c r="D167" i="8"/>
  <c r="D168" i="8" s="1"/>
  <c r="D169" i="8" s="1"/>
  <c r="F125" i="8"/>
  <c r="G110" i="8"/>
  <c r="G109" i="8"/>
  <c r="H108" i="8" s="1"/>
  <c r="D163" i="8"/>
  <c r="B190" i="8"/>
  <c r="J187" i="8"/>
  <c r="J188" i="8"/>
  <c r="C177" i="8"/>
  <c r="C180" i="8"/>
  <c r="C179" i="8"/>
  <c r="C183" i="8"/>
  <c r="C184" i="8" s="1"/>
  <c r="D158" i="8"/>
  <c r="E159" i="8" s="1"/>
  <c r="E160" i="8" s="1"/>
  <c r="N41" i="4"/>
  <c r="L41" i="4"/>
  <c r="K42" i="4"/>
  <c r="F126" i="8"/>
  <c r="G127" i="8" s="1"/>
  <c r="G128" i="8" s="1"/>
  <c r="F142" i="8"/>
  <c r="G143" i="8" s="1"/>
  <c r="G144" i="8" s="1"/>
  <c r="E85" i="10"/>
  <c r="H85" i="10" s="1"/>
  <c r="B86" i="10"/>
  <c r="D85" i="10"/>
  <c r="E147" i="8"/>
  <c r="E149" i="8" s="1"/>
  <c r="D164" i="8"/>
  <c r="G118" i="8"/>
  <c r="H119" i="8" s="1"/>
  <c r="H120" i="8" s="1"/>
  <c r="H121" i="8" s="1"/>
  <c r="H111" i="8"/>
  <c r="H112" i="8" s="1"/>
  <c r="H113" i="8" s="1"/>
  <c r="K208" i="8"/>
  <c r="K202" i="7"/>
  <c r="J202" i="7" s="1"/>
  <c r="J203" i="7" s="1"/>
  <c r="J204" i="7" s="1"/>
  <c r="J205" i="7" s="1"/>
  <c r="J206" i="7" s="1"/>
  <c r="J207" i="7" s="1"/>
  <c r="J208" i="7" s="1"/>
  <c r="J209" i="7" s="1"/>
  <c r="J210" i="7" s="1"/>
  <c r="G84" i="10"/>
  <c r="F85" i="10" s="1"/>
  <c r="G85" i="10" s="1"/>
  <c r="F86" i="10" s="1"/>
  <c r="M154" i="7"/>
  <c r="G117" i="8"/>
  <c r="H116" i="8" s="1"/>
  <c r="D157" i="8"/>
  <c r="C174" i="8"/>
  <c r="E151" i="8"/>
  <c r="E152" i="8" s="1"/>
  <c r="C173" i="8"/>
  <c r="J200" i="8"/>
  <c r="I200" i="8"/>
  <c r="F133" i="8" l="1"/>
  <c r="G131" i="8" s="1"/>
  <c r="H101" i="8"/>
  <c r="H107" i="8"/>
  <c r="H110" i="8" s="1"/>
  <c r="E155" i="8"/>
  <c r="D165" i="8"/>
  <c r="G140" i="8"/>
  <c r="D171" i="8"/>
  <c r="G139" i="8"/>
  <c r="D175" i="8"/>
  <c r="D176" i="8" s="1"/>
  <c r="D177" i="8" s="1"/>
  <c r="B198" i="8"/>
  <c r="J195" i="8"/>
  <c r="J196" i="8"/>
  <c r="K216" i="8"/>
  <c r="H109" i="8"/>
  <c r="E156" i="8"/>
  <c r="E157" i="8" s="1"/>
  <c r="G123" i="8"/>
  <c r="G129" i="8"/>
  <c r="C185" i="8"/>
  <c r="E150" i="8"/>
  <c r="L154" i="7"/>
  <c r="C182" i="8"/>
  <c r="D166" i="8"/>
  <c r="E167" i="8" s="1"/>
  <c r="E168" i="8" s="1"/>
  <c r="C187" i="8"/>
  <c r="C188" i="8"/>
  <c r="C191" i="8"/>
  <c r="C192" i="8" s="1"/>
  <c r="E153" i="8"/>
  <c r="N42" i="4"/>
  <c r="L42" i="4"/>
  <c r="K43" i="4"/>
  <c r="C181" i="8"/>
  <c r="E164" i="8"/>
  <c r="G137" i="8"/>
  <c r="D172" i="8"/>
  <c r="D173" i="8" s="1"/>
  <c r="B87" i="10"/>
  <c r="E86" i="10"/>
  <c r="H86" i="10" s="1"/>
  <c r="D86" i="10"/>
  <c r="G124" i="8"/>
  <c r="H115" i="8"/>
  <c r="H118" i="8" s="1"/>
  <c r="K211" i="7"/>
  <c r="G145" i="8"/>
  <c r="E161" i="8"/>
  <c r="J208" i="8"/>
  <c r="I208" i="8"/>
  <c r="F148" i="8" l="1"/>
  <c r="G132" i="8"/>
  <c r="G133" i="8" s="1"/>
  <c r="G141" i="8"/>
  <c r="F151" i="8"/>
  <c r="F152" i="8" s="1"/>
  <c r="G125" i="8"/>
  <c r="D179" i="8"/>
  <c r="C189" i="8"/>
  <c r="G142" i="8"/>
  <c r="H143" i="8" s="1"/>
  <c r="H144" i="8" s="1"/>
  <c r="H145" i="8" s="1"/>
  <c r="D183" i="8"/>
  <c r="D184" i="8" s="1"/>
  <c r="D185" i="8" s="1"/>
  <c r="B206" i="8"/>
  <c r="J203" i="8"/>
  <c r="J204" i="8"/>
  <c r="D180" i="8"/>
  <c r="G126" i="8"/>
  <c r="H127" i="8" s="1"/>
  <c r="H128" i="8" s="1"/>
  <c r="H129" i="8" s="1"/>
  <c r="J211" i="7"/>
  <c r="J212" i="7" s="1"/>
  <c r="J213" i="7" s="1"/>
  <c r="J214" i="7" s="1"/>
  <c r="J215" i="7" s="1"/>
  <c r="J216" i="7" s="1"/>
  <c r="J217" i="7" s="1"/>
  <c r="J218" i="7" s="1"/>
  <c r="J219" i="7" s="1"/>
  <c r="C199" i="8"/>
  <c r="C200" i="8" s="1"/>
  <c r="C195" i="8"/>
  <c r="C196" i="8"/>
  <c r="C193" i="8"/>
  <c r="M155" i="7"/>
  <c r="D174" i="8"/>
  <c r="E175" i="8" s="1"/>
  <c r="E176" i="8" s="1"/>
  <c r="F147" i="8"/>
  <c r="E158" i="8"/>
  <c r="F159" i="8" s="1"/>
  <c r="F160" i="8" s="1"/>
  <c r="C190" i="8"/>
  <c r="H139" i="8"/>
  <c r="F155" i="8"/>
  <c r="E169" i="8"/>
  <c r="E163" i="8"/>
  <c r="E165" i="8" s="1"/>
  <c r="F153" i="8"/>
  <c r="G134" i="8"/>
  <c r="H135" i="8" s="1"/>
  <c r="H136" i="8" s="1"/>
  <c r="H137" i="8" s="1"/>
  <c r="H117" i="8"/>
  <c r="N43" i="4"/>
  <c r="L43" i="4"/>
  <c r="K44" i="4"/>
  <c r="B88" i="10"/>
  <c r="D87" i="10"/>
  <c r="E87" i="10"/>
  <c r="H87" i="10" s="1"/>
  <c r="G86" i="10"/>
  <c r="F87" i="10" s="1"/>
  <c r="K224" i="8"/>
  <c r="J216" i="8"/>
  <c r="I216" i="8"/>
  <c r="F149" i="8" l="1"/>
  <c r="H140" i="8"/>
  <c r="D181" i="8"/>
  <c r="C197" i="8"/>
  <c r="D188" i="8"/>
  <c r="H131" i="8"/>
  <c r="H141" i="8"/>
  <c r="D187" i="8"/>
  <c r="D189" i="8" s="1"/>
  <c r="B214" i="8"/>
  <c r="J211" i="8"/>
  <c r="J212" i="8"/>
  <c r="E171" i="8"/>
  <c r="E177" i="8"/>
  <c r="C207" i="8"/>
  <c r="C208" i="8" s="1"/>
  <c r="C203" i="8"/>
  <c r="C204" i="8"/>
  <c r="G87" i="10"/>
  <c r="F88" i="10" s="1"/>
  <c r="H124" i="8"/>
  <c r="H132" i="8"/>
  <c r="B89" i="10"/>
  <c r="E88" i="10"/>
  <c r="H88" i="10" s="1"/>
  <c r="D88" i="10"/>
  <c r="H142" i="8"/>
  <c r="N44" i="4"/>
  <c r="L44" i="4"/>
  <c r="K45" i="4"/>
  <c r="D191" i="8"/>
  <c r="D192" i="8" s="1"/>
  <c r="H123" i="8"/>
  <c r="F150" i="8"/>
  <c r="G151" i="8" s="1"/>
  <c r="G152" i="8" s="1"/>
  <c r="K232" i="8"/>
  <c r="E166" i="8"/>
  <c r="F167" i="8" s="1"/>
  <c r="F168" i="8" s="1"/>
  <c r="L155" i="7"/>
  <c r="D182" i="8"/>
  <c r="E183" i="8" s="1"/>
  <c r="E184" i="8" s="1"/>
  <c r="E172" i="8"/>
  <c r="E173" i="8" s="1"/>
  <c r="C198" i="8"/>
  <c r="K220" i="7"/>
  <c r="J220" i="7" s="1"/>
  <c r="J221" i="7" s="1"/>
  <c r="J222" i="7" s="1"/>
  <c r="J223" i="7" s="1"/>
  <c r="J224" i="7" s="1"/>
  <c r="J225" i="7" s="1"/>
  <c r="J226" i="7" s="1"/>
  <c r="J227" i="7" s="1"/>
  <c r="J228" i="7" s="1"/>
  <c r="F161" i="8"/>
  <c r="C201" i="8"/>
  <c r="F156" i="8"/>
  <c r="F157" i="8" s="1"/>
  <c r="I224" i="8"/>
  <c r="J224" i="8"/>
  <c r="D190" i="8" l="1"/>
  <c r="H133" i="8"/>
  <c r="D196" i="8"/>
  <c r="D195" i="8"/>
  <c r="G148" i="8"/>
  <c r="H126" i="8"/>
  <c r="D199" i="8"/>
  <c r="D200" i="8" s="1"/>
  <c r="D201" i="8" s="1"/>
  <c r="E180" i="8"/>
  <c r="G147" i="8"/>
  <c r="F164" i="8"/>
  <c r="J219" i="8"/>
  <c r="J220" i="8"/>
  <c r="B222" i="8"/>
  <c r="I225" i="8"/>
  <c r="B90" i="10"/>
  <c r="D89" i="10"/>
  <c r="E89" i="10"/>
  <c r="H89" i="10" s="1"/>
  <c r="C209" i="8"/>
  <c r="D193" i="8"/>
  <c r="C206" i="8"/>
  <c r="K240" i="8"/>
  <c r="E185" i="8"/>
  <c r="F158" i="8"/>
  <c r="G159" i="8" s="1"/>
  <c r="G160" i="8" s="1"/>
  <c r="N45" i="4"/>
  <c r="L45" i="4"/>
  <c r="K46" i="4"/>
  <c r="H134" i="8"/>
  <c r="D198" i="8"/>
  <c r="H125" i="8"/>
  <c r="E174" i="8"/>
  <c r="F175" i="8" s="1"/>
  <c r="F176" i="8" s="1"/>
  <c r="C215" i="8"/>
  <c r="C216" i="8" s="1"/>
  <c r="C211" i="8"/>
  <c r="C212" i="8"/>
  <c r="F169" i="8"/>
  <c r="M156" i="7"/>
  <c r="D197" i="8"/>
  <c r="F163" i="8"/>
  <c r="G153" i="8"/>
  <c r="G88" i="10"/>
  <c r="F89" i="10" s="1"/>
  <c r="G89" i="10" s="1"/>
  <c r="F90" i="10" s="1"/>
  <c r="E179" i="8"/>
  <c r="C205" i="8"/>
  <c r="I232" i="8"/>
  <c r="J232" i="8"/>
  <c r="E191" i="8" l="1"/>
  <c r="E192" i="8" s="1"/>
  <c r="E193" i="8" s="1"/>
  <c r="E181" i="8"/>
  <c r="G149" i="8"/>
  <c r="D204" i="8"/>
  <c r="F165" i="8"/>
  <c r="G150" i="8"/>
  <c r="H151" i="8" s="1"/>
  <c r="H152" i="8" s="1"/>
  <c r="H153" i="8" s="1"/>
  <c r="F172" i="8"/>
  <c r="D207" i="8"/>
  <c r="D208" i="8" s="1"/>
  <c r="D209" i="8" s="1"/>
  <c r="E195" i="8"/>
  <c r="E199" i="8"/>
  <c r="E200" i="8" s="1"/>
  <c r="E201" i="8" s="1"/>
  <c r="J228" i="8"/>
  <c r="J227" i="8"/>
  <c r="B230" i="8"/>
  <c r="C214" i="8"/>
  <c r="G161" i="8"/>
  <c r="D203" i="8"/>
  <c r="D205" i="8" s="1"/>
  <c r="B91" i="10"/>
  <c r="E90" i="10"/>
  <c r="H90" i="10" s="1"/>
  <c r="D90" i="10"/>
  <c r="C217" i="8"/>
  <c r="E196" i="8"/>
  <c r="F177" i="8"/>
  <c r="F171" i="8"/>
  <c r="F173" i="8" s="1"/>
  <c r="H148" i="8"/>
  <c r="F166" i="8"/>
  <c r="G167" i="8" s="1"/>
  <c r="G168" i="8" s="1"/>
  <c r="E187" i="8"/>
  <c r="E188" i="8"/>
  <c r="H147" i="8"/>
  <c r="C219" i="8"/>
  <c r="C220" i="8"/>
  <c r="C223" i="8"/>
  <c r="C224" i="8" s="1"/>
  <c r="E182" i="8"/>
  <c r="F183" i="8" s="1"/>
  <c r="F184" i="8" s="1"/>
  <c r="K248" i="8"/>
  <c r="G155" i="8"/>
  <c r="G90" i="10"/>
  <c r="F91" i="10" s="1"/>
  <c r="G156" i="8"/>
  <c r="N46" i="4"/>
  <c r="L46" i="4"/>
  <c r="K47" i="4"/>
  <c r="C213" i="8"/>
  <c r="D212" i="8" s="1"/>
  <c r="L156" i="7"/>
  <c r="M157" i="7" s="1"/>
  <c r="I240" i="8"/>
  <c r="J240" i="8"/>
  <c r="E197" i="8" l="1"/>
  <c r="H149" i="8"/>
  <c r="D215" i="8"/>
  <c r="D216" i="8" s="1"/>
  <c r="D217" i="8" s="1"/>
  <c r="J236" i="8"/>
  <c r="J235" i="8"/>
  <c r="B238" i="8"/>
  <c r="E190" i="8"/>
  <c r="F191" i="8" s="1"/>
  <c r="F192" i="8" s="1"/>
  <c r="G157" i="8"/>
  <c r="F179" i="8"/>
  <c r="F180" i="8"/>
  <c r="G169" i="8"/>
  <c r="F185" i="8"/>
  <c r="C225" i="8"/>
  <c r="G164" i="8"/>
  <c r="D211" i="8"/>
  <c r="L157" i="7"/>
  <c r="C221" i="8"/>
  <c r="G163" i="8"/>
  <c r="E198" i="8"/>
  <c r="F199" i="8" s="1"/>
  <c r="F200" i="8" s="1"/>
  <c r="C231" i="8"/>
  <c r="C232" i="8" s="1"/>
  <c r="C228" i="8"/>
  <c r="C227" i="8"/>
  <c r="C222" i="8"/>
  <c r="G158" i="8"/>
  <c r="H159" i="8" s="1"/>
  <c r="H160" i="8" s="1"/>
  <c r="H161" i="8" s="1"/>
  <c r="N47" i="4"/>
  <c r="L47" i="4"/>
  <c r="K48" i="4"/>
  <c r="K256" i="8"/>
  <c r="H150" i="8"/>
  <c r="F174" i="8"/>
  <c r="G175" i="8" s="1"/>
  <c r="G176" i="8" s="1"/>
  <c r="B92" i="10"/>
  <c r="D91" i="10"/>
  <c r="E91" i="10"/>
  <c r="H91" i="10" s="1"/>
  <c r="E189" i="8"/>
  <c r="D206" i="8"/>
  <c r="E207" i="8" s="1"/>
  <c r="E208" i="8" s="1"/>
  <c r="J248" i="8"/>
  <c r="I248" i="8"/>
  <c r="D219" i="8" l="1"/>
  <c r="F181" i="8"/>
  <c r="F195" i="8"/>
  <c r="D220" i="8"/>
  <c r="D221" i="8" s="1"/>
  <c r="F188" i="8"/>
  <c r="D223" i="8"/>
  <c r="D224" i="8" s="1"/>
  <c r="D225" i="8" s="1"/>
  <c r="B246" i="8"/>
  <c r="J244" i="8"/>
  <c r="J243" i="8"/>
  <c r="G166" i="8"/>
  <c r="H167" i="8" s="1"/>
  <c r="H168" i="8" s="1"/>
  <c r="H169" i="8" s="1"/>
  <c r="F187" i="8"/>
  <c r="B93" i="10"/>
  <c r="E92" i="10"/>
  <c r="H92" i="10" s="1"/>
  <c r="D92" i="10"/>
  <c r="N48" i="4"/>
  <c r="L48" i="4"/>
  <c r="D214" i="8"/>
  <c r="E215" i="8" s="1"/>
  <c r="E216" i="8" s="1"/>
  <c r="E209" i="8"/>
  <c r="C230" i="8"/>
  <c r="G165" i="8"/>
  <c r="G91" i="10"/>
  <c r="F92" i="10" s="1"/>
  <c r="D213" i="8"/>
  <c r="C229" i="8"/>
  <c r="F182" i="8"/>
  <c r="G183" i="8" s="1"/>
  <c r="G184" i="8" s="1"/>
  <c r="M158" i="7"/>
  <c r="G177" i="8"/>
  <c r="E204" i="8"/>
  <c r="E203" i="8"/>
  <c r="H155" i="8"/>
  <c r="C233" i="8"/>
  <c r="F196" i="8"/>
  <c r="F197" i="8" s="1"/>
  <c r="D222" i="8"/>
  <c r="G172" i="8"/>
  <c r="G171" i="8"/>
  <c r="K264" i="8"/>
  <c r="H156" i="8"/>
  <c r="F201" i="8"/>
  <c r="F193" i="8"/>
  <c r="C239" i="8"/>
  <c r="C240" i="8" s="1"/>
  <c r="C236" i="8"/>
  <c r="C235" i="8"/>
  <c r="J256" i="8"/>
  <c r="I256" i="8"/>
  <c r="F189" i="8" l="1"/>
  <c r="D227" i="8"/>
  <c r="E223" i="8"/>
  <c r="E224" i="8" s="1"/>
  <c r="E225" i="8" s="1"/>
  <c r="H158" i="8"/>
  <c r="G173" i="8"/>
  <c r="D231" i="8"/>
  <c r="D232" i="8" s="1"/>
  <c r="D233" i="8" s="1"/>
  <c r="G179" i="8"/>
  <c r="H164" i="8"/>
  <c r="D228" i="8"/>
  <c r="E219" i="8"/>
  <c r="E211" i="8"/>
  <c r="G180" i="8"/>
  <c r="H163" i="8"/>
  <c r="B254" i="8"/>
  <c r="J252" i="8"/>
  <c r="J251" i="8"/>
  <c r="C238" i="8"/>
  <c r="G174" i="8"/>
  <c r="H175" i="8" s="1"/>
  <c r="H176" i="8" s="1"/>
  <c r="H177" i="8" s="1"/>
  <c r="F198" i="8"/>
  <c r="G199" i="8" s="1"/>
  <c r="G200" i="8" s="1"/>
  <c r="C241" i="8"/>
  <c r="E217" i="8"/>
  <c r="E205" i="8"/>
  <c r="E220" i="8"/>
  <c r="G92" i="10"/>
  <c r="F93" i="10" s="1"/>
  <c r="E212" i="8"/>
  <c r="B94" i="10"/>
  <c r="D93" i="10"/>
  <c r="L62" i="10" s="1"/>
  <c r="M63" i="10" s="1"/>
  <c r="M62" i="10" s="1"/>
  <c r="K66" i="10" s="1"/>
  <c r="K67" i="10" s="1"/>
  <c r="K68" i="10" s="1"/>
  <c r="K69" i="10" s="1"/>
  <c r="K70" i="10" s="1"/>
  <c r="K71" i="10" s="1"/>
  <c r="K72" i="10" s="1"/>
  <c r="K73" i="10" s="1"/>
  <c r="K74" i="10" s="1"/>
  <c r="K75" i="10" s="1"/>
  <c r="K76" i="10" s="1"/>
  <c r="E93" i="10"/>
  <c r="H93" i="10" s="1"/>
  <c r="J62" i="10"/>
  <c r="J66" i="10" s="1"/>
  <c r="E206" i="8"/>
  <c r="F207" i="8" s="1"/>
  <c r="F208" i="8" s="1"/>
  <c r="H157" i="8"/>
  <c r="F190" i="8"/>
  <c r="G191" i="8" s="1"/>
  <c r="G192" i="8" s="1"/>
  <c r="C244" i="8"/>
  <c r="C247" i="8"/>
  <c r="C248" i="8" s="1"/>
  <c r="C243" i="8"/>
  <c r="L158" i="7"/>
  <c r="C237" i="8"/>
  <c r="D236" i="8" s="1"/>
  <c r="K272" i="8"/>
  <c r="G185" i="8"/>
  <c r="J264" i="8"/>
  <c r="I264" i="8"/>
  <c r="E213" i="8" l="1"/>
  <c r="D239" i="8"/>
  <c r="D240" i="8" s="1"/>
  <c r="D241" i="8" s="1"/>
  <c r="G196" i="8"/>
  <c r="D230" i="8"/>
  <c r="E231" i="8" s="1"/>
  <c r="E232" i="8" s="1"/>
  <c r="E233" i="8" s="1"/>
  <c r="H166" i="8"/>
  <c r="E221" i="8"/>
  <c r="D229" i="8"/>
  <c r="E228" i="8" s="1"/>
  <c r="G181" i="8"/>
  <c r="G187" i="8"/>
  <c r="G182" i="8"/>
  <c r="H183" i="8" s="1"/>
  <c r="H184" i="8" s="1"/>
  <c r="H185" i="8" s="1"/>
  <c r="F204" i="8"/>
  <c r="H165" i="8"/>
  <c r="G195" i="8"/>
  <c r="G198" i="8" s="1"/>
  <c r="B262" i="8"/>
  <c r="J260" i="8"/>
  <c r="J259" i="8"/>
  <c r="K280" i="8"/>
  <c r="J67" i="10"/>
  <c r="M66" i="10"/>
  <c r="L66" i="10"/>
  <c r="G193" i="8"/>
  <c r="G188" i="8"/>
  <c r="E222" i="8"/>
  <c r="F220" i="8" s="1"/>
  <c r="C252" i="8"/>
  <c r="C251" i="8"/>
  <c r="C255" i="8"/>
  <c r="C256" i="8" s="1"/>
  <c r="B95" i="10"/>
  <c r="E94" i="10"/>
  <c r="H94" i="10" s="1"/>
  <c r="D94" i="10"/>
  <c r="G197" i="8"/>
  <c r="H171" i="8"/>
  <c r="F209" i="8"/>
  <c r="H172" i="8"/>
  <c r="E214" i="8"/>
  <c r="F215" i="8" s="1"/>
  <c r="F216" i="8" s="1"/>
  <c r="S62" i="10"/>
  <c r="K77" i="10"/>
  <c r="K78" i="10" s="1"/>
  <c r="K79" i="10" s="1"/>
  <c r="K80" i="10" s="1"/>
  <c r="K81" i="10" s="1"/>
  <c r="K82" i="10" s="1"/>
  <c r="K83" i="10" s="1"/>
  <c r="K84" i="10" s="1"/>
  <c r="K85" i="10" s="1"/>
  <c r="K86" i="10" s="1"/>
  <c r="K87" i="10" s="1"/>
  <c r="K88" i="10" s="1"/>
  <c r="K89" i="10" s="1"/>
  <c r="K90" i="10" s="1"/>
  <c r="K91" i="10" s="1"/>
  <c r="K92" i="10" s="1"/>
  <c r="K93" i="10" s="1"/>
  <c r="K94" i="10" s="1"/>
  <c r="K95" i="10" s="1"/>
  <c r="K96" i="10" s="1"/>
  <c r="K97" i="10" s="1"/>
  <c r="K98" i="10" s="1"/>
  <c r="K99" i="10" s="1"/>
  <c r="K100" i="10" s="1"/>
  <c r="K101" i="10" s="1"/>
  <c r="K102" i="10" s="1"/>
  <c r="K103" i="10" s="1"/>
  <c r="K104" i="10" s="1"/>
  <c r="K105" i="10" s="1"/>
  <c r="K106" i="10" s="1"/>
  <c r="K107" i="10" s="1"/>
  <c r="K108" i="10" s="1"/>
  <c r="K109" i="10" s="1"/>
  <c r="K110" i="10" s="1"/>
  <c r="K111" i="10" s="1"/>
  <c r="K112" i="10" s="1"/>
  <c r="K113" i="10" s="1"/>
  <c r="K114" i="10" s="1"/>
  <c r="K115" i="10" s="1"/>
  <c r="K116" i="10" s="1"/>
  <c r="K117" i="10" s="1"/>
  <c r="K118" i="10" s="1"/>
  <c r="K119" i="10" s="1"/>
  <c r="K120" i="10" s="1"/>
  <c r="K121" i="10" s="1"/>
  <c r="K122" i="10" s="1"/>
  <c r="K123" i="10" s="1"/>
  <c r="K124" i="10" s="1"/>
  <c r="K125" i="10" s="1"/>
  <c r="K126" i="10" s="1"/>
  <c r="K127" i="10" s="1"/>
  <c r="K128" i="10" s="1"/>
  <c r="K129" i="10" s="1"/>
  <c r="C246" i="8"/>
  <c r="F203" i="8"/>
  <c r="G93" i="10"/>
  <c r="F94" i="10" s="1"/>
  <c r="G94" i="10" s="1"/>
  <c r="F95" i="10" s="1"/>
  <c r="N62" i="10"/>
  <c r="N66" i="10" s="1"/>
  <c r="O66" i="10" s="1"/>
  <c r="N67" i="10" s="1"/>
  <c r="G201" i="8"/>
  <c r="D235" i="8"/>
  <c r="C249" i="8"/>
  <c r="C245" i="8"/>
  <c r="M159" i="7"/>
  <c r="I272" i="8"/>
  <c r="J272" i="8"/>
  <c r="D247" i="8" l="1"/>
  <c r="D248" i="8" s="1"/>
  <c r="E227" i="8"/>
  <c r="D243" i="8"/>
  <c r="G189" i="8"/>
  <c r="F211" i="8"/>
  <c r="H180" i="8"/>
  <c r="F205" i="8"/>
  <c r="H173" i="8"/>
  <c r="H195" i="8"/>
  <c r="H179" i="8"/>
  <c r="H199" i="8"/>
  <c r="H200" i="8" s="1"/>
  <c r="H201" i="8" s="1"/>
  <c r="J268" i="8"/>
  <c r="J267" i="8"/>
  <c r="B270" i="8"/>
  <c r="E230" i="8"/>
  <c r="F231" i="8" s="1"/>
  <c r="F232" i="8" s="1"/>
  <c r="D249" i="8"/>
  <c r="G95" i="10"/>
  <c r="F96" i="10" s="1"/>
  <c r="B96" i="10"/>
  <c r="D95" i="10"/>
  <c r="E95" i="10"/>
  <c r="H95" i="10" s="1"/>
  <c r="D238" i="8"/>
  <c r="E239" i="8" s="1"/>
  <c r="E240" i="8" s="1"/>
  <c r="M160" i="7"/>
  <c r="D244" i="8"/>
  <c r="D245" i="8" s="1"/>
  <c r="L159" i="7"/>
  <c r="J68" i="10"/>
  <c r="M67" i="10"/>
  <c r="L67" i="10"/>
  <c r="F206" i="8"/>
  <c r="G207" i="8" s="1"/>
  <c r="G208" i="8" s="1"/>
  <c r="E229" i="8"/>
  <c r="F228" i="8" s="1"/>
  <c r="F219" i="8"/>
  <c r="F221" i="8" s="1"/>
  <c r="F223" i="8"/>
  <c r="F224" i="8" s="1"/>
  <c r="G190" i="8"/>
  <c r="H191" i="8" s="1"/>
  <c r="H192" i="8" s="1"/>
  <c r="H193" i="8" s="1"/>
  <c r="H174" i="8"/>
  <c r="F212" i="8"/>
  <c r="F213" i="8" s="1"/>
  <c r="C257" i="8"/>
  <c r="K288" i="8"/>
  <c r="C263" i="8"/>
  <c r="C264" i="8" s="1"/>
  <c r="C260" i="8"/>
  <c r="C259" i="8"/>
  <c r="C254" i="8"/>
  <c r="H196" i="8"/>
  <c r="O67" i="10"/>
  <c r="N68" i="10" s="1"/>
  <c r="F217" i="8"/>
  <c r="C253" i="8"/>
  <c r="D237" i="8"/>
  <c r="E236" i="8" s="1"/>
  <c r="I280" i="8"/>
  <c r="J280" i="8"/>
  <c r="H181" i="8" l="1"/>
  <c r="D252" i="8"/>
  <c r="G204" i="8"/>
  <c r="H182" i="8"/>
  <c r="H197" i="8"/>
  <c r="D255" i="8"/>
  <c r="D256" i="8" s="1"/>
  <c r="D257" i="8" s="1"/>
  <c r="G203" i="8"/>
  <c r="G205" i="8" s="1"/>
  <c r="J276" i="8"/>
  <c r="J275" i="8"/>
  <c r="B278" i="8"/>
  <c r="L160" i="7"/>
  <c r="F227" i="8"/>
  <c r="C262" i="8"/>
  <c r="F214" i="8"/>
  <c r="G209" i="8"/>
  <c r="E96" i="10"/>
  <c r="H96" i="10" s="1"/>
  <c r="D96" i="10"/>
  <c r="B97" i="10"/>
  <c r="D246" i="8"/>
  <c r="E235" i="8"/>
  <c r="E237" i="8" s="1"/>
  <c r="H188" i="8"/>
  <c r="E241" i="8"/>
  <c r="H198" i="8"/>
  <c r="C261" i="8"/>
  <c r="D251" i="8"/>
  <c r="D253" i="8" s="1"/>
  <c r="K296" i="8"/>
  <c r="F225" i="8"/>
  <c r="J69" i="10"/>
  <c r="M68" i="10"/>
  <c r="O68" i="10" s="1"/>
  <c r="N69" i="10" s="1"/>
  <c r="L68" i="10"/>
  <c r="F233" i="8"/>
  <c r="C265" i="8"/>
  <c r="D259" i="8" s="1"/>
  <c r="F222" i="8"/>
  <c r="H187" i="8"/>
  <c r="C268" i="8"/>
  <c r="C267" i="8"/>
  <c r="C271" i="8"/>
  <c r="C272" i="8" s="1"/>
  <c r="I288" i="8"/>
  <c r="J288" i="8"/>
  <c r="D263" i="8" l="1"/>
  <c r="D264" i="8" s="1"/>
  <c r="G220" i="8"/>
  <c r="C269" i="8"/>
  <c r="H190" i="8"/>
  <c r="D260" i="8"/>
  <c r="D261" i="8" s="1"/>
  <c r="G206" i="8"/>
  <c r="H207" i="8" s="1"/>
  <c r="H208" i="8" s="1"/>
  <c r="H209" i="8" s="1"/>
  <c r="J284" i="8"/>
  <c r="J283" i="8"/>
  <c r="B286" i="8"/>
  <c r="C273" i="8"/>
  <c r="G219" i="8"/>
  <c r="G221" i="8" s="1"/>
  <c r="G223" i="8"/>
  <c r="G224" i="8" s="1"/>
  <c r="G215" i="8"/>
  <c r="G216" i="8" s="1"/>
  <c r="G211" i="8"/>
  <c r="G212" i="8"/>
  <c r="C270" i="8"/>
  <c r="K304" i="8"/>
  <c r="B98" i="10"/>
  <c r="E97" i="10"/>
  <c r="H97" i="10" s="1"/>
  <c r="D97" i="10"/>
  <c r="C276" i="8"/>
  <c r="C279" i="8"/>
  <c r="C280" i="8" s="1"/>
  <c r="C275" i="8"/>
  <c r="E243" i="8"/>
  <c r="E247" i="8"/>
  <c r="E248" i="8" s="1"/>
  <c r="H189" i="8"/>
  <c r="F230" i="8"/>
  <c r="G231" i="8" s="1"/>
  <c r="G232" i="8" s="1"/>
  <c r="E244" i="8"/>
  <c r="L161" i="7"/>
  <c r="E238" i="8"/>
  <c r="F239" i="8" s="1"/>
  <c r="F240" i="8" s="1"/>
  <c r="F229" i="8"/>
  <c r="D265" i="8"/>
  <c r="D254" i="8"/>
  <c r="E255" i="8" s="1"/>
  <c r="E256" i="8" s="1"/>
  <c r="J70" i="10"/>
  <c r="M69" i="10"/>
  <c r="O69" i="10" s="1"/>
  <c r="N70" i="10" s="1"/>
  <c r="L69" i="10"/>
  <c r="M161" i="7"/>
  <c r="G96" i="10"/>
  <c r="F97" i="10" s="1"/>
  <c r="J296" i="8"/>
  <c r="I296" i="8"/>
  <c r="D267" i="8" l="1"/>
  <c r="D271" i="8"/>
  <c r="D272" i="8" s="1"/>
  <c r="G213" i="8"/>
  <c r="D262" i="8"/>
  <c r="E259" i="8" s="1"/>
  <c r="G227" i="8"/>
  <c r="C277" i="8"/>
  <c r="H203" i="8"/>
  <c r="D268" i="8"/>
  <c r="D269" i="8" s="1"/>
  <c r="H204" i="8"/>
  <c r="B294" i="8"/>
  <c r="J292" i="8"/>
  <c r="J291" i="8"/>
  <c r="P66" i="10"/>
  <c r="G233" i="8"/>
  <c r="G228" i="8"/>
  <c r="G229" i="8" s="1"/>
  <c r="J71" i="10"/>
  <c r="M70" i="10"/>
  <c r="O70" i="10" s="1"/>
  <c r="N71" i="10" s="1"/>
  <c r="L70" i="10"/>
  <c r="E257" i="8"/>
  <c r="F236" i="8"/>
  <c r="B99" i="10"/>
  <c r="D98" i="10"/>
  <c r="E98" i="10"/>
  <c r="H98" i="10" s="1"/>
  <c r="E249" i="8"/>
  <c r="G217" i="8"/>
  <c r="E252" i="8"/>
  <c r="E246" i="8"/>
  <c r="G97" i="10"/>
  <c r="F98" i="10" s="1"/>
  <c r="C278" i="8"/>
  <c r="G225" i="8"/>
  <c r="D273" i="8"/>
  <c r="F241" i="8"/>
  <c r="G214" i="8"/>
  <c r="E251" i="8"/>
  <c r="F235" i="8"/>
  <c r="K312" i="8"/>
  <c r="M162" i="7"/>
  <c r="L162" i="7" s="1"/>
  <c r="E245" i="8"/>
  <c r="C281" i="8"/>
  <c r="G222" i="8"/>
  <c r="C283" i="8"/>
  <c r="C284" i="8"/>
  <c r="C285" i="8" s="1"/>
  <c r="C287" i="8"/>
  <c r="C288" i="8" s="1"/>
  <c r="I304" i="8"/>
  <c r="J304" i="8"/>
  <c r="D270" i="8" l="1"/>
  <c r="E268" i="8" s="1"/>
  <c r="H205" i="8"/>
  <c r="F244" i="8"/>
  <c r="E260" i="8"/>
  <c r="H215" i="8"/>
  <c r="H216" i="8" s="1"/>
  <c r="H217" i="8" s="1"/>
  <c r="F247" i="8"/>
  <c r="F248" i="8" s="1"/>
  <c r="E263" i="8"/>
  <c r="E264" i="8" s="1"/>
  <c r="E265" i="8" s="1"/>
  <c r="H223" i="8"/>
  <c r="H224" i="8" s="1"/>
  <c r="H225" i="8" s="1"/>
  <c r="E253" i="8"/>
  <c r="H220" i="8"/>
  <c r="D279" i="8"/>
  <c r="D280" i="8" s="1"/>
  <c r="D281" i="8" s="1"/>
  <c r="E271" i="8"/>
  <c r="E272" i="8" s="1"/>
  <c r="H211" i="8"/>
  <c r="H206" i="8"/>
  <c r="H212" i="8"/>
  <c r="F243" i="8"/>
  <c r="F245" i="8" s="1"/>
  <c r="J300" i="8"/>
  <c r="J299" i="8"/>
  <c r="B302" i="8"/>
  <c r="F249" i="8"/>
  <c r="E273" i="8"/>
  <c r="D99" i="10"/>
  <c r="B100" i="10"/>
  <c r="E99" i="10"/>
  <c r="H99" i="10" s="1"/>
  <c r="F237" i="8"/>
  <c r="E267" i="8"/>
  <c r="M163" i="7"/>
  <c r="L163" i="7" s="1"/>
  <c r="D275" i="8"/>
  <c r="E262" i="8"/>
  <c r="F263" i="8" s="1"/>
  <c r="F264" i="8" s="1"/>
  <c r="H219" i="8"/>
  <c r="H222" i="8" s="1"/>
  <c r="K320" i="8"/>
  <c r="G98" i="10"/>
  <c r="F99" i="10" s="1"/>
  <c r="G99" i="10" s="1"/>
  <c r="F100" i="10" s="1"/>
  <c r="G230" i="8"/>
  <c r="H231" i="8" s="1"/>
  <c r="H232" i="8" s="1"/>
  <c r="H233" i="8" s="1"/>
  <c r="F238" i="8"/>
  <c r="G239" i="8" s="1"/>
  <c r="G240" i="8" s="1"/>
  <c r="E261" i="8"/>
  <c r="C291" i="8"/>
  <c r="C295" i="8"/>
  <c r="C296" i="8" s="1"/>
  <c r="C292" i="8"/>
  <c r="C286" i="8"/>
  <c r="D276" i="8"/>
  <c r="E254" i="8"/>
  <c r="F255" i="8" s="1"/>
  <c r="F256" i="8" s="1"/>
  <c r="C289" i="8"/>
  <c r="J72" i="10"/>
  <c r="M71" i="10"/>
  <c r="O71" i="10" s="1"/>
  <c r="N72" i="10" s="1"/>
  <c r="L71" i="10"/>
  <c r="I312" i="8"/>
  <c r="J312" i="8"/>
  <c r="H213" i="8" l="1"/>
  <c r="E269" i="8"/>
  <c r="D277" i="8"/>
  <c r="F246" i="8"/>
  <c r="G244" i="8" s="1"/>
  <c r="D284" i="8"/>
  <c r="F260" i="8"/>
  <c r="H214" i="8"/>
  <c r="G236" i="8"/>
  <c r="H228" i="8"/>
  <c r="F259" i="8"/>
  <c r="J308" i="8"/>
  <c r="J307" i="8"/>
  <c r="B310" i="8"/>
  <c r="O72" i="10"/>
  <c r="N73" i="10" s="1"/>
  <c r="H221" i="8"/>
  <c r="C294" i="8"/>
  <c r="G100" i="10"/>
  <c r="F101" i="10" s="1"/>
  <c r="D278" i="8"/>
  <c r="E279" i="8" s="1"/>
  <c r="E280" i="8" s="1"/>
  <c r="E100" i="10"/>
  <c r="H100" i="10" s="1"/>
  <c r="D100" i="10"/>
  <c r="B101" i="10"/>
  <c r="C297" i="8"/>
  <c r="F251" i="8"/>
  <c r="E270" i="8"/>
  <c r="F271" i="8" s="1"/>
  <c r="F272" i="8" s="1"/>
  <c r="H227" i="8"/>
  <c r="H230" i="8" s="1"/>
  <c r="K328" i="8"/>
  <c r="G241" i="8"/>
  <c r="G247" i="8"/>
  <c r="G248" i="8" s="1"/>
  <c r="F257" i="8"/>
  <c r="F252" i="8"/>
  <c r="J73" i="10"/>
  <c r="M72" i="10"/>
  <c r="L72" i="10"/>
  <c r="D283" i="8"/>
  <c r="D285" i="8" s="1"/>
  <c r="D287" i="8"/>
  <c r="D288" i="8" s="1"/>
  <c r="G235" i="8"/>
  <c r="F265" i="8"/>
  <c r="G243" i="8"/>
  <c r="M164" i="7"/>
  <c r="P67" i="10"/>
  <c r="C293" i="8"/>
  <c r="C303" i="8"/>
  <c r="C304" i="8" s="1"/>
  <c r="C300" i="8"/>
  <c r="C299" i="8"/>
  <c r="I320" i="8"/>
  <c r="J320" i="8"/>
  <c r="G245" i="8" l="1"/>
  <c r="G237" i="8"/>
  <c r="D295" i="8"/>
  <c r="D296" i="8" s="1"/>
  <c r="D297" i="8" s="1"/>
  <c r="F261" i="8"/>
  <c r="F253" i="8"/>
  <c r="F268" i="8"/>
  <c r="E275" i="8"/>
  <c r="E276" i="8"/>
  <c r="D292" i="8"/>
  <c r="F262" i="8"/>
  <c r="G263" i="8" s="1"/>
  <c r="G264" i="8" s="1"/>
  <c r="J316" i="8"/>
  <c r="J315" i="8"/>
  <c r="B318" i="8"/>
  <c r="G259" i="8"/>
  <c r="F254" i="8"/>
  <c r="G255" i="8" s="1"/>
  <c r="G256" i="8" s="1"/>
  <c r="C302" i="8"/>
  <c r="C305" i="8"/>
  <c r="C308" i="8"/>
  <c r="C307" i="8"/>
  <c r="C311" i="8"/>
  <c r="C312" i="8" s="1"/>
  <c r="H229" i="8"/>
  <c r="B102" i="10"/>
  <c r="E101" i="10"/>
  <c r="H101" i="10" s="1"/>
  <c r="D101" i="10"/>
  <c r="D291" i="8"/>
  <c r="C301" i="8"/>
  <c r="J74" i="10"/>
  <c r="M73" i="10"/>
  <c r="O73" i="10" s="1"/>
  <c r="N74" i="10" s="1"/>
  <c r="L73" i="10"/>
  <c r="G238" i="8"/>
  <c r="H239" i="8" s="1"/>
  <c r="H240" i="8" s="1"/>
  <c r="H241" i="8" s="1"/>
  <c r="L164" i="7"/>
  <c r="G246" i="8"/>
  <c r="G265" i="8"/>
  <c r="D289" i="8"/>
  <c r="G249" i="8"/>
  <c r="F273" i="8"/>
  <c r="P68" i="10"/>
  <c r="D286" i="8"/>
  <c r="F267" i="8"/>
  <c r="F269" i="8" s="1"/>
  <c r="E281" i="8"/>
  <c r="J328" i="8"/>
  <c r="I328" i="8"/>
  <c r="E277" i="8" l="1"/>
  <c r="E287" i="8"/>
  <c r="E288" i="8" s="1"/>
  <c r="D300" i="8"/>
  <c r="H236" i="8"/>
  <c r="H244" i="8"/>
  <c r="D303" i="8"/>
  <c r="D304" i="8" s="1"/>
  <c r="D305" i="8" s="1"/>
  <c r="H247" i="8"/>
  <c r="H248" i="8" s="1"/>
  <c r="H249" i="8" s="1"/>
  <c r="E284" i="8"/>
  <c r="E278" i="8"/>
  <c r="F279" i="8" s="1"/>
  <c r="F280" i="8" s="1"/>
  <c r="F281" i="8" s="1"/>
  <c r="C309" i="8"/>
  <c r="G260" i="8"/>
  <c r="G262" i="8" s="1"/>
  <c r="H263" i="8" s="1"/>
  <c r="H264" i="8" s="1"/>
  <c r="H265" i="8" s="1"/>
  <c r="B326" i="8"/>
  <c r="J324" i="8"/>
  <c r="J323" i="8"/>
  <c r="E289" i="8"/>
  <c r="H235" i="8"/>
  <c r="H238" i="8" s="1"/>
  <c r="B103" i="10"/>
  <c r="D102" i="10"/>
  <c r="E102" i="10"/>
  <c r="H102" i="10" s="1"/>
  <c r="D299" i="8"/>
  <c r="L165" i="7"/>
  <c r="F270" i="8"/>
  <c r="G271" i="8" s="1"/>
  <c r="G272" i="8" s="1"/>
  <c r="E283" i="8"/>
  <c r="P69" i="10"/>
  <c r="C313" i="8"/>
  <c r="H243" i="8"/>
  <c r="H246" i="8" s="1"/>
  <c r="J75" i="10"/>
  <c r="M74" i="10"/>
  <c r="O74" i="10" s="1"/>
  <c r="N75" i="10" s="1"/>
  <c r="L74" i="10"/>
  <c r="C310" i="8"/>
  <c r="G251" i="8"/>
  <c r="P70" i="10"/>
  <c r="G257" i="8"/>
  <c r="G101" i="10"/>
  <c r="F102" i="10" s="1"/>
  <c r="G102" i="10" s="1"/>
  <c r="F103" i="10" s="1"/>
  <c r="G252" i="8"/>
  <c r="D294" i="8"/>
  <c r="E295" i="8" s="1"/>
  <c r="E296" i="8" s="1"/>
  <c r="M165" i="7"/>
  <c r="D293" i="8"/>
  <c r="C315" i="8"/>
  <c r="C319" i="8"/>
  <c r="C320" i="8" s="1"/>
  <c r="C316" i="8"/>
  <c r="D311" i="8" l="1"/>
  <c r="D312" i="8" s="1"/>
  <c r="G261" i="8"/>
  <c r="H260" i="8" s="1"/>
  <c r="F276" i="8"/>
  <c r="H245" i="8"/>
  <c r="H259" i="8"/>
  <c r="H262" i="8" s="1"/>
  <c r="D308" i="8"/>
  <c r="G253" i="8"/>
  <c r="H251" i="8" s="1"/>
  <c r="F275" i="8"/>
  <c r="F278" i="8" s="1"/>
  <c r="G279" i="8" s="1"/>
  <c r="G280" i="8" s="1"/>
  <c r="G281" i="8" s="1"/>
  <c r="D313" i="8"/>
  <c r="C321" i="8"/>
  <c r="E297" i="8"/>
  <c r="E286" i="8"/>
  <c r="F287" i="8" s="1"/>
  <c r="F288" i="8" s="1"/>
  <c r="G273" i="8"/>
  <c r="G267" i="8"/>
  <c r="C318" i="8"/>
  <c r="D319" i="8" s="1"/>
  <c r="D320" i="8" s="1"/>
  <c r="E291" i="8"/>
  <c r="J76" i="10"/>
  <c r="M75" i="10"/>
  <c r="O75" i="10" s="1"/>
  <c r="N76" i="10" s="1"/>
  <c r="L75" i="10"/>
  <c r="D103" i="10"/>
  <c r="B104" i="10"/>
  <c r="E103" i="10"/>
  <c r="H103" i="10" s="1"/>
  <c r="E292" i="8"/>
  <c r="H252" i="8"/>
  <c r="G254" i="8"/>
  <c r="H255" i="8" s="1"/>
  <c r="H256" i="8" s="1"/>
  <c r="H257" i="8" s="1"/>
  <c r="G268" i="8"/>
  <c r="H237" i="8"/>
  <c r="D307" i="8"/>
  <c r="C327" i="8"/>
  <c r="C328" i="8" s="1"/>
  <c r="C324" i="8"/>
  <c r="C323" i="8"/>
  <c r="D302" i="8"/>
  <c r="E303" i="8" s="1"/>
  <c r="E304" i="8" s="1"/>
  <c r="E285" i="8"/>
  <c r="F284" i="8" s="1"/>
  <c r="C317" i="8"/>
  <c r="M166" i="7"/>
  <c r="L166" i="7" s="1"/>
  <c r="G103" i="10"/>
  <c r="F104" i="10" s="1"/>
  <c r="D301" i="8"/>
  <c r="H261" i="8" l="1"/>
  <c r="D316" i="8"/>
  <c r="C325" i="8"/>
  <c r="G269" i="8"/>
  <c r="E299" i="8"/>
  <c r="H254" i="8"/>
  <c r="F277" i="8"/>
  <c r="E300" i="8"/>
  <c r="E302" i="8" s="1"/>
  <c r="F303" i="8" s="1"/>
  <c r="F304" i="8" s="1"/>
  <c r="V62" i="10"/>
  <c r="V66" i="10" s="1"/>
  <c r="D321" i="8"/>
  <c r="C326" i="8"/>
  <c r="R62" i="10"/>
  <c r="R66" i="10" s="1"/>
  <c r="J77" i="10"/>
  <c r="M76" i="10"/>
  <c r="O76" i="10" s="1"/>
  <c r="L76" i="10"/>
  <c r="C329" i="8"/>
  <c r="D323" i="8" s="1"/>
  <c r="D310" i="8"/>
  <c r="E311" i="8" s="1"/>
  <c r="E312" i="8" s="1"/>
  <c r="E293" i="8"/>
  <c r="F283" i="8"/>
  <c r="F289" i="8"/>
  <c r="D315" i="8"/>
  <c r="H253" i="8"/>
  <c r="D309" i="8"/>
  <c r="E305" i="8"/>
  <c r="E104" i="10"/>
  <c r="H104" i="10" s="1"/>
  <c r="D104" i="10"/>
  <c r="B105" i="10"/>
  <c r="M167" i="7"/>
  <c r="E294" i="8"/>
  <c r="F295" i="8" s="1"/>
  <c r="F296" i="8" s="1"/>
  <c r="P71" i="10"/>
  <c r="P72" i="10"/>
  <c r="G270" i="8"/>
  <c r="H271" i="8" s="1"/>
  <c r="H272" i="8" s="1"/>
  <c r="H273" i="8" s="1"/>
  <c r="D327" i="8" l="1"/>
  <c r="D328" i="8" s="1"/>
  <c r="F291" i="8"/>
  <c r="D324" i="8"/>
  <c r="D325" i="8" s="1"/>
  <c r="E301" i="8"/>
  <c r="F299" i="8" s="1"/>
  <c r="E308" i="8"/>
  <c r="F300" i="8"/>
  <c r="G276" i="8"/>
  <c r="G275" i="8"/>
  <c r="H267" i="8"/>
  <c r="F292" i="8"/>
  <c r="F293" i="8" s="1"/>
  <c r="N77" i="10"/>
  <c r="W62" i="10"/>
  <c r="D329" i="8"/>
  <c r="H268" i="8"/>
  <c r="H269" i="8" s="1"/>
  <c r="F297" i="8"/>
  <c r="J78" i="10"/>
  <c r="M77" i="10"/>
  <c r="L77" i="10"/>
  <c r="F286" i="8"/>
  <c r="G287" i="8" s="1"/>
  <c r="G288" i="8" s="1"/>
  <c r="E313" i="8"/>
  <c r="T66" i="10"/>
  <c r="R67" i="10"/>
  <c r="F305" i="8"/>
  <c r="E307" i="8"/>
  <c r="F285" i="8"/>
  <c r="D318" i="8"/>
  <c r="E319" i="8" s="1"/>
  <c r="E320" i="8" s="1"/>
  <c r="D326" i="8"/>
  <c r="B106" i="10"/>
  <c r="E105" i="10"/>
  <c r="H105" i="10" s="1"/>
  <c r="D105" i="10"/>
  <c r="L167" i="7"/>
  <c r="G104" i="10"/>
  <c r="F105" i="10" s="1"/>
  <c r="T62" i="10"/>
  <c r="U63" i="10" s="1"/>
  <c r="U62" i="10" s="1"/>
  <c r="S66" i="10" s="1"/>
  <c r="S67" i="10" s="1"/>
  <c r="S68" i="10" s="1"/>
  <c r="S69" i="10" s="1"/>
  <c r="S70" i="10" s="1"/>
  <c r="S71" i="10" s="1"/>
  <c r="S72" i="10" s="1"/>
  <c r="S73" i="10" s="1"/>
  <c r="S74" i="10" s="1"/>
  <c r="S75" i="10" s="1"/>
  <c r="S76" i="10" s="1"/>
  <c r="S77" i="10" s="1"/>
  <c r="S78" i="10" s="1"/>
  <c r="S79" i="10" s="1"/>
  <c r="S80" i="10" s="1"/>
  <c r="S81" i="10" s="1"/>
  <c r="S82" i="10" s="1"/>
  <c r="S83" i="10" s="1"/>
  <c r="S84" i="10" s="1"/>
  <c r="S85" i="10" s="1"/>
  <c r="S86" i="10" s="1"/>
  <c r="S87" i="10" s="1"/>
  <c r="S88" i="10" s="1"/>
  <c r="S89" i="10" s="1"/>
  <c r="S90" i="10" s="1"/>
  <c r="S91" i="10" s="1"/>
  <c r="S92" i="10" s="1"/>
  <c r="S93" i="10" s="1"/>
  <c r="S94" i="10" s="1"/>
  <c r="S95" i="10" s="1"/>
  <c r="P73" i="10"/>
  <c r="D317" i="8"/>
  <c r="F301" i="8" l="1"/>
  <c r="F302" i="8"/>
  <c r="G303" i="8" s="1"/>
  <c r="G304" i="8" s="1"/>
  <c r="G305" i="8" s="1"/>
  <c r="E327" i="8"/>
  <c r="E328" i="8" s="1"/>
  <c r="E329" i="8" s="1"/>
  <c r="H270" i="8"/>
  <c r="G300" i="8"/>
  <c r="G277" i="8"/>
  <c r="G278" i="8"/>
  <c r="H279" i="8" s="1"/>
  <c r="H280" i="8" s="1"/>
  <c r="H281" i="8" s="1"/>
  <c r="E323" i="8"/>
  <c r="E315" i="8"/>
  <c r="F294" i="8"/>
  <c r="G295" i="8" s="1"/>
  <c r="G296" i="8" s="1"/>
  <c r="G297" i="8" s="1"/>
  <c r="E316" i="8"/>
  <c r="G284" i="8"/>
  <c r="E324" i="8"/>
  <c r="J79" i="10"/>
  <c r="M78" i="10"/>
  <c r="L78" i="10"/>
  <c r="B107" i="10"/>
  <c r="D106" i="10"/>
  <c r="E106" i="10"/>
  <c r="H106" i="10" s="1"/>
  <c r="G105" i="10"/>
  <c r="F106" i="10" s="1"/>
  <c r="G106" i="10" s="1"/>
  <c r="F107" i="10" s="1"/>
  <c r="E310" i="8"/>
  <c r="F311" i="8" s="1"/>
  <c r="F312" i="8" s="1"/>
  <c r="G283" i="8"/>
  <c r="E309" i="8"/>
  <c r="G299" i="8"/>
  <c r="G289" i="8"/>
  <c r="M168" i="7"/>
  <c r="L168" i="7" s="1"/>
  <c r="U66" i="10"/>
  <c r="W66" i="10" s="1"/>
  <c r="V67" i="10" s="1"/>
  <c r="W67" i="10" s="1"/>
  <c r="V68" i="10" s="1"/>
  <c r="E321" i="8"/>
  <c r="R68" i="10"/>
  <c r="U67" i="10"/>
  <c r="T67" i="10"/>
  <c r="O77" i="10"/>
  <c r="N78" i="10" s="1"/>
  <c r="O78" i="10" s="1"/>
  <c r="N79" i="10" s="1"/>
  <c r="G301" i="8" l="1"/>
  <c r="F308" i="8"/>
  <c r="E318" i="8"/>
  <c r="F319" i="8" s="1"/>
  <c r="F320" i="8" s="1"/>
  <c r="F321" i="8" s="1"/>
  <c r="E326" i="8"/>
  <c r="F327" i="8" s="1"/>
  <c r="F328" i="8" s="1"/>
  <c r="F329" i="8" s="1"/>
  <c r="G292" i="8"/>
  <c r="E317" i="8"/>
  <c r="F315" i="8" s="1"/>
  <c r="H275" i="8"/>
  <c r="E325" i="8"/>
  <c r="F323" i="8" s="1"/>
  <c r="H276" i="8"/>
  <c r="F307" i="8"/>
  <c r="F309" i="8" s="1"/>
  <c r="G291" i="8"/>
  <c r="G293" i="8" s="1"/>
  <c r="F316" i="8"/>
  <c r="P74" i="10"/>
  <c r="G286" i="8"/>
  <c r="H287" i="8" s="1"/>
  <c r="H288" i="8" s="1"/>
  <c r="H289" i="8" s="1"/>
  <c r="J80" i="10"/>
  <c r="M79" i="10"/>
  <c r="O79" i="10" s="1"/>
  <c r="N80" i="10" s="1"/>
  <c r="L79" i="10"/>
  <c r="G302" i="8"/>
  <c r="H303" i="8" s="1"/>
  <c r="H304" i="8" s="1"/>
  <c r="H305" i="8" s="1"/>
  <c r="F313" i="8"/>
  <c r="M169" i="7"/>
  <c r="T68" i="10"/>
  <c r="R69" i="10"/>
  <c r="U68" i="10"/>
  <c r="W68" i="10" s="1"/>
  <c r="V69" i="10" s="1"/>
  <c r="D107" i="10"/>
  <c r="B108" i="10"/>
  <c r="E107" i="10"/>
  <c r="H107" i="10" s="1"/>
  <c r="G285" i="8"/>
  <c r="H283" i="8" s="1"/>
  <c r="H277" i="8" l="1"/>
  <c r="G294" i="8"/>
  <c r="H295" i="8" s="1"/>
  <c r="H296" i="8" s="1"/>
  <c r="H297" i="8" s="1"/>
  <c r="H291" i="8"/>
  <c r="F317" i="8"/>
  <c r="H300" i="8"/>
  <c r="F310" i="8"/>
  <c r="G311" i="8" s="1"/>
  <c r="G312" i="8" s="1"/>
  <c r="G313" i="8" s="1"/>
  <c r="H278" i="8"/>
  <c r="G307" i="8"/>
  <c r="H284" i="8"/>
  <c r="H286" i="8" s="1"/>
  <c r="F324" i="8"/>
  <c r="R70" i="10"/>
  <c r="U69" i="10"/>
  <c r="W69" i="10" s="1"/>
  <c r="V70" i="10" s="1"/>
  <c r="T69" i="10"/>
  <c r="H299" i="8"/>
  <c r="H302" i="8" s="1"/>
  <c r="P75" i="10"/>
  <c r="G308" i="8"/>
  <c r="L169" i="7"/>
  <c r="M170" i="7" s="1"/>
  <c r="J81" i="10"/>
  <c r="M80" i="10"/>
  <c r="O80" i="10" s="1"/>
  <c r="N81" i="10" s="1"/>
  <c r="L80" i="10"/>
  <c r="E108" i="10"/>
  <c r="H108" i="10" s="1"/>
  <c r="D108" i="10"/>
  <c r="B109" i="10"/>
  <c r="G107" i="10"/>
  <c r="F108" i="10" s="1"/>
  <c r="F318" i="8"/>
  <c r="H292" i="8"/>
  <c r="H293" i="8" s="1"/>
  <c r="G309" i="8" l="1"/>
  <c r="F325" i="8"/>
  <c r="F326" i="8"/>
  <c r="G327" i="8" s="1"/>
  <c r="G328" i="8" s="1"/>
  <c r="H285" i="8"/>
  <c r="H308" i="8"/>
  <c r="G310" i="8"/>
  <c r="H311" i="8" s="1"/>
  <c r="H312" i="8" s="1"/>
  <c r="H313" i="8" s="1"/>
  <c r="P76" i="10"/>
  <c r="L170" i="7"/>
  <c r="T70" i="10"/>
  <c r="R71" i="10"/>
  <c r="U70" i="10"/>
  <c r="W70" i="10" s="1"/>
  <c r="V71" i="10" s="1"/>
  <c r="J82" i="10"/>
  <c r="M81" i="10"/>
  <c r="O81" i="10" s="1"/>
  <c r="N82" i="10" s="1"/>
  <c r="L81" i="10"/>
  <c r="P77" i="10" s="1"/>
  <c r="G319" i="8"/>
  <c r="G320" i="8" s="1"/>
  <c r="G316" i="8"/>
  <c r="G315" i="8"/>
  <c r="G108" i="10"/>
  <c r="F109" i="10" s="1"/>
  <c r="G109" i="10" s="1"/>
  <c r="F110" i="10" s="1"/>
  <c r="B110" i="10"/>
  <c r="E109" i="10"/>
  <c r="H109" i="10" s="1"/>
  <c r="D109" i="10"/>
  <c r="H294" i="8"/>
  <c r="H301" i="8"/>
  <c r="G317" i="8" l="1"/>
  <c r="G329" i="8"/>
  <c r="G324" i="8"/>
  <c r="G323" i="8"/>
  <c r="G318" i="8"/>
  <c r="H319" i="8" s="1"/>
  <c r="H320" i="8" s="1"/>
  <c r="H321" i="8" s="1"/>
  <c r="R72" i="10"/>
  <c r="U71" i="10"/>
  <c r="W71" i="10" s="1"/>
  <c r="V72" i="10" s="1"/>
  <c r="T71" i="10"/>
  <c r="M171" i="7"/>
  <c r="G321" i="8"/>
  <c r="J83" i="10"/>
  <c r="M82" i="10"/>
  <c r="O82" i="10" s="1"/>
  <c r="N83" i="10" s="1"/>
  <c r="L82" i="10"/>
  <c r="B111" i="10"/>
  <c r="D110" i="10"/>
  <c r="E110" i="10"/>
  <c r="H110" i="10" s="1"/>
  <c r="P78" i="10"/>
  <c r="H307" i="8"/>
  <c r="H310" i="8" s="1"/>
  <c r="H316" i="8" l="1"/>
  <c r="G326" i="8"/>
  <c r="H327" i="8" s="1"/>
  <c r="H328" i="8" s="1"/>
  <c r="H329" i="8" s="1"/>
  <c r="G325" i="8"/>
  <c r="H324" i="8" s="1"/>
  <c r="T72" i="10"/>
  <c r="R73" i="10"/>
  <c r="U72" i="10"/>
  <c r="W72" i="10" s="1"/>
  <c r="V73" i="10" s="1"/>
  <c r="D111" i="10"/>
  <c r="B112" i="10"/>
  <c r="E111" i="10"/>
  <c r="H111" i="10" s="1"/>
  <c r="H309" i="8"/>
  <c r="H315" i="8"/>
  <c r="H318" i="8" s="1"/>
  <c r="G110" i="10"/>
  <c r="F111" i="10" s="1"/>
  <c r="G111" i="10" s="1"/>
  <c r="F112" i="10" s="1"/>
  <c r="P79" i="10"/>
  <c r="J84" i="10"/>
  <c r="M83" i="10"/>
  <c r="O83" i="10" s="1"/>
  <c r="N84" i="10" s="1"/>
  <c r="L83" i="10"/>
  <c r="L171" i="7"/>
  <c r="M172" i="7" s="1"/>
  <c r="H323" i="8" l="1"/>
  <c r="H326" i="8" s="1"/>
  <c r="R74" i="10"/>
  <c r="U73" i="10"/>
  <c r="W73" i="10" s="1"/>
  <c r="V74" i="10" s="1"/>
  <c r="T73" i="10"/>
  <c r="H317" i="8"/>
  <c r="L172" i="7"/>
  <c r="J85" i="10"/>
  <c r="M84" i="10"/>
  <c r="O84" i="10" s="1"/>
  <c r="N85" i="10" s="1"/>
  <c r="L84" i="10"/>
  <c r="E112" i="10"/>
  <c r="H112" i="10" s="1"/>
  <c r="D112" i="10"/>
  <c r="B113" i="10"/>
  <c r="H325" i="8" l="1"/>
  <c r="T74" i="10"/>
  <c r="R75" i="10"/>
  <c r="U74" i="10"/>
  <c r="W74" i="10" s="1"/>
  <c r="V75" i="10" s="1"/>
  <c r="G112" i="10"/>
  <c r="F113" i="10" s="1"/>
  <c r="L85" i="10"/>
  <c r="M85" i="10"/>
  <c r="O85" i="10" s="1"/>
  <c r="N86" i="10" s="1"/>
  <c r="J86" i="10"/>
  <c r="B114" i="10"/>
  <c r="E113" i="10"/>
  <c r="H113" i="10" s="1"/>
  <c r="D113" i="10"/>
  <c r="P80" i="10"/>
  <c r="M173" i="7"/>
  <c r="R76" i="10" l="1"/>
  <c r="U75" i="10"/>
  <c r="W75" i="10" s="1"/>
  <c r="V76" i="10" s="1"/>
  <c r="T75" i="10"/>
  <c r="B115" i="10"/>
  <c r="D114" i="10"/>
  <c r="E114" i="10"/>
  <c r="H114" i="10" s="1"/>
  <c r="P81" i="10"/>
  <c r="J87" i="10"/>
  <c r="M86" i="10"/>
  <c r="O86" i="10" s="1"/>
  <c r="N87" i="10" s="1"/>
  <c r="L86" i="10"/>
  <c r="L173" i="7"/>
  <c r="G113" i="10"/>
  <c r="F114" i="10" s="1"/>
  <c r="G114" i="10" s="1"/>
  <c r="F115" i="10" s="1"/>
  <c r="D115" i="10" l="1"/>
  <c r="B116" i="10"/>
  <c r="E115" i="10"/>
  <c r="H115" i="10" s="1"/>
  <c r="T76" i="10"/>
  <c r="R77" i="10"/>
  <c r="U76" i="10"/>
  <c r="W76" i="10" s="1"/>
  <c r="V77" i="10" s="1"/>
  <c r="P82" i="10"/>
  <c r="M87" i="10"/>
  <c r="O87" i="10" s="1"/>
  <c r="N88" i="10" s="1"/>
  <c r="L87" i="10"/>
  <c r="J88" i="10"/>
  <c r="M174" i="7"/>
  <c r="R78" i="10" l="1"/>
  <c r="U77" i="10"/>
  <c r="W77" i="10" s="1"/>
  <c r="V78" i="10" s="1"/>
  <c r="T77" i="10"/>
  <c r="E116" i="10"/>
  <c r="H116" i="10" s="1"/>
  <c r="D116" i="10"/>
  <c r="B117" i="10"/>
  <c r="J89" i="10"/>
  <c r="M88" i="10"/>
  <c r="O88" i="10" s="1"/>
  <c r="N89" i="10" s="1"/>
  <c r="L88" i="10"/>
  <c r="L174" i="7"/>
  <c r="M175" i="7" s="1"/>
  <c r="P83" i="10"/>
  <c r="G115" i="10"/>
  <c r="F116" i="10" s="1"/>
  <c r="T78" i="10" l="1"/>
  <c r="R79" i="10"/>
  <c r="U78" i="10"/>
  <c r="W78" i="10" s="1"/>
  <c r="V79" i="10" s="1"/>
  <c r="G116" i="10"/>
  <c r="F117" i="10" s="1"/>
  <c r="M89" i="10"/>
  <c r="O89" i="10" s="1"/>
  <c r="N90" i="10" s="1"/>
  <c r="L89" i="10"/>
  <c r="J90" i="10"/>
  <c r="L175" i="7"/>
  <c r="P84" i="10"/>
  <c r="B118" i="10"/>
  <c r="E117" i="10"/>
  <c r="H117" i="10" s="1"/>
  <c r="D117" i="10"/>
  <c r="B119" i="10" l="1"/>
  <c r="D118" i="10"/>
  <c r="E118" i="10"/>
  <c r="H118" i="10" s="1"/>
  <c r="P85" i="10"/>
  <c r="J91" i="10"/>
  <c r="M90" i="10"/>
  <c r="O90" i="10" s="1"/>
  <c r="N91" i="10" s="1"/>
  <c r="L90" i="10"/>
  <c r="R80" i="10"/>
  <c r="U79" i="10"/>
  <c r="W79" i="10" s="1"/>
  <c r="V80" i="10" s="1"/>
  <c r="T79" i="10"/>
  <c r="G117" i="10"/>
  <c r="F118" i="10" s="1"/>
  <c r="G118" i="10" s="1"/>
  <c r="F119" i="10" s="1"/>
  <c r="M176" i="7"/>
  <c r="L176" i="7" s="1"/>
  <c r="T80" i="10" l="1"/>
  <c r="R81" i="10"/>
  <c r="U80" i="10"/>
  <c r="W80" i="10" s="1"/>
  <c r="V81" i="10" s="1"/>
  <c r="D119" i="10"/>
  <c r="B120" i="10"/>
  <c r="E119" i="10"/>
  <c r="H119" i="10" s="1"/>
  <c r="P86" i="10"/>
  <c r="M91" i="10"/>
  <c r="O91" i="10" s="1"/>
  <c r="N92" i="10" s="1"/>
  <c r="L91" i="10"/>
  <c r="J92" i="10"/>
  <c r="M177" i="7"/>
  <c r="J93" i="10" l="1"/>
  <c r="M92" i="10"/>
  <c r="O92" i="10" s="1"/>
  <c r="N93" i="10" s="1"/>
  <c r="L92" i="10"/>
  <c r="E120" i="10"/>
  <c r="H120" i="10" s="1"/>
  <c r="D120" i="10"/>
  <c r="B121" i="10"/>
  <c r="R82" i="10"/>
  <c r="U81" i="10"/>
  <c r="W81" i="10" s="1"/>
  <c r="V82" i="10" s="1"/>
  <c r="T81" i="10"/>
  <c r="P87" i="10"/>
  <c r="G119" i="10"/>
  <c r="F120" i="10" s="1"/>
  <c r="L177" i="7"/>
  <c r="M178" i="7" s="1"/>
  <c r="M93" i="10" l="1"/>
  <c r="O93" i="10" s="1"/>
  <c r="N94" i="10" s="1"/>
  <c r="L93" i="10"/>
  <c r="J94" i="10"/>
  <c r="P88" i="10"/>
  <c r="T82" i="10"/>
  <c r="R83" i="10"/>
  <c r="U82" i="10"/>
  <c r="W82" i="10" s="1"/>
  <c r="V83" i="10" s="1"/>
  <c r="L178" i="7"/>
  <c r="G120" i="10"/>
  <c r="F121" i="10" s="1"/>
  <c r="B122" i="10"/>
  <c r="E121" i="10"/>
  <c r="H121" i="10" s="1"/>
  <c r="D121" i="10"/>
  <c r="J95" i="10" l="1"/>
  <c r="M94" i="10"/>
  <c r="O94" i="10" s="1"/>
  <c r="N95" i="10" s="1"/>
  <c r="L94" i="10"/>
  <c r="G121" i="10"/>
  <c r="F122" i="10" s="1"/>
  <c r="R84" i="10"/>
  <c r="U83" i="10"/>
  <c r="W83" i="10" s="1"/>
  <c r="V84" i="10" s="1"/>
  <c r="T83" i="10"/>
  <c r="M179" i="7"/>
  <c r="L179" i="7" s="1"/>
  <c r="B123" i="10"/>
  <c r="D122" i="10"/>
  <c r="E122" i="10"/>
  <c r="H122" i="10" s="1"/>
  <c r="P89" i="10"/>
  <c r="P90" i="10"/>
  <c r="R85" i="10" l="1"/>
  <c r="U84" i="10"/>
  <c r="W84" i="10" s="1"/>
  <c r="V85" i="10" s="1"/>
  <c r="T84" i="10"/>
  <c r="G122" i="10"/>
  <c r="F123" i="10" s="1"/>
  <c r="D123" i="10"/>
  <c r="B124" i="10"/>
  <c r="E123" i="10"/>
  <c r="H123" i="10" s="1"/>
  <c r="M180" i="7"/>
  <c r="M95" i="10"/>
  <c r="O95" i="10" s="1"/>
  <c r="N96" i="10" s="1"/>
  <c r="L95" i="10"/>
  <c r="J96" i="10"/>
  <c r="P91" i="10" l="1"/>
  <c r="M96" i="10"/>
  <c r="O96" i="10" s="1"/>
  <c r="N97" i="10" s="1"/>
  <c r="L96" i="10"/>
  <c r="J97" i="10"/>
  <c r="E124" i="10"/>
  <c r="H124" i="10" s="1"/>
  <c r="D124" i="10"/>
  <c r="B125" i="10"/>
  <c r="L180" i="7"/>
  <c r="R86" i="10"/>
  <c r="U85" i="10"/>
  <c r="W85" i="10" s="1"/>
  <c r="V86" i="10" s="1"/>
  <c r="T85" i="10"/>
  <c r="G123" i="10"/>
  <c r="F124" i="10" s="1"/>
  <c r="G124" i="10" s="1"/>
  <c r="F125" i="10" s="1"/>
  <c r="J98" i="10" l="1"/>
  <c r="M97" i="10"/>
  <c r="O97" i="10" s="1"/>
  <c r="N98" i="10" s="1"/>
  <c r="L97" i="10"/>
  <c r="P92" i="10"/>
  <c r="P93" i="10"/>
  <c r="R87" i="10"/>
  <c r="T86" i="10"/>
  <c r="U86" i="10"/>
  <c r="W86" i="10" s="1"/>
  <c r="V87" i="10" s="1"/>
  <c r="B126" i="10"/>
  <c r="E125" i="10"/>
  <c r="H125" i="10" s="1"/>
  <c r="D125" i="10"/>
  <c r="M181" i="7"/>
  <c r="B127" i="10" l="1"/>
  <c r="D126" i="10"/>
  <c r="E126" i="10"/>
  <c r="H126" i="10" s="1"/>
  <c r="P94" i="10"/>
  <c r="T87" i="10"/>
  <c r="R88" i="10"/>
  <c r="U87" i="10"/>
  <c r="W87" i="10" s="1"/>
  <c r="V88" i="10" s="1"/>
  <c r="J99" i="10"/>
  <c r="M98" i="10"/>
  <c r="O98" i="10" s="1"/>
  <c r="N99" i="10" s="1"/>
  <c r="L98" i="10"/>
  <c r="L181" i="7"/>
  <c r="G125" i="10"/>
  <c r="F126" i="10" s="1"/>
  <c r="G126" i="10" s="1"/>
  <c r="F127" i="10" s="1"/>
  <c r="M99" i="10" l="1"/>
  <c r="O99" i="10" s="1"/>
  <c r="N100" i="10" s="1"/>
  <c r="L99" i="10"/>
  <c r="J100" i="10"/>
  <c r="D127" i="10"/>
  <c r="B128" i="10"/>
  <c r="E127" i="10"/>
  <c r="H127" i="10" s="1"/>
  <c r="M182" i="7"/>
  <c r="L182" i="7" s="1"/>
  <c r="R89" i="10"/>
  <c r="T88" i="10"/>
  <c r="U88" i="10"/>
  <c r="W88" i="10" s="1"/>
  <c r="V89" i="10" s="1"/>
  <c r="P95" i="10" l="1"/>
  <c r="G127" i="10"/>
  <c r="F128" i="10" s="1"/>
  <c r="E128" i="10"/>
  <c r="H128" i="10" s="1"/>
  <c r="D128" i="10"/>
  <c r="T89" i="10"/>
  <c r="R90" i="10"/>
  <c r="U89" i="10"/>
  <c r="W89" i="10" s="1"/>
  <c r="V90" i="10" s="1"/>
  <c r="M183" i="7"/>
  <c r="M100" i="10"/>
  <c r="O100" i="10" s="1"/>
  <c r="N101" i="10" s="1"/>
  <c r="L100" i="10"/>
  <c r="J101" i="10"/>
  <c r="P96" i="10" l="1"/>
  <c r="J102" i="10"/>
  <c r="M101" i="10"/>
  <c r="O101" i="10" s="1"/>
  <c r="N102" i="10" s="1"/>
  <c r="L101" i="10"/>
  <c r="G128" i="10"/>
  <c r="P97" i="10"/>
  <c r="R91" i="10"/>
  <c r="U90" i="10"/>
  <c r="W90" i="10" s="1"/>
  <c r="V91" i="10" s="1"/>
  <c r="T90" i="10"/>
  <c r="L183" i="7"/>
  <c r="J103" i="10" l="1"/>
  <c r="M102" i="10"/>
  <c r="O102" i="10" s="1"/>
  <c r="N103" i="10" s="1"/>
  <c r="L102" i="10"/>
  <c r="M184" i="7"/>
  <c r="T91" i="10"/>
  <c r="R92" i="10"/>
  <c r="U91" i="10"/>
  <c r="W91" i="10" s="1"/>
  <c r="V92" i="10" s="1"/>
  <c r="M103" i="10" l="1"/>
  <c r="O103" i="10" s="1"/>
  <c r="N104" i="10" s="1"/>
  <c r="L103" i="10"/>
  <c r="J104" i="10"/>
  <c r="P99" i="10"/>
  <c r="P98" i="10"/>
  <c r="L184" i="7"/>
  <c r="R93" i="10"/>
  <c r="U92" i="10"/>
  <c r="W92" i="10" s="1"/>
  <c r="V93" i="10" s="1"/>
  <c r="T92" i="10"/>
  <c r="M104" i="10" l="1"/>
  <c r="O104" i="10" s="1"/>
  <c r="N105" i="10" s="1"/>
  <c r="L104" i="10"/>
  <c r="J105" i="10"/>
  <c r="M185" i="7"/>
  <c r="L185" i="7" s="1"/>
  <c r="T93" i="10"/>
  <c r="R94" i="10"/>
  <c r="U93" i="10"/>
  <c r="W93" i="10" s="1"/>
  <c r="V94" i="10" s="1"/>
  <c r="P100" i="10"/>
  <c r="J106" i="10" l="1"/>
  <c r="M105" i="10"/>
  <c r="O105" i="10" s="1"/>
  <c r="N106" i="10" s="1"/>
  <c r="L105" i="10"/>
  <c r="R95" i="10"/>
  <c r="U94" i="10"/>
  <c r="W94" i="10" s="1"/>
  <c r="V95" i="10" s="1"/>
  <c r="T94" i="10"/>
  <c r="M186" i="7"/>
  <c r="P101" i="10" l="1"/>
  <c r="J107" i="10"/>
  <c r="M106" i="10"/>
  <c r="O106" i="10" s="1"/>
  <c r="N107" i="10" s="1"/>
  <c r="L106" i="10"/>
  <c r="T95" i="10"/>
  <c r="U95" i="10"/>
  <c r="W95" i="10" s="1"/>
  <c r="L186" i="7"/>
  <c r="P102" i="10" l="1"/>
  <c r="P103" i="10"/>
  <c r="M107" i="10"/>
  <c r="O107" i="10" s="1"/>
  <c r="N108" i="10" s="1"/>
  <c r="L107" i="10"/>
  <c r="J108" i="10"/>
  <c r="M187" i="7"/>
  <c r="L187" i="7" s="1"/>
  <c r="M108" i="10" l="1"/>
  <c r="O108" i="10" s="1"/>
  <c r="N109" i="10" s="1"/>
  <c r="L108" i="10"/>
  <c r="J109" i="10"/>
  <c r="M188" i="7"/>
  <c r="J110" i="10" l="1"/>
  <c r="M109" i="10"/>
  <c r="O109" i="10" s="1"/>
  <c r="N110" i="10" s="1"/>
  <c r="L109" i="10"/>
  <c r="P104" i="10"/>
  <c r="L188" i="7"/>
  <c r="J111" i="10" l="1"/>
  <c r="M110" i="10"/>
  <c r="O110" i="10" s="1"/>
  <c r="N111" i="10" s="1"/>
  <c r="L110" i="10"/>
  <c r="M189" i="7"/>
  <c r="P105" i="10"/>
  <c r="L189" i="7" l="1"/>
  <c r="P106" i="10"/>
  <c r="M111" i="10"/>
  <c r="O111" i="10" s="1"/>
  <c r="N112" i="10" s="1"/>
  <c r="L111" i="10"/>
  <c r="J112" i="10"/>
  <c r="P108" i="10" l="1"/>
  <c r="M190" i="7"/>
  <c r="P107" i="10"/>
  <c r="M112" i="10"/>
  <c r="O112" i="10" s="1"/>
  <c r="N113" i="10" s="1"/>
  <c r="L112" i="10"/>
  <c r="J113" i="10"/>
  <c r="L190" i="7" l="1"/>
  <c r="M191" i="7" s="1"/>
  <c r="J114" i="10"/>
  <c r="M113" i="10"/>
  <c r="O113" i="10" s="1"/>
  <c r="N114" i="10" s="1"/>
  <c r="L113" i="10"/>
  <c r="P109" i="10" l="1"/>
  <c r="P110" i="10"/>
  <c r="J115" i="10"/>
  <c r="M114" i="10"/>
  <c r="O114" i="10" s="1"/>
  <c r="N115" i="10" s="1"/>
  <c r="L114" i="10"/>
  <c r="L191" i="7"/>
  <c r="M115" i="10" l="1"/>
  <c r="O115" i="10" s="1"/>
  <c r="N116" i="10" s="1"/>
  <c r="L115" i="10"/>
  <c r="J116" i="10"/>
  <c r="M192" i="7"/>
  <c r="L192" i="7" s="1"/>
  <c r="P111" i="10" l="1"/>
  <c r="M193" i="7"/>
  <c r="M116" i="10"/>
  <c r="O116" i="10" s="1"/>
  <c r="N117" i="10" s="1"/>
  <c r="L116" i="10"/>
  <c r="J117" i="10"/>
  <c r="P112" i="10" l="1"/>
  <c r="P113" i="10"/>
  <c r="J118" i="10"/>
  <c r="M117" i="10"/>
  <c r="O117" i="10" s="1"/>
  <c r="N118" i="10" s="1"/>
  <c r="L117" i="10"/>
  <c r="L193" i="7"/>
  <c r="M194" i="7" s="1"/>
  <c r="J119" i="10" l="1"/>
  <c r="M118" i="10"/>
  <c r="O118" i="10" s="1"/>
  <c r="N119" i="10" s="1"/>
  <c r="L118" i="10"/>
  <c r="L194" i="7"/>
  <c r="P114" i="10" l="1"/>
  <c r="M119" i="10"/>
  <c r="O119" i="10" s="1"/>
  <c r="N120" i="10" s="1"/>
  <c r="L119" i="10"/>
  <c r="J120" i="10"/>
  <c r="M195" i="7"/>
  <c r="L195" i="7" s="1"/>
  <c r="P115" i="10" l="1"/>
  <c r="M196" i="7"/>
  <c r="M120" i="10"/>
  <c r="O120" i="10" s="1"/>
  <c r="N121" i="10" s="1"/>
  <c r="L120" i="10"/>
  <c r="J121" i="10"/>
  <c r="J122" i="10" l="1"/>
  <c r="M121" i="10"/>
  <c r="O121" i="10" s="1"/>
  <c r="N122" i="10" s="1"/>
  <c r="L121" i="10"/>
  <c r="P116" i="10"/>
  <c r="L196" i="7"/>
  <c r="P118" i="10" l="1"/>
  <c r="P117" i="10"/>
  <c r="J123" i="10"/>
  <c r="M122" i="10"/>
  <c r="O122" i="10" s="1"/>
  <c r="N123" i="10" s="1"/>
  <c r="L122" i="10"/>
  <c r="M197" i="7"/>
  <c r="M123" i="10" l="1"/>
  <c r="O123" i="10" s="1"/>
  <c r="N124" i="10" s="1"/>
  <c r="L123" i="10"/>
  <c r="J124" i="10"/>
  <c r="L197" i="7"/>
  <c r="M198" i="7" s="1"/>
  <c r="M124" i="10" l="1"/>
  <c r="O124" i="10" s="1"/>
  <c r="N125" i="10" s="1"/>
  <c r="L124" i="10"/>
  <c r="J125" i="10"/>
  <c r="L198" i="7"/>
  <c r="P119" i="10"/>
  <c r="J126" i="10" l="1"/>
  <c r="M125" i="10"/>
  <c r="O125" i="10" s="1"/>
  <c r="N126" i="10" s="1"/>
  <c r="L125" i="10"/>
  <c r="P120" i="10"/>
  <c r="M199" i="7"/>
  <c r="L199" i="7" s="1"/>
  <c r="P121" i="10" l="1"/>
  <c r="J127" i="10"/>
  <c r="M126" i="10"/>
  <c r="O126" i="10" s="1"/>
  <c r="N127" i="10" s="1"/>
  <c r="L126" i="10"/>
  <c r="M200" i="7"/>
  <c r="P122" i="10" l="1"/>
  <c r="M127" i="10"/>
  <c r="O127" i="10" s="1"/>
  <c r="N128" i="10" s="1"/>
  <c r="L127" i="10"/>
  <c r="J128" i="10"/>
  <c r="L200" i="7"/>
  <c r="M128" i="10" l="1"/>
  <c r="O128" i="10" s="1"/>
  <c r="N129" i="10" s="1"/>
  <c r="L128" i="10"/>
  <c r="J129" i="10"/>
  <c r="P124" i="10"/>
  <c r="M201" i="7"/>
  <c r="L201" i="7" s="1"/>
  <c r="P123" i="10"/>
  <c r="M129" i="10" l="1"/>
  <c r="O129" i="10" s="1"/>
  <c r="L129" i="10"/>
  <c r="P128" i="10"/>
  <c r="P125" i="10"/>
  <c r="M202" i="7"/>
  <c r="P129" i="10" l="1"/>
  <c r="P127" i="10"/>
  <c r="P126" i="10"/>
  <c r="L202" i="7"/>
  <c r="M203" i="7" l="1"/>
  <c r="L203" i="7" l="1"/>
  <c r="M204" i="7" l="1"/>
  <c r="L204" i="7" l="1"/>
  <c r="M205" i="7" l="1"/>
  <c r="L205" i="7" l="1"/>
  <c r="M206" i="7" l="1"/>
  <c r="L206" i="7" l="1"/>
  <c r="M207" i="7" l="1"/>
  <c r="L207" i="7" l="1"/>
  <c r="M208" i="7" l="1"/>
  <c r="L208" i="7" l="1"/>
  <c r="M209" i="7" l="1"/>
  <c r="L209" i="7" l="1"/>
  <c r="M210" i="7" l="1"/>
  <c r="L210" i="7" l="1"/>
  <c r="M211" i="7" l="1"/>
  <c r="L211" i="7" l="1"/>
  <c r="M212" i="7" l="1"/>
  <c r="L212" i="7" l="1"/>
  <c r="M213" i="7" l="1"/>
  <c r="L213" i="7" l="1"/>
  <c r="M214" i="7" l="1"/>
  <c r="L214" i="7" l="1"/>
  <c r="M215" i="7" l="1"/>
  <c r="L215" i="7" l="1"/>
  <c r="M216" i="7" l="1"/>
  <c r="L216" i="7" l="1"/>
  <c r="M217" i="7" l="1"/>
  <c r="L217" i="7" l="1"/>
  <c r="M218" i="7" l="1"/>
  <c r="L218" i="7" l="1"/>
  <c r="M219" i="7" l="1"/>
  <c r="L219" i="7" l="1"/>
  <c r="M220" i="7" l="1"/>
  <c r="L220" i="7" l="1"/>
  <c r="M221" i="7" l="1"/>
  <c r="L221" i="7" l="1"/>
  <c r="M222" i="7" l="1"/>
  <c r="L222" i="7" l="1"/>
  <c r="M223" i="7" l="1"/>
  <c r="L223" i="7" l="1"/>
  <c r="M224" i="7" l="1"/>
  <c r="L224" i="7" l="1"/>
  <c r="M225" i="7" l="1"/>
  <c r="L225" i="7" l="1"/>
  <c r="M226" i="7" l="1"/>
  <c r="L226" i="7" l="1"/>
  <c r="M227" i="7" l="1"/>
  <c r="L227" i="7" l="1"/>
  <c r="M228" i="7" l="1"/>
  <c r="L228" i="7" l="1"/>
  <c r="M229" i="7" s="1"/>
  <c r="O30" i="21"/>
  <c r="G550" i="13"/>
  <c r="N30" i="21"/>
  <c r="B550" i="13"/>
  <c r="P30" i="21"/>
  <c r="E550" i="13"/>
  <c r="Q30" i="21"/>
  <c r="M30" i="21"/>
  <c r="C550" i="13"/>
  <c r="J30" i="21"/>
  <c r="R30" i="21"/>
  <c r="U30" i="21"/>
  <c r="D550" i="13"/>
  <c r="I30" i="21"/>
  <c r="F550" i="13"/>
  <c r="T30" i="21"/>
  <c r="S30" i="2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100-000001000000}">
      <text>
        <r>
          <rPr>
            <sz val="11"/>
            <color rgb="FF000000"/>
            <rFont val="Calibri"/>
            <family val="2"/>
            <charset val="1"/>
          </rPr>
          <t xml:space="preserve">Help: Use this Excel sheet to calculate upto 5 Vimsottari Dasas. All portions in Bold and Italic  are input cells. Use these cells to input chart information like Planet Postions and Date of Birth are Vimosottari Dasa beginning parameter.
</t>
        </r>
      </text>
    </comment>
    <comment ref="J7" authorId="0" shapeId="0" xr:uid="{00000000-0006-0000-0100-000006000000}">
      <text>
        <r>
          <rPr>
            <sz val="11"/>
            <color rgb="FF000000"/>
            <rFont val="Calibri"/>
            <family val="2"/>
            <charset val="1"/>
          </rPr>
          <t xml:space="preserve">Enter the Planet names and positions in these cells. Use Only the Yellow Cell. For sign Postions use Ar,Ta etc Symbols.
Format is like 12 Cn 39 for 12^39" Cancer
</t>
        </r>
        <r>
          <rPr>
            <sz val="8"/>
            <color rgb="FF000000"/>
            <rFont val="Arial"/>
            <family val="2"/>
            <charset val="1"/>
          </rPr>
          <t xml:space="preserve">
</t>
        </r>
        <r>
          <rPr>
            <sz val="8"/>
            <color rgb="FF000000"/>
            <rFont val="Calibri"/>
            <family val="2"/>
            <charset val="1"/>
          </rPr>
          <t xml:space="preserve">Tip:You can Paste these from JHL. 
   In JHL. Copy Calculations as text and Paste the chart into a Notepad. Select only Planet positions lines from Ascdt to Gulika. Copy them to clip board Ctrl-C. Select the Yellow Portions in the Excel Sheet press Delete Key and then paste i.e Ctrl-V. Select from menu Data;Text to Columns. to convert them to cells.
</t>
        </r>
        <r>
          <rPr>
            <sz val="8"/>
            <color rgb="FF000000"/>
            <rFont val="Arial"/>
            <family val="2"/>
            <charset val="1"/>
          </rPr>
          <t xml:space="preserve">
</t>
        </r>
        <r>
          <rPr>
            <sz val="8"/>
            <color rgb="FF000000"/>
            <rFont val="Calibri"/>
            <family val="2"/>
            <charset val="1"/>
          </rPr>
          <t xml:space="preserve">    </t>
        </r>
      </text>
    </comment>
    <comment ref="G31" authorId="0" shapeId="0" xr:uid="{00000000-0006-0000-0100-000004000000}">
      <text>
        <r>
          <rPr>
            <sz val="11"/>
            <color rgb="FF000000"/>
            <rFont val="Calibri"/>
            <family val="2"/>
            <charset val="1"/>
          </rPr>
          <t xml:space="preserve">Find the constellation occupied by natal Moon. Find the fraction traversed by
Moon in that constellation. Find the same fraction of the zodiac (360 degrees).
Add that to natal lagna. The result is called "Sree Lagna" (SL). Sree means
"prosperous" and it also stands for "Goddess Lakshmi", who is in charge of money
in Hindu mythology.
</t>
        </r>
      </text>
    </comment>
    <comment ref="A32" authorId="0" shapeId="0" xr:uid="{00000000-0006-0000-0100-00000200000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 ref="G32" authorId="0" shapeId="0" xr:uid="{00000000-0006-0000-0100-000005000000}">
      <text>
        <r>
          <rPr>
            <sz val="11"/>
            <color rgb="FF000000"/>
            <rFont val="Calibri"/>
            <family val="2"/>
            <charset val="1"/>
          </rPr>
          <t xml:space="preserve">Take the longitudes of lagna and horalagna (HL). If one of them is in an even sign, subtract the longitude from 360 deg. Add the two longitudes if lagna and HL are in the sign of same oddity (odd-odd or even-even). If one is in an odd sign and the
other in an even sign, take the difference instead. If lagna is in an even sign, subtract this result from 360 deg. The final result gives the longitude of VL.
</t>
        </r>
      </text>
    </comment>
    <comment ref="A33" authorId="0" shapeId="0" xr:uid="{00000000-0006-0000-0100-000003000000}">
      <text>
        <r>
          <rPr>
            <sz val="11"/>
            <color rgb="FF000000"/>
            <rFont val="Calibri"/>
            <family val="2"/>
            <charset val="1"/>
          </rPr>
          <t xml:space="preserve">Varna means caste or class. It shows the type of people one deals with. VL in D-10 shows the kind of people one deals with in one's profession. A7 in D-10 can denote people one would ASSOCIATE with (colleagues, friends and people one hangs outwith) and VL in D-10 can denote people one would DEAL with.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00000000-0006-0000-0300-000001000000}">
      <text>
        <r>
          <rPr>
            <sz val="11"/>
            <color rgb="FF000000"/>
            <rFont val="Calibri"/>
            <family val="2"/>
            <charset val="1"/>
          </rPr>
          <t>Br. Nx Pf 72.</t>
        </r>
      </text>
    </comment>
    <comment ref="A8" authorId="0" shapeId="0" xr:uid="{00000000-0006-0000-0300-000002000000}">
      <text>
        <r>
          <rPr>
            <sz val="11"/>
            <color rgb="FF000000"/>
            <rFont val="Calibri"/>
            <family val="2"/>
            <charset val="1"/>
          </rPr>
          <t>Br Nx 139.</t>
        </r>
      </text>
    </comment>
    <comment ref="A9" authorId="0" shapeId="0" xr:uid="{00000000-0006-0000-0300-000003000000}">
      <text>
        <r>
          <rPr>
            <sz val="11"/>
            <color rgb="FF000000"/>
            <rFont val="Calibri"/>
            <family val="2"/>
            <charset val="1"/>
          </rPr>
          <t xml:space="preserve">Committment:
</t>
        </r>
      </text>
    </comment>
    <comment ref="A10" authorId="0" shapeId="0" xr:uid="{00000000-0006-0000-0300-000004000000}">
      <text>
        <r>
          <rPr>
            <sz val="11"/>
            <color rgb="FF000000"/>
            <rFont val="Calibri"/>
            <family val="2"/>
            <charset val="1"/>
          </rPr>
          <t xml:space="preserve">Assistant from Br. Nx
Destiny Ramesh from Srath Lectures.
Raajya Br. Nakshatra 
</t>
        </r>
      </text>
    </comment>
    <comment ref="A11" authorId="0" shapeId="0" xr:uid="{00000000-0006-0000-0300-000005000000}">
      <text>
        <r>
          <rPr>
            <sz val="11"/>
            <color rgb="FF000000"/>
            <rFont val="Calibri"/>
            <family val="2"/>
            <charset val="1"/>
          </rPr>
          <t>Ramesh from Srath Lectures.</t>
        </r>
      </text>
    </comment>
    <comment ref="A13" authorId="0" shapeId="0" xr:uid="{00000000-0006-0000-0300-000006000000}">
      <text>
        <r>
          <rPr>
            <sz val="11"/>
            <color rgb="FF000000"/>
            <rFont val="Calibri"/>
            <family val="2"/>
            <charset val="1"/>
          </rPr>
          <t xml:space="preserve">138Pg:
</t>
        </r>
      </text>
    </comment>
    <comment ref="A16" authorId="0" shapeId="0" xr:uid="{00000000-0006-0000-0300-000007000000}">
      <text>
        <r>
          <rPr>
            <sz val="11"/>
            <color rgb="FF000000"/>
            <rFont val="Calibri"/>
            <family val="2"/>
            <charset val="1"/>
          </rPr>
          <t xml:space="preserve">Sanjay Prabhakaran:
</t>
        </r>
      </text>
    </comment>
    <comment ref="A17" authorId="0" shapeId="0" xr:uid="{00000000-0006-0000-0300-000008000000}">
      <text>
        <r>
          <rPr>
            <sz val="11"/>
            <color rgb="FF000000"/>
            <rFont val="Calibri"/>
            <family val="2"/>
            <charset val="1"/>
          </rPr>
          <t>Ramesh from Srath Lecture. 20 Are u hearing or Listening.  Danta of Ganesha.</t>
        </r>
      </text>
    </comment>
    <comment ref="A18" authorId="0" shapeId="0" xr:uid="{00000000-0006-0000-0300-000009000000}">
      <text>
        <r>
          <rPr>
            <sz val="11"/>
            <color rgb="FF000000"/>
            <rFont val="Calibri"/>
            <family val="2"/>
            <charset val="1"/>
          </rPr>
          <t xml:space="preserve">Ramesh from Srath Lecture? 21: </t>
        </r>
      </text>
    </comment>
    <comment ref="A19" authorId="0" shapeId="0" xr:uid="{00000000-0006-0000-0300-00000A000000}">
      <text>
        <r>
          <rPr>
            <sz val="11"/>
            <color rgb="FF000000"/>
            <rFont val="Calibri"/>
            <family val="2"/>
            <charset val="1"/>
          </rPr>
          <t xml:space="preserve"> </t>
        </r>
      </text>
    </comment>
    <comment ref="A20" authorId="0" shapeId="0" xr:uid="{00000000-0006-0000-0300-00000B000000}">
      <text>
        <r>
          <rPr>
            <sz val="11"/>
            <color rgb="FF000000"/>
            <rFont val="Calibri"/>
            <family val="2"/>
            <charset val="1"/>
          </rPr>
          <t xml:space="preserve">BrNx 138
</t>
        </r>
      </text>
    </comment>
    <comment ref="A21" authorId="0" shapeId="0" xr:uid="{00000000-0006-0000-0300-00000C000000}">
      <text>
        <r>
          <rPr>
            <sz val="11"/>
            <color rgb="FF000000"/>
            <rFont val="Calibri"/>
            <family val="2"/>
            <charset val="1"/>
          </rPr>
          <t>Pg 139</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P2" authorId="0" shapeId="0" xr:uid="{00000000-0006-0000-0400-000001000000}">
      <text>
        <r>
          <rPr>
            <sz val="11"/>
            <color rgb="FF000000"/>
            <rFont val="Calibri"/>
            <family val="2"/>
            <charset val="1"/>
          </rPr>
          <t xml:space="preserve">Prabhakaran, Sanjay:
</t>
        </r>
        <r>
          <rPr>
            <sz val="9"/>
            <color rgb="FF000000"/>
            <rFont val="Tahoma"/>
            <charset val="1"/>
          </rPr>
          <t xml:space="preserve">Staana Gunanka
Exaltation 3
Moolatrikona 2
Own 3/2
Adimitra 4/3
Friend 6/5
Enemy ½
Adishatru 2/5
Neutral 1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4" authorId="0" shapeId="0" xr:uid="{00000000-0006-0000-0900-000001000000}">
      <text>
        <r>
          <rPr>
            <sz val="11"/>
            <color rgb="FF000000"/>
            <rFont val="Calibri"/>
            <family val="2"/>
            <charset val="1"/>
          </rPr>
          <t xml:space="preserve">Sanjay Prabhakaran:
</t>
        </r>
        <r>
          <rPr>
            <sz val="9"/>
            <color rgb="FF000000"/>
            <rFont val="Tahoma"/>
            <family val="2"/>
            <charset val="1"/>
          </rPr>
          <t>Black is Kriitaadi 
Bold mean 4x3 group</t>
        </r>
      </text>
    </comment>
    <comment ref="D6" authorId="0" shapeId="0" xr:uid="{00000000-0006-0000-0900-000002000000}">
      <text>
        <r>
          <rPr>
            <sz val="11"/>
            <color rgb="FF000000"/>
            <rFont val="Calibri"/>
            <family val="2"/>
            <charset val="1"/>
          </rPr>
          <t xml:space="preserve">Sanjay Prabhakaran:
</t>
        </r>
        <r>
          <rPr>
            <sz val="9"/>
            <color rgb="FF000000"/>
            <rFont val="Tahoma"/>
            <family val="2"/>
            <charset val="1"/>
          </rPr>
          <t>Red is Ashiwinaadi 
Under like can be 4x3 or 3x4</t>
        </r>
      </text>
    </comment>
    <comment ref="D8" authorId="0" shapeId="0" xr:uid="{00000000-0006-0000-0900-000003000000}">
      <text>
        <r>
          <rPr>
            <sz val="11"/>
            <color rgb="FF000000"/>
            <rFont val="Calibri"/>
            <family val="2"/>
            <charset val="1"/>
          </rPr>
          <t>Sanjay Prabhakaran:
Italics means 3x4</t>
        </r>
      </text>
    </comment>
    <comment ref="D10" authorId="0" shapeId="0" xr:uid="{00000000-0006-0000-0900-000004000000}">
      <text>
        <r>
          <rPr>
            <sz val="11"/>
            <color rgb="FF000000"/>
            <rFont val="Calibri"/>
            <family val="2"/>
            <charset val="1"/>
          </rPr>
          <t xml:space="preserve">Sanjay Prabhakaran:
</t>
        </r>
        <r>
          <rPr>
            <sz val="9"/>
            <color rgb="FF000000"/>
            <rFont val="Tahoma"/>
            <family val="2"/>
            <charset val="1"/>
          </rPr>
          <t>Under can be both 3 or 4 start</t>
        </r>
      </text>
    </comment>
    <comment ref="D16" authorId="0" shapeId="0" xr:uid="{00000000-0006-0000-0900-000005000000}">
      <text>
        <r>
          <rPr>
            <sz val="11"/>
            <color rgb="FF000000"/>
            <rFont val="Calibri"/>
            <family val="2"/>
            <charset val="1"/>
          </rPr>
          <t xml:space="preserve">Sanjay Prabhakaran:
</t>
        </r>
        <r>
          <rPr>
            <sz val="9"/>
            <color rgb="FF000000"/>
            <rFont val="Tahoma"/>
            <family val="2"/>
            <charset val="1"/>
          </rPr>
          <t xml:space="preserve">Grey Italoic Kriitaadi Reverse 3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B00-000001000000}">
      <text>
        <r>
          <rPr>
            <sz val="11"/>
            <color rgb="FF000000"/>
            <rFont val="Calibri"/>
            <family val="2"/>
            <charset val="1"/>
          </rPr>
          <t>Ashtakavraga Sheet Made By Sanjay Jaggia@Indorama
In Egroup Timing of Event Group</t>
        </r>
      </text>
    </comment>
    <comment ref="X159" authorId="0" shapeId="0" xr:uid="{00000000-0006-0000-0B00-000004000000}">
      <text>
        <r>
          <rPr>
            <sz val="11"/>
            <color rgb="FF000000"/>
            <rFont val="Calibri"/>
            <family val="2"/>
            <charset val="1"/>
          </rPr>
          <t xml:space="preserve">22-23. Saturn in his passage through the various houses reckoned from the
Moon, will produce the following effects :—
1st - Diseases and performance of funeral rites.
2nd - Loss of wealth and children.
3rd - Gain of position or employment and acqusition of wealth and servants.
4th - Loss of wife, relations and wealth.
5th - Diminishing of wealth, loss of children and confusion of mind.
6th - Happiness all round.
7th - Suffering to wife and danger during journeys.
8th - Loss of children, cattle, friends and wealth, and suffering from diseases.
9th - Loss of wealth, obstacles to the performance of good deeds, death of an elderly relative equal to father and perpetual sorrow.
10th - Indulgence in sinful actions, loss of honour and suffering from diseases.
11th - All kinds of happiness, gain of wealth and receipt of unique honour.
12th - Engagement in a business bringing no gains, loss of wealth through
enemies, and sickness to wife and son.
</t>
        </r>
      </text>
    </comment>
    <comment ref="X173" authorId="0" shapeId="0" xr:uid="{00000000-0006-0000-0B00-000005000000}">
      <text>
        <r>
          <rPr>
            <sz val="11"/>
            <color rgb="FF000000"/>
            <rFont val="Calibri"/>
            <family val="2"/>
            <charset val="1"/>
          </rPr>
          <t xml:space="preserve">21. The effects of the transit of Venus through the various houses reckoned
from the Moon be as follows: -
1st - Conferment of all kinds of enjoyments.
2nd - Gain of wealth.
3rd - Prosperity.
4th - Increase in happiness and friends.
5th - Birth of children.
6th - Accidents.
7th - Trouble to wife.
8th - Acqusition of wealth.
9th - Happiness.
10th - Quarrels.
11th - Safety.
12th - Acquisition of wealth.:
</t>
        </r>
      </text>
    </comment>
    <comment ref="AK174" authorId="0" shapeId="0" xr:uid="{00000000-0006-0000-0B00-000015000000}">
      <text>
        <r>
          <rPr>
            <sz val="11"/>
            <color rgb="FF000000"/>
            <rFont val="Calibri"/>
            <family val="2"/>
            <charset val="1"/>
          </rPr>
          <t>Not mentioned in BPHS Karana prada section?</t>
        </r>
      </text>
    </comment>
    <comment ref="X187" authorId="0" shapeId="0" xr:uid="{00000000-0006-0000-0B00-000006000000}">
      <text>
        <r>
          <rPr>
            <sz val="11"/>
            <color rgb="FF000000"/>
            <rFont val="Calibri"/>
            <family val="2"/>
            <charset val="1"/>
          </rPr>
          <t xml:space="preserve">18-20 The effects of the transit of Jupiter through the various houses
reckoned from the Moon will be as given below:-
1st - Departure Irom the native place, heavy expenditure and ill will towards others.
2nd - Acquisition of wealth, domestic happiness and influence over others.
3rd - Loss of position, separation from friends, obstacles in business and diseases.
4th - Sorrow through relations, humiliation and danger from quadrupeds.
5th - Birth of children, association with noble persons and royal favour.
6th - Trouble from enemies and cousins and diseases.
7th - Journey for an auspicious work, happiness with wife and acquisition of children.
8th -Tiresome journeys resulting in fatigue, unlucky, misery and loss of wealth.
9th - Prosperity all round.
10th - Danger to property, position and children.
11th - Birth of children, gain of new position and honour.
12th - Grief, fear caused through property.
</t>
        </r>
      </text>
    </comment>
    <comment ref="X201" authorId="0" shapeId="0" xr:uid="{00000000-0006-0000-0B00-000007000000}">
      <text>
        <r>
          <rPr>
            <sz val="11"/>
            <color rgb="FF000000"/>
            <rFont val="Calibri"/>
            <family val="2"/>
            <charset val="1"/>
          </rPr>
          <t xml:space="preserve">17. The following effects will be realised by the passage of Mercury through the various houses reckoned from the Moon:-
1st - Loss of wealth
2nd - Gain of wealth
3rd - Fear from enemies
4th - Accrual of wealth
5th - Quarrel with wife and children
6th - Success
7th - Misunderstandings
8th - Gain of wealth and birth of children
9th - Destruction in undertakings
10th - Happiness all round
11th - Increase in prosperity
12th - Fear of humiliation
</t>
        </r>
      </text>
    </comment>
    <comment ref="AD209" authorId="0" shapeId="0" xr:uid="{00000000-0006-0000-0B00-000012000000}">
      <text>
        <r>
          <rPr>
            <sz val="11"/>
            <color rgb="FF000000"/>
            <rFont val="Calibri"/>
            <family val="2"/>
            <charset val="1"/>
          </rPr>
          <t>Not mentioned in BPHS</t>
        </r>
      </text>
    </comment>
    <comment ref="X215" authorId="0" shapeId="0" xr:uid="{00000000-0006-0000-0B00-000008000000}">
      <text>
        <r>
          <rPr>
            <sz val="11"/>
            <color rgb="FF000000"/>
            <rFont val="Calibri"/>
            <family val="2"/>
            <charset val="1"/>
          </rPr>
          <t xml:space="preserve">13-16. The following effects will be realised from Mars' transit through the various houses reckoned from the Moon:-
1st - Mental Depression, separation from relations and diseases caused by impurity of blood, bile and heat.
2nd - Fear, exchange of hot words and loss, of wealth.
3rd - Success in all undertakings, acquistiorj of gold ornaments and, happiness caused thereby.
4th - Loss of position, stomach disorders and sorrow through relations.
5th - Fever, unnecessary desires, mental agony through son, quarrel with relations. .
6th - End of strife and withdrawal of enemies, freedom from diseases, victory, gain of wealth and success in all undertakings.
7th - Misunderstanding with wife, eye diseases, stomach-ache and similar disorders.
8th - Fever, anaemia, loss of wealth and honour.
9th - Humiliation through of wealth, difficulty in walking due to weakness and wastage in the several constituent elements of body.
10th - Misbehaviour, failure in efforts and exhaustion.
11th - Gain of wealth, freedom from diseases and increase in landed property.
12th - Loss of wealth, sickness caused by exessive heat
</t>
        </r>
        <r>
          <rPr>
            <sz val="11"/>
            <color rgb="FF000000"/>
            <rFont val="Lohit Devanagari"/>
            <family val="2"/>
            <charset val="1"/>
          </rPr>
          <t>अन्तः शोकं स्वजनविरहं रक्तपित्तोष्णरोगं लग्ने वित्ते भयमपि गिरां दोषमर्थक्षयं च।
धैरे भौमो जनयति जयं स्वर्णभूषंप्रमोदं स्थानभ्रंशं रुजमुदरजां बन्धुदुःखं चतुर्थे॥ १३॥
ज्वरमनुचितचिन्तां पुत्रहेतुव्यथां वा कलयति कलहंस्वैः पञ्चमे भूमिपुत्रः।
रिपुकलहनिवृत्तिं रोगशान्तिं च षष्ठे विजयमथ धनाप्तिं सर्वकार्यानुकूल्यम्॥ १४॥
कलत्रकलहाक्षिरुग्जठररोगकृत्सप्तमे ज्वरक्षतजरूक्षितो विगतवित्तमानोऽष्टमे।
कुजे नवमसंस्थिते परिभवोऽर्थनाशादिभि</t>
        </r>
        <r>
          <rPr>
            <sz val="11"/>
            <color rgb="FF000000"/>
            <rFont val="Calibri"/>
            <family val="2"/>
            <charset val="1"/>
          </rPr>
          <t>-</t>
        </r>
        <r>
          <rPr>
            <sz val="11"/>
            <color rgb="FF000000"/>
            <rFont val="Lohit Devanagari"/>
            <family val="2"/>
            <charset val="1"/>
          </rPr>
          <t xml:space="preserve">विलम्बितगतिर्भवत्यबलदेहधातुक्षयैः॥ १५॥
दुश्चेष्टा वा कर्मविघ्नः श्रमः खे द्रव्यारोग्यक्षेत्रवृद्धिश्च लाभे।
भौमः खेटो गोचरे द्वादशस्थो द्रव्यच्छेदस्ताप उष्णामयाद्यैः॥ १६॥
</t>
        </r>
      </text>
    </comment>
    <comment ref="AA216" authorId="0" shapeId="0" xr:uid="{00000000-0006-0000-0B00-00000F000000}">
      <text>
        <r>
          <rPr>
            <sz val="11"/>
            <color rgb="FF000000"/>
            <rFont val="Calibri"/>
            <family val="2"/>
            <charset val="1"/>
          </rPr>
          <t>Not in BPHS</t>
        </r>
      </text>
    </comment>
    <comment ref="X229" authorId="0" shapeId="0" xr:uid="{00000000-0006-0000-0B00-000009000000}">
      <text>
        <r>
          <rPr>
            <sz val="11"/>
            <color rgb="FF000000"/>
            <rFont val="Calibri"/>
            <family val="2"/>
            <charset val="1"/>
          </rPr>
          <t xml:space="preserve">1st - Dawn of fortune
2nd - Loss of wealth
3rd - Success
4th - Fear
5th - Sorrow
6th - Freedom from diseases
7th - Happiness
8th - Unhappy and troublesome events.
9th - Sickness
10th - Fulfilment of ambitions
11th – Joy
12th - Expenditure
</t>
        </r>
        <r>
          <rPr>
            <sz val="11"/>
            <color rgb="FF000000"/>
            <rFont val="Lohit Devanagari"/>
            <family val="2"/>
            <charset val="1"/>
          </rPr>
          <t>क्रमेण भाग्योदयमर्थहातिं जयं श्लोकमरोगतां च।
सुखान्यनिष्टं गदमिष्टसिद्धिं मोदं व्ययं च प्रददाति चन्द्रः॥ १२॥</t>
        </r>
      </text>
    </comment>
    <comment ref="X243" authorId="0" shapeId="0" xr:uid="{00000000-0006-0000-0B00-00000A000000}">
      <text>
        <r>
          <rPr>
            <sz val="11"/>
            <color rgb="FF000000"/>
            <rFont val="Calibri"/>
            <family val="2"/>
            <charset val="1"/>
          </rPr>
          <t xml:space="preserve">1st - wearisome journey, fatigue, diseases.
2nd - Loss of wealth, unhappiness, obstinacy andvictim of deceit by others.
3rd - Acquistion of a new position, gain of wealth, happiness, freedom from diseases and destruction of enemies.
4th - Diseases, impediments to sexual enjoyments.
5th - Mental anguish, ill health, humiliation in all possible ways.
6th - Freedom from diseases, destruction of enemies, removal of sorrows and anxieties.
7th - Wearisome jorneys, stomach disorders, trouble in the anus and suffering humiliation.
8th - Fear, diseases, quarrels, royal displeasure, suffering from excessive heat.
9th - Danger, humiliation, separation from close relations and mental depression.
10th - Success in a great and important undertaking.
11th - New position, honour, wealth and freedom from diseases.
12th - Sorrow, toss of wealth, quarrels with friends and fever.
</t>
        </r>
        <r>
          <rPr>
            <sz val="11"/>
            <color rgb="FF000000"/>
            <rFont val="Lohit Devanagari"/>
            <family val="2"/>
            <charset val="1"/>
          </rPr>
          <t>आसुताष्टमतपोव्ययायगो विद्ध आस्फुजिदशोभनः स्मृतः।
नैधनास्ततनुकर्मधर्मधीलाभवरिसहजस्थखेचरैः॥ ८॥
जन्मन्यायासदाता क्षपयति विभवान् क्रोधरोगाध्वदाता
वित्तभ्रंशं द्वितीये दिशति न सुखदो पञ्चनामाग्रहं च।
स्थानप्राप्तिं तृतीये धननिचयमुदाकल्यकृच्चारिहन्ता
रोगाण् दत्ते चतुर्थे जनयति च मुहुः स्रग्धराभोगविघ्नम्॥ ९॥
वित्तक्षोभं सुतस्थो वितरति बहुशो रोगमोहादिदाता
षष्ठेऽर्को हन्ति रोगान् क्षपयति च रिपूञ्छोकमोहान्प्रमाष्टिं।
आध्वानं सप्तमस्थो जठरगुदभयं दैन्यभावं च तस्मै
रुक्त्रासावष्टमस्थः कलयति कलहं राजभीतिं च तापम्॥ १०॥
आपद्दैन्यं तपसि विरहं चित्तचेष्टानिरोधं
प्राप्तोन्युग्रां दशमगृहगे कर्मसिद्धिं दिनेशे।
स्थानं मानं विभवमपि चैकादशे रोगनाशं
क्लेशं वित्तक्षयमपि सुहृद्वैरमन्त्ये ज्वरं च॥ ११॥</t>
        </r>
      </text>
    </comment>
    <comment ref="Z243" authorId="0" shapeId="0" xr:uid="{00000000-0006-0000-0B00-00000E000000}">
      <text>
        <r>
          <rPr>
            <sz val="11"/>
            <color rgb="FF000000"/>
            <rFont val="Calibri"/>
            <family val="2"/>
            <charset val="1"/>
          </rPr>
          <t>1st - wearisome journey, fatigue, diseases.</t>
        </r>
      </text>
    </comment>
    <comment ref="AA243" authorId="0" shapeId="0" xr:uid="{00000000-0006-0000-0B00-000010000000}">
      <text>
        <r>
          <rPr>
            <sz val="11"/>
            <color rgb="FF000000"/>
            <rFont val="Lohit Devanagari"/>
            <family val="2"/>
          </rPr>
          <t xml:space="preserve">वित्तभ्रंशं द्वितीये दिशति न सुखदो पञ्चनामाग्रहं च।
</t>
        </r>
      </text>
    </comment>
    <comment ref="AB243" authorId="0" shapeId="0" xr:uid="{00000000-0006-0000-0B00-000011000000}">
      <text>
        <r>
          <rPr>
            <sz val="11"/>
            <color rgb="FF000000"/>
            <rFont val="Calibri"/>
            <family val="2"/>
            <charset val="1"/>
          </rPr>
          <t xml:space="preserve">3rd - Acquistion of a new position, gain of wealth, happiness, freedom from
diseases and destruction of enemies
</t>
        </r>
      </text>
    </comment>
    <comment ref="X285" authorId="0" shapeId="0" xr:uid="{00000000-0006-0000-0B00-00000B000000}">
      <text>
        <r>
          <rPr>
            <sz val="11"/>
            <color rgb="FF000000"/>
            <rFont val="Calibri"/>
            <family val="2"/>
            <charset val="1"/>
          </rPr>
          <t xml:space="preserve">Sanjay Prabhakaran:
</t>
        </r>
        <r>
          <rPr>
            <sz val="11"/>
            <color rgb="FF000000"/>
            <rFont val="Tahoma"/>
            <family val="2"/>
            <charset val="1"/>
          </rPr>
          <t>Ashtakavarga by Mukunda Daivangya translated by PS Shastri
1-13</t>
        </r>
      </text>
    </comment>
    <comment ref="AF289" authorId="0" shapeId="0" xr:uid="{00000000-0006-0000-0B00-000014000000}">
      <text>
        <r>
          <rPr>
            <sz val="11"/>
            <color rgb="FF000000"/>
            <rFont val="Calibri"/>
            <family val="2"/>
            <charset val="1"/>
          </rPr>
          <t xml:space="preserve">Sanjay Prabhakaran:
</t>
        </r>
        <r>
          <rPr>
            <sz val="11"/>
            <color rgb="FF000000"/>
            <rFont val="Tahoma"/>
            <family val="2"/>
            <charset val="1"/>
          </rPr>
          <t xml:space="preserve">Shambu Hora adds 7 for mars
</t>
        </r>
      </text>
    </comment>
    <comment ref="X293" authorId="0" shapeId="0" xr:uid="{00000000-0006-0000-0B00-00000C000000}">
      <text>
        <r>
          <rPr>
            <sz val="11"/>
            <color rgb="FF000000"/>
            <rFont val="Calibri"/>
            <family val="2"/>
            <charset val="1"/>
          </rPr>
          <t xml:space="preserve">24. Rahu in the course of his passage through the various houses will cause
the following effects :—
1st - Sickness or death. 2nd - Loss of wealth. </t>
        </r>
        <r>
          <rPr>
            <b/>
            <sz val="11"/>
            <color rgb="FF000000"/>
            <rFont val="Tahoma"/>
            <family val="2"/>
            <charset val="1"/>
          </rPr>
          <t xml:space="preserve">3rd - Happiness. </t>
        </r>
        <r>
          <rPr>
            <sz val="11"/>
            <color rgb="FF000000"/>
            <rFont val="Tahoma"/>
            <family val="2"/>
            <charset val="1"/>
          </rPr>
          <t xml:space="preserve">4th - Sorrow. 5th - Financial loss. </t>
        </r>
        <r>
          <rPr>
            <b/>
            <sz val="11"/>
            <color rgb="FF000000"/>
            <rFont val="Tahoma"/>
            <family val="2"/>
            <charset val="1"/>
          </rPr>
          <t xml:space="preserve">6th – Happiness. </t>
        </r>
        <r>
          <rPr>
            <sz val="11"/>
            <color rgb="FF000000"/>
            <rFont val="Tahoma"/>
            <family val="2"/>
            <charset val="1"/>
          </rPr>
          <t xml:space="preserve">7th - Losses (of wealth). 8th - Danger to life. 9th - Losses (of wealth). </t>
        </r>
        <r>
          <rPr>
            <b/>
            <sz val="11"/>
            <color rgb="FF000000"/>
            <rFont val="Tahoma"/>
            <family val="2"/>
            <charset val="1"/>
          </rPr>
          <t xml:space="preserve">10th - Gains (of wealth). 11th - Happiness. </t>
        </r>
        <r>
          <rPr>
            <sz val="11"/>
            <color rgb="FF000000"/>
            <rFont val="Tahoma"/>
            <family val="2"/>
            <charset val="1"/>
          </rPr>
          <t>12th -Expenditure.</t>
        </r>
      </text>
    </comment>
    <comment ref="AD293" authorId="0" shapeId="0" xr:uid="{00000000-0006-0000-0B00-000013000000}">
      <text>
        <r>
          <rPr>
            <sz val="11"/>
            <color rgb="FF000000"/>
            <rFont val="Calibri"/>
            <family val="2"/>
            <charset val="1"/>
          </rPr>
          <t xml:space="preserve">Sanjay Prabhakaran:
</t>
        </r>
        <r>
          <rPr>
            <sz val="11"/>
            <color rgb="FF000000"/>
            <rFont val="Tahoma"/>
            <family val="2"/>
            <charset val="1"/>
          </rPr>
          <t>Shambu Hora give 4 instead of 5 for Moon</t>
        </r>
      </text>
    </comment>
    <comment ref="Y295" authorId="0" shapeId="0" xr:uid="{00000000-0006-0000-0B00-00000D000000}">
      <text>
        <r>
          <rPr>
            <sz val="11"/>
            <color rgb="FF000000"/>
            <rFont val="Calibri"/>
            <family val="2"/>
            <charset val="1"/>
          </rPr>
          <t xml:space="preserve">Sanjay Prabhakaran:
</t>
        </r>
        <r>
          <rPr>
            <sz val="11"/>
            <color rgb="FF000000"/>
            <rFont val="Tahoma"/>
            <family val="2"/>
            <charset val="1"/>
          </rPr>
          <t>Shambu Hora add 1 to make it 44</t>
        </r>
      </text>
    </comment>
    <comment ref="A301" authorId="0" shapeId="0" xr:uid="{00000000-0006-0000-0B00-000002000000}">
      <text>
        <r>
          <rPr>
            <sz val="11"/>
            <color rgb="FF000000"/>
            <rFont val="Calibri"/>
            <family val="2"/>
            <charset val="1"/>
          </rPr>
          <t xml:space="preserve">Example:When Sun Transits 1st House from Moon, and any other graha in 1st house has a vedha
Fundamentals of Astrology
 By M. Ramakrishna Bhat
</t>
        </r>
        <r>
          <rPr>
            <sz val="9"/>
            <color rgb="FF000000"/>
            <rFont val="Tahoma"/>
            <family val="2"/>
            <charset val="1"/>
          </rPr>
          <t>No Vedha between Son and Father like Su-Sa, Mo-Me</t>
        </r>
      </text>
    </comment>
    <comment ref="A309" authorId="0" shapeId="0" xr:uid="{00000000-0006-0000-0B00-000003000000}">
      <text>
        <r>
          <rPr>
            <sz val="11"/>
            <color rgb="FF000000"/>
            <rFont val="Calibri"/>
            <family val="2"/>
            <charset val="1"/>
          </rPr>
          <t>Vedha of Sat &amp; Ketu like Mars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15" authorId="0" shapeId="0" xr:uid="{00000000-0006-0000-0C00-000003000000}">
      <text>
        <r>
          <rPr>
            <sz val="11"/>
            <color rgb="FF000000"/>
            <rFont val="Calibri"/>
            <family val="2"/>
            <charset val="1"/>
          </rPr>
          <t xml:space="preserve">SR:" If a planet is in Kreta
Yuga it gives excellent results very easily whereas one in Treta needs some
effort, one in Dwapara will need a lot of the strength like Rudra's might to
do the work and give results while onee is Kali is most disinclined to do
anything and results will be tough to obtain.
</t>
        </r>
        <r>
          <rPr>
            <sz val="8"/>
            <color rgb="FF000000"/>
            <rFont val="Arial"/>
            <family val="2"/>
            <charset val="1"/>
          </rPr>
          <t xml:space="preserve">
</t>
        </r>
      </text>
    </comment>
    <comment ref="B29" authorId="0" shapeId="0" xr:uid="{00000000-0006-0000-0C00-000001000000}">
      <text>
        <r>
          <rPr>
            <sz val="11"/>
            <color rgb="FF000000"/>
            <rFont val="Calibri"/>
            <family val="2"/>
            <charset val="1"/>
          </rPr>
          <t xml:space="preserve">. Ebenezer Burgess, who translated Surya Siddhanta in English, as on January 1, 1860, the number of days, past from the beginning of Creation are 714,404,108,573
</t>
        </r>
      </text>
    </comment>
    <comment ref="X33" authorId="0" shapeId="0" xr:uid="{00000000-0006-0000-0C00-000007000000}">
      <text>
        <r>
          <rPr>
            <sz val="11"/>
            <color rgb="FF000000"/>
            <rFont val="Calibri"/>
            <family val="2"/>
            <charset val="1"/>
          </rPr>
          <t>Shoulder</t>
        </r>
      </text>
    </comment>
    <comment ref="X34" authorId="0" shapeId="0" xr:uid="{00000000-0006-0000-0C00-000008000000}">
      <text>
        <r>
          <rPr>
            <sz val="11"/>
            <color rgb="FF000000"/>
            <rFont val="Calibri"/>
            <family val="2"/>
            <charset val="1"/>
          </rPr>
          <t xml:space="preserve">Arms
</t>
        </r>
      </text>
    </comment>
    <comment ref="Y34" authorId="0" shapeId="0" xr:uid="{00000000-0006-0000-0C00-000009000000}">
      <text>
        <r>
          <rPr>
            <sz val="11"/>
            <color rgb="FF000000"/>
            <rFont val="Calibri"/>
            <family val="2"/>
            <charset val="1"/>
          </rPr>
          <t>rectum, anus,</t>
        </r>
      </text>
    </comment>
    <comment ref="Y35" authorId="0" shapeId="0" xr:uid="{00000000-0006-0000-0C00-00000A000000}">
      <text>
        <r>
          <rPr>
            <sz val="11"/>
            <color rgb="FF000000"/>
            <rFont val="Calibri"/>
            <family val="2"/>
            <charset val="1"/>
          </rPr>
          <t xml:space="preserve">testicle, pudenda muliebria
</t>
        </r>
      </text>
    </comment>
    <comment ref="Y36" authorId="0" shapeId="0" xr:uid="{00000000-0006-0000-0C00-00000B000000}">
      <text>
        <r>
          <rPr>
            <sz val="11"/>
            <color rgb="FF000000"/>
            <rFont val="Calibri"/>
            <family val="2"/>
            <charset val="1"/>
          </rPr>
          <t>Knee</t>
        </r>
      </text>
    </comment>
    <comment ref="Y37" authorId="0" shapeId="0" xr:uid="{00000000-0006-0000-0C00-00000C000000}">
      <text>
        <r>
          <rPr>
            <sz val="11"/>
            <color rgb="FF000000"/>
            <rFont val="Calibri"/>
            <family val="2"/>
            <charset val="1"/>
          </rPr>
          <t xml:space="preserve">the shank (from the ankle to the knee)
</t>
        </r>
      </text>
    </comment>
    <comment ref="U39" authorId="0" shapeId="0" xr:uid="{00000000-0006-0000-0C00-000006000000}">
      <text>
        <r>
          <rPr>
            <sz val="11"/>
            <color rgb="FF000000"/>
            <rFont val="Calibri"/>
            <family val="2"/>
            <charset val="1"/>
          </rPr>
          <t xml:space="preserve">Sanjay Prabhakaran:
</t>
        </r>
        <r>
          <rPr>
            <sz val="9"/>
            <color rgb="FF000000"/>
            <rFont val="Tahoma"/>
            <family val="2"/>
            <charset val="1"/>
          </rPr>
          <t>The rulership of the Tatwa (elements) have already been indicated in the Table A7-4. For example, if the Badhakesh is in Leo ruled by the Sun, the Fire element is vitiated. If this also happens to be the 8th house, then the lamp has to be offered to the deity (Bhoota Bali) or the Holy Fire has to be worshipped with the relevant mantra like “Om Hum Rum Chaitanyayai Namah” (Bhoota Pooja).</t>
        </r>
      </text>
    </comment>
    <comment ref="F47" authorId="0" shapeId="0" xr:uid="{00000000-0006-0000-0C00-000004000000}">
      <text>
        <r>
          <rPr>
            <sz val="11"/>
            <color rgb="FF000000"/>
            <rFont val="Calibri"/>
            <family val="2"/>
            <charset val="1"/>
          </rPr>
          <t>Prashna Marga : 21.47</t>
        </r>
      </text>
    </comment>
    <comment ref="S47" authorId="0" shapeId="0" xr:uid="{00000000-0006-0000-0C00-000005000000}">
      <text>
        <r>
          <rPr>
            <sz val="11"/>
            <color rgb="FF000000"/>
            <rFont val="Calibri"/>
            <family val="2"/>
            <charset val="1"/>
          </rPr>
          <t>PrashnaMarga, ch 8.30</t>
        </r>
      </text>
    </comment>
    <comment ref="AH47" authorId="0" shapeId="0" xr:uid="{00000000-0006-0000-0C00-00000D000000}">
      <text>
        <r>
          <rPr>
            <sz val="11"/>
            <color rgb="FF000000"/>
            <rFont val="Calibri"/>
            <family val="2"/>
            <charset val="1"/>
          </rPr>
          <t xml:space="preserve">Sanjay Prabhakaran:
</t>
        </r>
        <r>
          <rPr>
            <sz val="9"/>
            <color rgb="FF000000"/>
            <rFont val="Tahoma"/>
            <family val="2"/>
            <charset val="1"/>
          </rPr>
          <t>Duration in 24 Hours How to use it?</t>
        </r>
      </text>
    </comment>
    <comment ref="AJ47" authorId="0" shapeId="0" xr:uid="{00000000-0006-0000-0C00-00000E000000}">
      <text>
        <r>
          <rPr>
            <sz val="11"/>
            <color rgb="FF000000"/>
            <rFont val="Calibri"/>
            <family val="2"/>
            <charset val="1"/>
          </rPr>
          <t>Srath,Cova</t>
        </r>
      </text>
    </comment>
    <comment ref="AK47" authorId="0" shapeId="0" xr:uid="{00000000-0006-0000-0C00-00000F000000}">
      <text>
        <r>
          <rPr>
            <sz val="11"/>
            <color rgb="FF000000"/>
            <rFont val="Calibri"/>
            <family val="2"/>
            <charset val="1"/>
          </rPr>
          <t xml:space="preserve">Prashna Marga: Ch21.37
http://thillairaj.blogspot.in/
 </t>
        </r>
        <r>
          <rPr>
            <sz val="11"/>
            <color rgb="FF000000"/>
            <rFont val="Lohit Devanagari"/>
            <family val="2"/>
            <charset val="1"/>
          </rPr>
          <t>சீருடைய அசுபதி நேர்ஐந்தும் வல்லுறு
சிறப்பான ஆதிரை நேர் ஆறும் ஆந்தை
பேருடைய உத்திர நேர் ஐந்தும் காகம்
பெலமான அநுடம் நேர் ஆறும் கோழி
நேருடைய அவிட்டம் நேர் ஐந்தும் கொண்ட
நிதி மயிலேயுலகிடை யாய் ஜெனித்த யாவும்
பேருடைய விவ்வகையே பட்சிரூபம் பேசிடுவாய்
மறைவிதித்த பெலமிதே</t>
        </r>
        <r>
          <rPr>
            <sz val="11"/>
            <color rgb="FF000000"/>
            <rFont val="Calibri"/>
            <family val="2"/>
            <charset val="1"/>
          </rPr>
          <t>.</t>
        </r>
      </text>
    </comment>
    <comment ref="AL47" authorId="0" shapeId="0" xr:uid="{00000000-0006-0000-0C00-000010000000}">
      <text>
        <r>
          <rPr>
            <sz val="11"/>
            <color rgb="FF000000"/>
            <rFont val="Calibri"/>
            <family val="2"/>
            <charset val="1"/>
          </rPr>
          <t xml:space="preserve">Sanjay Prabhakaran:
</t>
        </r>
        <r>
          <rPr>
            <sz val="9"/>
            <color rgb="FF000000"/>
            <rFont val="Tahoma"/>
            <family val="2"/>
            <charset val="1"/>
          </rPr>
          <t>http://thillairaj.blogspot.in/</t>
        </r>
      </text>
    </comment>
    <comment ref="AO47" authorId="0" shapeId="0" xr:uid="{00000000-0006-0000-0C00-000011000000}">
      <text>
        <r>
          <rPr>
            <sz val="11"/>
            <color rgb="FF000000"/>
            <rFont val="Calibri"/>
            <family val="2"/>
            <charset val="1"/>
          </rPr>
          <t>BrNx: Utpaata food is for Rakshasa, Mrityu food for Asura, Kaana for Pitru, Sama is safe.</t>
        </r>
      </text>
    </comment>
    <comment ref="AQ47" authorId="0" shapeId="0" xr:uid="{00000000-0006-0000-0C00-000012000000}">
      <text>
        <r>
          <rPr>
            <sz val="11"/>
            <color rgb="FF000000"/>
            <rFont val="Calibri"/>
            <family val="2"/>
            <charset val="1"/>
          </rPr>
          <t>The lasts for 4 Gh. Also called Varjyam, Tyajyam</t>
        </r>
      </text>
    </comment>
    <comment ref="AR47" authorId="0" shapeId="0" xr:uid="{00000000-0006-0000-0C00-000013000000}">
      <text>
        <r>
          <rPr>
            <sz val="11"/>
            <color rgb="FF000000"/>
            <rFont val="Calibri"/>
            <family val="2"/>
            <charset val="1"/>
          </rPr>
          <t>4Gh same as VishaGhatika Duration</t>
        </r>
      </text>
    </comment>
    <comment ref="AV47" authorId="0" shapeId="0" xr:uid="{00000000-0006-0000-0C00-000014000000}">
      <text>
        <r>
          <rPr>
            <sz val="11"/>
            <color rgb="FF000000"/>
            <rFont val="Calibri"/>
            <family val="2"/>
            <charset val="1"/>
          </rPr>
          <t>BPHS,Kaalachakra</t>
        </r>
      </text>
    </comment>
    <comment ref="AX47" authorId="0" shapeId="0" xr:uid="{00000000-0006-0000-0C00-000015000000}">
      <text>
        <r>
          <rPr>
            <sz val="11"/>
            <color rgb="FF000000"/>
            <rFont val="Calibri"/>
            <family val="2"/>
            <charset val="1"/>
          </rPr>
          <t>Narada Teaching, Brihad Nakshatra Pg 303. SRath</t>
        </r>
      </text>
    </comment>
    <comment ref="C193" authorId="0" shapeId="0" xr:uid="{00000000-0006-0000-0C00-000002000000}">
      <text>
        <r>
          <rPr>
            <sz val="11"/>
            <color rgb="FF000000"/>
            <rFont val="Calibri"/>
            <family val="2"/>
            <charset val="1"/>
          </rPr>
          <t>Dina Kuta: If the Nakshatra of the man is 0, 2, 4, 6 or 8 Nakshatras from the Nakshatra of the woman 3 points will be given. If the number is 9 or more it is divided by 9 and we work with the remainder. Let us say the Nakshatra of the man is 14 Nakshatras from the Nakshatra of the woman 14/9=1 and the remainder is 5. Because the remainder is 5 no points are being given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C36" authorId="0" shapeId="0" xr:uid="{00000000-0006-0000-0E00-000001000000}">
      <text>
        <r>
          <rPr>
            <sz val="11"/>
            <color rgb="FF000000"/>
            <rFont val="Calibri"/>
            <family val="2"/>
            <charset val="1"/>
          </rPr>
          <t xml:space="preserve">Decide the Initiating Narayana Dasa and Type it Here
</t>
        </r>
      </text>
    </comment>
    <comment ref="H39" authorId="0" shapeId="0" xr:uid="{00000000-0006-0000-0E00-00000B000000}">
      <text>
        <r>
          <rPr>
            <sz val="11"/>
            <color rgb="FF000000"/>
            <rFont val="Calibri"/>
            <family val="2"/>
            <charset val="1"/>
          </rPr>
          <t xml:space="preserve">Type the Starting Narayana Antardasa in these cells.
Open the Group '+' symbol on the left to view th Nar-AntarDasa periods
</t>
        </r>
      </text>
    </comment>
    <comment ref="H41" authorId="0" shapeId="0" xr:uid="{00000000-0006-0000-0E00-00000C000000}">
      <text>
        <r>
          <rPr>
            <sz val="11"/>
            <color rgb="FF000000"/>
            <rFont val="Calibri"/>
            <family val="2"/>
            <charset val="1"/>
          </rPr>
          <t xml:space="preserve">Type the Starting Narayana Antardasa in these cells.
Open the Group '+' symbol on the left to view th Nar-AntarDasa periods
</t>
        </r>
      </text>
    </comment>
    <comment ref="H43" authorId="0" shapeId="0" xr:uid="{00000000-0006-0000-0E00-00000D000000}">
      <text>
        <r>
          <rPr>
            <sz val="11"/>
            <color rgb="FF000000"/>
            <rFont val="Calibri"/>
            <family val="2"/>
            <charset val="1"/>
          </rPr>
          <t xml:space="preserve">Type the Starting Narayana Antardasa in these cells.
Open the Group '+' symbol on the left to view th Nar-AntarDasa periods
</t>
        </r>
      </text>
    </comment>
    <comment ref="H45" authorId="0" shapeId="0" xr:uid="{00000000-0006-0000-0E00-00000E000000}">
      <text>
        <r>
          <rPr>
            <sz val="11"/>
            <color rgb="FF000000"/>
            <rFont val="Calibri"/>
            <family val="2"/>
            <charset val="1"/>
          </rPr>
          <t xml:space="preserve">Type the Starting Narayana Antardasa in these cells.
Open the Group '+' symbol on the left to view th Nar-AntarDasa periods
</t>
        </r>
      </text>
    </comment>
    <comment ref="H55" authorId="0" shapeId="0" xr:uid="{00000000-0006-0000-0E00-00000F000000}">
      <text>
        <r>
          <rPr>
            <sz val="11"/>
            <color rgb="FF000000"/>
            <rFont val="Calibri"/>
            <family val="2"/>
            <charset val="1"/>
          </rPr>
          <t xml:space="preserve">Type the Starting Narayana Antardasa in these cells.
Open the Group '+' symbol on the left to view th Nar-AntarDasa periods
</t>
        </r>
      </text>
    </comment>
    <comment ref="H57" authorId="0" shapeId="0" xr:uid="{00000000-0006-0000-0E00-000010000000}">
      <text>
        <r>
          <rPr>
            <sz val="11"/>
            <color rgb="FF000000"/>
            <rFont val="Calibri"/>
            <family val="2"/>
            <charset val="1"/>
          </rPr>
          <t xml:space="preserve">Type the Starting Narayana Antardasa in these cells.
Open the Group '+' symbol on the left to view th Nar-AntarDasa periods
</t>
        </r>
      </text>
    </comment>
    <comment ref="H59" authorId="0" shapeId="0" xr:uid="{00000000-0006-0000-0E00-000011000000}">
      <text>
        <r>
          <rPr>
            <sz val="11"/>
            <color rgb="FF000000"/>
            <rFont val="Calibri"/>
            <family val="2"/>
            <charset val="1"/>
          </rPr>
          <t xml:space="preserve">Type the Starting Narayana Antardasa in these cells.
Open the Group '+' symbol on the left to view th Nar-AntarDasa periods
</t>
        </r>
      </text>
    </comment>
    <comment ref="H61" authorId="0" shapeId="0" xr:uid="{00000000-0006-0000-0E00-000012000000}">
      <text>
        <r>
          <rPr>
            <sz val="11"/>
            <color rgb="FF000000"/>
            <rFont val="Calibri"/>
            <family val="2"/>
            <charset val="1"/>
          </rPr>
          <t xml:space="preserve">Type the Starting Narayana Antardasa in these cells.
Open the Group '+' symbol on the left to view th Nar-AntarDasa periods
</t>
        </r>
      </text>
    </comment>
    <comment ref="C71" authorId="0" shapeId="0" xr:uid="{00000000-0006-0000-0E00-000002000000}">
      <text>
        <r>
          <rPr>
            <sz val="11"/>
            <color rgb="FF000000"/>
            <rFont val="Calibri"/>
            <family val="2"/>
            <charset val="1"/>
          </rPr>
          <t xml:space="preserve">Decide the Initiating Narayana Dasa and Type it Here
</t>
        </r>
      </text>
    </comment>
    <comment ref="H74" authorId="0" shapeId="0" xr:uid="{00000000-0006-0000-0E00-000013000000}">
      <text>
        <r>
          <rPr>
            <sz val="11"/>
            <color rgb="FF000000"/>
            <rFont val="Calibri"/>
            <family val="2"/>
            <charset val="1"/>
          </rPr>
          <t xml:space="preserve">Type the Starting Narayana Antardasa in these cells.
Open the Group '+' symbol on the left to view th Nar-AntarDasa periods
</t>
        </r>
      </text>
    </comment>
    <comment ref="H76" authorId="0" shapeId="0" xr:uid="{00000000-0006-0000-0E00-000014000000}">
      <text>
        <r>
          <rPr>
            <sz val="11"/>
            <color rgb="FF000000"/>
            <rFont val="Calibri"/>
            <family val="2"/>
            <charset val="1"/>
          </rPr>
          <t xml:space="preserve">Type the Starting Narayana Antardasa in these cells.
Open the Group '+' symbol on the left to view th Nar-AntarDasa periods
</t>
        </r>
      </text>
    </comment>
    <comment ref="H78" authorId="0" shapeId="0" xr:uid="{00000000-0006-0000-0E00-000015000000}">
      <text>
        <r>
          <rPr>
            <sz val="11"/>
            <color rgb="FF000000"/>
            <rFont val="Calibri"/>
            <family val="2"/>
            <charset val="1"/>
          </rPr>
          <t xml:space="preserve">Type the Starting Narayana Antardasa in these cells.
Open the Group '+' symbol on the left to view th Nar-AntarDasa periods
</t>
        </r>
      </text>
    </comment>
    <comment ref="H80" authorId="0" shapeId="0" xr:uid="{00000000-0006-0000-0E00-000016000000}">
      <text>
        <r>
          <rPr>
            <sz val="11"/>
            <color rgb="FF000000"/>
            <rFont val="Calibri"/>
            <family val="2"/>
            <charset val="1"/>
          </rPr>
          <t xml:space="preserve">Type the Starting Narayana Antardasa in these cells.
Open the Group '+' symbol on the left to view th Nar-AntarDasa periods
</t>
        </r>
      </text>
    </comment>
    <comment ref="H90" authorId="0" shapeId="0" xr:uid="{00000000-0006-0000-0E00-000017000000}">
      <text>
        <r>
          <rPr>
            <sz val="11"/>
            <color rgb="FF000000"/>
            <rFont val="Calibri"/>
            <family val="2"/>
            <charset val="1"/>
          </rPr>
          <t xml:space="preserve">Type the Starting Narayana Antardasa in these cells.
Open the Group '+' symbol on the left to view th Nar-AntarDasa periods
</t>
        </r>
      </text>
    </comment>
    <comment ref="H92" authorId="0" shapeId="0" xr:uid="{00000000-0006-0000-0E00-000018000000}">
      <text>
        <r>
          <rPr>
            <sz val="11"/>
            <color rgb="FF000000"/>
            <rFont val="Calibri"/>
            <family val="2"/>
            <charset val="1"/>
          </rPr>
          <t xml:space="preserve">Type the Starting Narayana Antardasa in these cells.
Open the Group '+' symbol on the left to view th Nar-AntarDasa periods
</t>
        </r>
      </text>
    </comment>
    <comment ref="H94" authorId="0" shapeId="0" xr:uid="{00000000-0006-0000-0E00-000019000000}">
      <text>
        <r>
          <rPr>
            <sz val="11"/>
            <color rgb="FF000000"/>
            <rFont val="Calibri"/>
            <family val="2"/>
            <charset val="1"/>
          </rPr>
          <t xml:space="preserve">Type the Starting Narayana Antardasa in these cells.
Open the Group '+' symbol on the left to view th Nar-AntarDasa periods
</t>
        </r>
      </text>
    </comment>
    <comment ref="H96" authorId="0" shapeId="0" xr:uid="{00000000-0006-0000-0E00-00001A000000}">
      <text>
        <r>
          <rPr>
            <sz val="11"/>
            <color rgb="FF000000"/>
            <rFont val="Calibri"/>
            <family val="2"/>
            <charset val="1"/>
          </rPr>
          <t xml:space="preserve">Type the Starting Narayana Antardasa in these cells.
Open the Group '+' symbol on the left to view th Nar-AntarDasa periods
</t>
        </r>
      </text>
    </comment>
    <comment ref="C103" authorId="0" shapeId="0" xr:uid="{00000000-0006-0000-0E00-000003000000}">
      <text>
        <r>
          <rPr>
            <sz val="11"/>
            <color rgb="FF000000"/>
            <rFont val="Calibri"/>
            <family val="2"/>
            <charset val="1"/>
          </rPr>
          <t xml:space="preserve">Decide the Initiating Narayana Dasa and Type it Here
</t>
        </r>
      </text>
    </comment>
    <comment ref="H106" authorId="0" shapeId="0" xr:uid="{00000000-0006-0000-0E00-00001B000000}">
      <text>
        <r>
          <rPr>
            <sz val="11"/>
            <color rgb="FF000000"/>
            <rFont val="Calibri"/>
            <family val="2"/>
            <charset val="1"/>
          </rPr>
          <t xml:space="preserve">Type the Starting Narayana Antardasa in these cells.
Open the Group '+' symbol on the left to view th Nar-AntarDasa periods
</t>
        </r>
      </text>
    </comment>
    <comment ref="H108" authorId="0" shapeId="0" xr:uid="{00000000-0006-0000-0E00-00001C000000}">
      <text>
        <r>
          <rPr>
            <sz val="11"/>
            <color rgb="FF000000"/>
            <rFont val="Calibri"/>
            <family val="2"/>
            <charset val="1"/>
          </rPr>
          <t xml:space="preserve">Type the Starting Narayana Antardasa in these cells.
Open the Group '+' symbol on the left to view th Nar-AntarDasa periods
</t>
        </r>
      </text>
    </comment>
    <comment ref="H110" authorId="0" shapeId="0" xr:uid="{00000000-0006-0000-0E00-00001D000000}">
      <text>
        <r>
          <rPr>
            <sz val="11"/>
            <color rgb="FF000000"/>
            <rFont val="Calibri"/>
            <family val="2"/>
            <charset val="1"/>
          </rPr>
          <t xml:space="preserve">Type the Starting Narayana Antardasa in these cells.
Open the Group '+' symbol on the left to view th Nar-AntarDasa periods
</t>
        </r>
      </text>
    </comment>
    <comment ref="H112" authorId="0" shapeId="0" xr:uid="{00000000-0006-0000-0E00-00001E000000}">
      <text>
        <r>
          <rPr>
            <sz val="11"/>
            <color rgb="FF000000"/>
            <rFont val="Calibri"/>
            <family val="2"/>
            <charset val="1"/>
          </rPr>
          <t xml:space="preserve">Type the Starting Narayana Antardasa in these cells.
Open the Group '+' symbol on the left to view th Nar-AntarDasa periods
</t>
        </r>
      </text>
    </comment>
    <comment ref="H122" authorId="0" shapeId="0" xr:uid="{00000000-0006-0000-0E00-00001F000000}">
      <text>
        <r>
          <rPr>
            <sz val="11"/>
            <color rgb="FF000000"/>
            <rFont val="Calibri"/>
            <family val="2"/>
            <charset val="1"/>
          </rPr>
          <t xml:space="preserve">Type the Starting Narayana Antardasa in these cells.
Open the Group '+' symbol on the left to view th Nar-AntarDasa periods
</t>
        </r>
      </text>
    </comment>
    <comment ref="H124" authorId="0" shapeId="0" xr:uid="{00000000-0006-0000-0E00-000020000000}">
      <text>
        <r>
          <rPr>
            <sz val="11"/>
            <color rgb="FF000000"/>
            <rFont val="Calibri"/>
            <family val="2"/>
            <charset val="1"/>
          </rPr>
          <t xml:space="preserve">Type the Starting Narayana Antardasa in these cells.
Open the Group '+' symbol on the left to view th Nar-AntarDasa periods
</t>
        </r>
      </text>
    </comment>
    <comment ref="H126" authorId="0" shapeId="0" xr:uid="{00000000-0006-0000-0E00-000021000000}">
      <text>
        <r>
          <rPr>
            <sz val="11"/>
            <color rgb="FF000000"/>
            <rFont val="Calibri"/>
            <family val="2"/>
            <charset val="1"/>
          </rPr>
          <t xml:space="preserve">Type the Starting Narayana Antardasa in these cells.
Open the Group '+' symbol on the left to view th Nar-AntarDasa periods
</t>
        </r>
      </text>
    </comment>
    <comment ref="H128" authorId="0" shapeId="0" xr:uid="{00000000-0006-0000-0E00-000022000000}">
      <text>
        <r>
          <rPr>
            <sz val="11"/>
            <color rgb="FF000000"/>
            <rFont val="Calibri"/>
            <family val="2"/>
            <charset val="1"/>
          </rPr>
          <t xml:space="preserve">Type the Starting Narayana Antardasa in these cells.
Open the Group '+' symbol on the left to view th Nar-AntarDasa periods
</t>
        </r>
      </text>
    </comment>
    <comment ref="C136" authorId="0" shapeId="0" xr:uid="{00000000-0006-0000-0E00-000004000000}">
      <text>
        <r>
          <rPr>
            <sz val="11"/>
            <color rgb="FF000000"/>
            <rFont val="Calibri"/>
            <family val="2"/>
            <charset val="1"/>
          </rPr>
          <t xml:space="preserve">Decide the Initiating Narayana Dasa and Type it Here
</t>
        </r>
      </text>
    </comment>
    <comment ref="H139" authorId="0" shapeId="0" xr:uid="{00000000-0006-0000-0E00-000023000000}">
      <text>
        <r>
          <rPr>
            <sz val="11"/>
            <color rgb="FF000000"/>
            <rFont val="Calibri"/>
            <family val="2"/>
            <charset val="1"/>
          </rPr>
          <t xml:space="preserve">Type the Starting Narayana Antardasa in these cells.
Open the Group '+' symbol on the left to view th Nar-AntarDasa periods
</t>
        </r>
      </text>
    </comment>
    <comment ref="H141" authorId="0" shapeId="0" xr:uid="{00000000-0006-0000-0E00-000024000000}">
      <text>
        <r>
          <rPr>
            <sz val="11"/>
            <color rgb="FF000000"/>
            <rFont val="Calibri"/>
            <family val="2"/>
            <charset val="1"/>
          </rPr>
          <t xml:space="preserve">Type the Starting Narayana Antardasa in these cells.
Open the Group '+' symbol on the left to view th Nar-AntarDasa periods
</t>
        </r>
      </text>
    </comment>
    <comment ref="H143" authorId="0" shapeId="0" xr:uid="{00000000-0006-0000-0E00-000025000000}">
      <text>
        <r>
          <rPr>
            <sz val="11"/>
            <color rgb="FF000000"/>
            <rFont val="Calibri"/>
            <family val="2"/>
            <charset val="1"/>
          </rPr>
          <t xml:space="preserve">Type the Starting Narayana Antardasa in these cells.
Open the Group '+' symbol on the left to view th Nar-AntarDasa periods
</t>
        </r>
      </text>
    </comment>
    <comment ref="H145" authorId="0" shapeId="0" xr:uid="{00000000-0006-0000-0E00-000026000000}">
      <text>
        <r>
          <rPr>
            <sz val="11"/>
            <color rgb="FF000000"/>
            <rFont val="Calibri"/>
            <family val="2"/>
            <charset val="1"/>
          </rPr>
          <t xml:space="preserve">Type the Starting Narayana Antardasa in these cells.
Open the Group '+' symbol on the left to view th Nar-AntarDasa periods
</t>
        </r>
      </text>
    </comment>
    <comment ref="H155" authorId="0" shapeId="0" xr:uid="{00000000-0006-0000-0E00-000027000000}">
      <text>
        <r>
          <rPr>
            <sz val="11"/>
            <color rgb="FF000000"/>
            <rFont val="Calibri"/>
            <family val="2"/>
            <charset val="1"/>
          </rPr>
          <t xml:space="preserve">Type the Starting Narayana Antardasa in these cells.
Open the Group '+' symbol on the left to view th Nar-AntarDasa periods
</t>
        </r>
      </text>
    </comment>
    <comment ref="H157" authorId="0" shapeId="0" xr:uid="{00000000-0006-0000-0E00-000028000000}">
      <text>
        <r>
          <rPr>
            <sz val="11"/>
            <color rgb="FF000000"/>
            <rFont val="Calibri"/>
            <family val="2"/>
            <charset val="1"/>
          </rPr>
          <t xml:space="preserve">Type the Starting Narayana Antardasa in these cells.
Open the Group '+' symbol on the left to view th Nar-AntarDasa periods
</t>
        </r>
      </text>
    </comment>
    <comment ref="H159" authorId="0" shapeId="0" xr:uid="{00000000-0006-0000-0E00-000029000000}">
      <text>
        <r>
          <rPr>
            <sz val="11"/>
            <color rgb="FF000000"/>
            <rFont val="Calibri"/>
            <family val="2"/>
            <charset val="1"/>
          </rPr>
          <t xml:space="preserve">Type the Starting Narayana Antardasa in these cells.
Open the Group '+' symbol on the left to view th Nar-AntarDasa periods
</t>
        </r>
      </text>
    </comment>
    <comment ref="H161" authorId="0" shapeId="0" xr:uid="{00000000-0006-0000-0E00-00002A000000}">
      <text>
        <r>
          <rPr>
            <sz val="11"/>
            <color rgb="FF000000"/>
            <rFont val="Calibri"/>
            <family val="2"/>
            <charset val="1"/>
          </rPr>
          <t xml:space="preserve">Type the Starting Narayana Antardasa in these cells.
Open the Group '+' symbol on the left to view th Nar-AntarDasa periods
</t>
        </r>
      </text>
    </comment>
    <comment ref="C172" authorId="0" shapeId="0" xr:uid="{00000000-0006-0000-0E00-000005000000}">
      <text>
        <r>
          <rPr>
            <sz val="11"/>
            <color rgb="FF000000"/>
            <rFont val="Calibri"/>
            <family val="2"/>
            <charset val="1"/>
          </rPr>
          <t xml:space="preserve">Decide the Initiating Narayana Dasa and Type it Here
</t>
        </r>
      </text>
    </comment>
    <comment ref="H175" authorId="0" shapeId="0" xr:uid="{00000000-0006-0000-0E00-00002B000000}">
      <text>
        <r>
          <rPr>
            <sz val="11"/>
            <color rgb="FF000000"/>
            <rFont val="Calibri"/>
            <family val="2"/>
            <charset val="1"/>
          </rPr>
          <t xml:space="preserve">Type the Starting Narayana Antardasa in these cells.
Open the Group '+' symbol on the left to view th Nar-AntarDasa periods
</t>
        </r>
      </text>
    </comment>
    <comment ref="H177" authorId="0" shapeId="0" xr:uid="{00000000-0006-0000-0E00-00002C000000}">
      <text>
        <r>
          <rPr>
            <sz val="11"/>
            <color rgb="FF000000"/>
            <rFont val="Calibri"/>
            <family val="2"/>
            <charset val="1"/>
          </rPr>
          <t xml:space="preserve">Type the Starting Narayana Antardasa in these cells.
Open the Group '+' symbol on the left to view th Nar-AntarDasa periods
</t>
        </r>
      </text>
    </comment>
    <comment ref="H179" authorId="0" shapeId="0" xr:uid="{00000000-0006-0000-0E00-00002D000000}">
      <text>
        <r>
          <rPr>
            <sz val="11"/>
            <color rgb="FF000000"/>
            <rFont val="Calibri"/>
            <family val="2"/>
            <charset val="1"/>
          </rPr>
          <t xml:space="preserve">Type the Starting Narayana Antardasa in these cells.
Open the Group '+' symbol on the left to view th Nar-AntarDasa periods
</t>
        </r>
      </text>
    </comment>
    <comment ref="H181" authorId="0" shapeId="0" xr:uid="{00000000-0006-0000-0E00-00002E000000}">
      <text>
        <r>
          <rPr>
            <sz val="11"/>
            <color rgb="FF000000"/>
            <rFont val="Calibri"/>
            <family val="2"/>
            <charset val="1"/>
          </rPr>
          <t xml:space="preserve">Type the Starting Narayana Antardasa in these cells.
Open the Group '+' symbol on the left to view th Nar-AntarDasa periods
</t>
        </r>
      </text>
    </comment>
    <comment ref="H183" authorId="0" shapeId="0" xr:uid="{00000000-0006-0000-0E00-00002F000000}">
      <text>
        <r>
          <rPr>
            <sz val="11"/>
            <color rgb="FF000000"/>
            <rFont val="Calibri"/>
            <family val="2"/>
            <charset val="1"/>
          </rPr>
          <t xml:space="preserve">Type the Starting Narayana Antardasa in these cells.
Open the Group '+' symbol on the left to view th Nar-AntarDasa periods
</t>
        </r>
      </text>
    </comment>
    <comment ref="H191" authorId="0" shapeId="0" xr:uid="{00000000-0006-0000-0E00-000030000000}">
      <text>
        <r>
          <rPr>
            <sz val="11"/>
            <color rgb="FF000000"/>
            <rFont val="Calibri"/>
            <family val="2"/>
            <charset val="1"/>
          </rPr>
          <t xml:space="preserve">Type the Starting Narayana Antardasa in these cells.
Open the Group '+' symbol on the left to view th Nar-AntarDasa periods
</t>
        </r>
      </text>
    </comment>
    <comment ref="H193" authorId="0" shapeId="0" xr:uid="{00000000-0006-0000-0E00-000031000000}">
      <text>
        <r>
          <rPr>
            <sz val="11"/>
            <color rgb="FF000000"/>
            <rFont val="Calibri"/>
            <family val="2"/>
            <charset val="1"/>
          </rPr>
          <t xml:space="preserve">Type the Starting Narayana Antardasa in these cells.
Open the Group '+' symbol on the left to view th Nar-AntarDasa periods
</t>
        </r>
      </text>
    </comment>
    <comment ref="H195" authorId="0" shapeId="0" xr:uid="{00000000-0006-0000-0E00-000032000000}">
      <text>
        <r>
          <rPr>
            <sz val="11"/>
            <color rgb="FF000000"/>
            <rFont val="Calibri"/>
            <family val="2"/>
            <charset val="1"/>
          </rPr>
          <t xml:space="preserve">Type the Starting Narayana Antardasa in these cells.
Open the Group '+' symbol on the left to view th Nar-AntarDasa periods
</t>
        </r>
      </text>
    </comment>
    <comment ref="H197" authorId="0" shapeId="0" xr:uid="{00000000-0006-0000-0E00-000033000000}">
      <text>
        <r>
          <rPr>
            <sz val="11"/>
            <color rgb="FF000000"/>
            <rFont val="Calibri"/>
            <family val="2"/>
            <charset val="1"/>
          </rPr>
          <t xml:space="preserve">Type the Starting Narayana Antardasa in these cells.
Open the Group '+' symbol on the left to view th Nar-AntarDasa periods
</t>
        </r>
      </text>
    </comment>
    <comment ref="C207" authorId="0" shapeId="0" xr:uid="{00000000-0006-0000-0E00-000006000000}">
      <text>
        <r>
          <rPr>
            <sz val="11"/>
            <color rgb="FF000000"/>
            <rFont val="Calibri"/>
            <family val="2"/>
            <charset val="1"/>
          </rPr>
          <t xml:space="preserve">Decide the Initiating Narayana Dasa and Type it Here
</t>
        </r>
      </text>
    </comment>
    <comment ref="H210" authorId="0" shapeId="0" xr:uid="{00000000-0006-0000-0E00-000034000000}">
      <text>
        <r>
          <rPr>
            <sz val="11"/>
            <color rgb="FF000000"/>
            <rFont val="Calibri"/>
            <family val="2"/>
            <charset val="1"/>
          </rPr>
          <t xml:space="preserve">Type the Starting Narayana Antardasa in these cells.
Open the Group '+' symbol on the left to view th Nar-AntarDasa periods
</t>
        </r>
      </text>
    </comment>
    <comment ref="H212" authorId="0" shapeId="0" xr:uid="{00000000-0006-0000-0E00-000035000000}">
      <text>
        <r>
          <rPr>
            <sz val="11"/>
            <color rgb="FF000000"/>
            <rFont val="Calibri"/>
            <family val="2"/>
            <charset val="1"/>
          </rPr>
          <t xml:space="preserve">Type the Starting Narayana Antardasa in these cells.
Open the Group '+' symbol on the left to view th Nar-AntarDasa periods
</t>
        </r>
      </text>
    </comment>
    <comment ref="H214" authorId="0" shapeId="0" xr:uid="{00000000-0006-0000-0E00-000036000000}">
      <text>
        <r>
          <rPr>
            <sz val="11"/>
            <color rgb="FF000000"/>
            <rFont val="Calibri"/>
            <family val="2"/>
            <charset val="1"/>
          </rPr>
          <t xml:space="preserve">Type the Starting Narayana Antardasa in these cells.
Open the Group '+' symbol on the left to view th Nar-AntarDasa periods
</t>
        </r>
      </text>
    </comment>
    <comment ref="H216" authorId="0" shapeId="0" xr:uid="{00000000-0006-0000-0E00-000037000000}">
      <text>
        <r>
          <rPr>
            <sz val="11"/>
            <color rgb="FF000000"/>
            <rFont val="Calibri"/>
            <family val="2"/>
            <charset val="1"/>
          </rPr>
          <t xml:space="preserve">Type the Starting Narayana Antardasa in these cells.
Open the Group '+' symbol on the left to view th Nar-AntarDasa periods
</t>
        </r>
      </text>
    </comment>
    <comment ref="H226" authorId="0" shapeId="0" xr:uid="{00000000-0006-0000-0E00-000038000000}">
      <text>
        <r>
          <rPr>
            <sz val="11"/>
            <color rgb="FF000000"/>
            <rFont val="Calibri"/>
            <family val="2"/>
            <charset val="1"/>
          </rPr>
          <t xml:space="preserve">Type the Starting Narayana Antardasa in these cells.
Open the Group '+' symbol on the left to view th Nar-AntarDasa periods
</t>
        </r>
      </text>
    </comment>
    <comment ref="H228" authorId="0" shapeId="0" xr:uid="{00000000-0006-0000-0E00-000039000000}">
      <text>
        <r>
          <rPr>
            <sz val="11"/>
            <color rgb="FF000000"/>
            <rFont val="Calibri"/>
            <family val="2"/>
            <charset val="1"/>
          </rPr>
          <t xml:space="preserve">Type the Starting Narayana Antardasa in these cells.
Open the Group '+' symbol on the left to view th Nar-AntarDasa periods
</t>
        </r>
      </text>
    </comment>
    <comment ref="H230" authorId="0" shapeId="0" xr:uid="{00000000-0006-0000-0E00-00003A000000}">
      <text>
        <r>
          <rPr>
            <sz val="11"/>
            <color rgb="FF000000"/>
            <rFont val="Calibri"/>
            <family val="2"/>
            <charset val="1"/>
          </rPr>
          <t xml:space="preserve">Type the Starting Narayana Antardasa in these cells.
Open the Group '+' symbol on the left to view th Nar-AntarDasa periods
</t>
        </r>
      </text>
    </comment>
    <comment ref="H232" authorId="0" shapeId="0" xr:uid="{00000000-0006-0000-0E00-00003B000000}">
      <text>
        <r>
          <rPr>
            <sz val="11"/>
            <color rgb="FF000000"/>
            <rFont val="Calibri"/>
            <family val="2"/>
            <charset val="1"/>
          </rPr>
          <t xml:space="preserve">Type the Starting Narayana Antardasa in these cells.
Open the Group '+' symbol on the left to view th Nar-AntarDasa periods
</t>
        </r>
      </text>
    </comment>
    <comment ref="C242" authorId="0" shapeId="0" xr:uid="{00000000-0006-0000-0E00-000007000000}">
      <text>
        <r>
          <rPr>
            <sz val="11"/>
            <color rgb="FF000000"/>
            <rFont val="Calibri"/>
            <family val="2"/>
            <charset val="1"/>
          </rPr>
          <t xml:space="preserve">Decide the Initiating Narayana Dasa and Type it Here
</t>
        </r>
      </text>
    </comment>
    <comment ref="H245" authorId="0" shapeId="0" xr:uid="{00000000-0006-0000-0E00-00003C000000}">
      <text>
        <r>
          <rPr>
            <sz val="11"/>
            <color rgb="FF000000"/>
            <rFont val="Calibri"/>
            <family val="2"/>
            <charset val="1"/>
          </rPr>
          <t xml:space="preserve">Type the Starting Narayana Antardasa in these cells.
Open the Group '+' symbol on the left to view th Nar-AntarDasa periods
</t>
        </r>
      </text>
    </comment>
    <comment ref="H247" authorId="0" shapeId="0" xr:uid="{00000000-0006-0000-0E00-00003D000000}">
      <text>
        <r>
          <rPr>
            <sz val="11"/>
            <color rgb="FF000000"/>
            <rFont val="Calibri"/>
            <family val="2"/>
            <charset val="1"/>
          </rPr>
          <t xml:space="preserve">Type the Starting Narayana Antardasa in these cells.
Open the Group '+' symbol on the left to view th Nar-AntarDasa periods
</t>
        </r>
      </text>
    </comment>
    <comment ref="H249" authorId="0" shapeId="0" xr:uid="{00000000-0006-0000-0E00-00003E000000}">
      <text>
        <r>
          <rPr>
            <sz val="11"/>
            <color rgb="FF000000"/>
            <rFont val="Calibri"/>
            <family val="2"/>
            <charset val="1"/>
          </rPr>
          <t xml:space="preserve">Type the Starting Narayana Antardasa in these cells.
Open the Group '+' symbol on the left to view th Nar-AntarDasa periods
</t>
        </r>
      </text>
    </comment>
    <comment ref="H251" authorId="0" shapeId="0" xr:uid="{00000000-0006-0000-0E00-00003F000000}">
      <text>
        <r>
          <rPr>
            <sz val="11"/>
            <color rgb="FF000000"/>
            <rFont val="Calibri"/>
            <family val="2"/>
            <charset val="1"/>
          </rPr>
          <t xml:space="preserve">Type the Starting Narayana Antardasa in these cells.
Open the Group '+' symbol on the left to view th Nar-AntarDasa periods
</t>
        </r>
      </text>
    </comment>
    <comment ref="H253" authorId="0" shapeId="0" xr:uid="{00000000-0006-0000-0E00-000040000000}">
      <text>
        <r>
          <rPr>
            <sz val="11"/>
            <color rgb="FF000000"/>
            <rFont val="Calibri"/>
            <family val="2"/>
            <charset val="1"/>
          </rPr>
          <t xml:space="preserve">Type the Starting Narayana Antardasa in these cells.
Open the Group '+' symbol on the left to view th Nar-AntarDasa periods
</t>
        </r>
      </text>
    </comment>
    <comment ref="H261" authorId="0" shapeId="0" xr:uid="{00000000-0006-0000-0E00-000041000000}">
      <text>
        <r>
          <rPr>
            <sz val="11"/>
            <color rgb="FF000000"/>
            <rFont val="Calibri"/>
            <family val="2"/>
            <charset val="1"/>
          </rPr>
          <t xml:space="preserve">Type the Starting Narayana Antardasa in these cells.
Open the Group '+' symbol on the left to view th Nar-AntarDasa periods
</t>
        </r>
      </text>
    </comment>
    <comment ref="H263" authorId="0" shapeId="0" xr:uid="{00000000-0006-0000-0E00-000042000000}">
      <text>
        <r>
          <rPr>
            <sz val="11"/>
            <color rgb="FF000000"/>
            <rFont val="Calibri"/>
            <family val="2"/>
            <charset val="1"/>
          </rPr>
          <t xml:space="preserve">Type the Starting Narayana Antardasa in these cells.
Open the Group '+' symbol on the left to view th Nar-AntarDasa periods
</t>
        </r>
      </text>
    </comment>
    <comment ref="H265" authorId="0" shapeId="0" xr:uid="{00000000-0006-0000-0E00-000043000000}">
      <text>
        <r>
          <rPr>
            <sz val="11"/>
            <color rgb="FF000000"/>
            <rFont val="Calibri"/>
            <family val="2"/>
            <charset val="1"/>
          </rPr>
          <t xml:space="preserve">Type the Starting Narayana Antardasa in these cells.
Open the Group '+' symbol on the left to view th Nar-AntarDasa periods
</t>
        </r>
      </text>
    </comment>
    <comment ref="H267" authorId="0" shapeId="0" xr:uid="{00000000-0006-0000-0E00-000044000000}">
      <text>
        <r>
          <rPr>
            <sz val="11"/>
            <color rgb="FF000000"/>
            <rFont val="Calibri"/>
            <family val="2"/>
            <charset val="1"/>
          </rPr>
          <t xml:space="preserve">Type the Starting Narayana Antardasa in these cells.
Open the Group '+' symbol on the left to view th Nar-AntarDasa periods
</t>
        </r>
      </text>
    </comment>
    <comment ref="C274" authorId="0" shapeId="0" xr:uid="{00000000-0006-0000-0E00-000008000000}">
      <text>
        <r>
          <rPr>
            <sz val="11"/>
            <color rgb="FF000000"/>
            <rFont val="Calibri"/>
            <family val="2"/>
            <charset val="1"/>
          </rPr>
          <t xml:space="preserve">Decide the Initiating Narayana Dasa and Type it Here
</t>
        </r>
      </text>
    </comment>
    <comment ref="H277" authorId="0" shapeId="0" xr:uid="{00000000-0006-0000-0E00-000045000000}">
      <text>
        <r>
          <rPr>
            <sz val="11"/>
            <color rgb="FF000000"/>
            <rFont val="Calibri"/>
            <family val="2"/>
            <charset val="1"/>
          </rPr>
          <t xml:space="preserve">Type the Starting Narayana Antardasa in these cells.
Open the Group '+' symbol on the left to view th Nar-AntarDasa periods
</t>
        </r>
      </text>
    </comment>
    <comment ref="H279" authorId="0" shapeId="0" xr:uid="{00000000-0006-0000-0E00-000046000000}">
      <text>
        <r>
          <rPr>
            <sz val="11"/>
            <color rgb="FF000000"/>
            <rFont val="Calibri"/>
            <family val="2"/>
            <charset val="1"/>
          </rPr>
          <t xml:space="preserve">Type the Starting Narayana Antardasa in these cells.
Open the Group '+' symbol on the left to view th Nar-AntarDasa periods
</t>
        </r>
      </text>
    </comment>
    <comment ref="H281" authorId="0" shapeId="0" xr:uid="{00000000-0006-0000-0E00-000047000000}">
      <text>
        <r>
          <rPr>
            <sz val="11"/>
            <color rgb="FF000000"/>
            <rFont val="Calibri"/>
            <family val="2"/>
            <charset val="1"/>
          </rPr>
          <t xml:space="preserve">Type the Starting Narayana Antardasa in these cells.
Open the Group '+' symbol on the left to view th Nar-AntarDasa periods
</t>
        </r>
      </text>
    </comment>
    <comment ref="H283" authorId="0" shapeId="0" xr:uid="{00000000-0006-0000-0E00-000048000000}">
      <text>
        <r>
          <rPr>
            <sz val="11"/>
            <color rgb="FF000000"/>
            <rFont val="Calibri"/>
            <family val="2"/>
            <charset val="1"/>
          </rPr>
          <t xml:space="preserve">Type the Starting Narayana Antardasa in these cells.
Open the Group '+' symbol on the left to view th Nar-AntarDasa periods
</t>
        </r>
      </text>
    </comment>
    <comment ref="H285" authorId="0" shapeId="0" xr:uid="{00000000-0006-0000-0E00-000049000000}">
      <text>
        <r>
          <rPr>
            <sz val="11"/>
            <color rgb="FF000000"/>
            <rFont val="Calibri"/>
            <family val="2"/>
            <charset val="1"/>
          </rPr>
          <t xml:space="preserve">Type the Starting Narayana Antardasa in these cells.
Open the Group '+' symbol on the left to view th Nar-AntarDasa periods
</t>
        </r>
      </text>
    </comment>
    <comment ref="H293" authorId="0" shapeId="0" xr:uid="{00000000-0006-0000-0E00-00004A000000}">
      <text>
        <r>
          <rPr>
            <sz val="11"/>
            <color rgb="FF000000"/>
            <rFont val="Calibri"/>
            <family val="2"/>
            <charset val="1"/>
          </rPr>
          <t xml:space="preserve">Type the Starting Narayana Antardasa in these cells.
Open the Group '+' symbol on the left to view th Nar-AntarDasa periods
</t>
        </r>
      </text>
    </comment>
    <comment ref="H295" authorId="0" shapeId="0" xr:uid="{00000000-0006-0000-0E00-00004B000000}">
      <text>
        <r>
          <rPr>
            <sz val="11"/>
            <color rgb="FF000000"/>
            <rFont val="Calibri"/>
            <family val="2"/>
            <charset val="1"/>
          </rPr>
          <t xml:space="preserve">Type the Starting Narayana Antardasa in these cells.
Open the Group '+' symbol on the left to view th Nar-AntarDasa periods
</t>
        </r>
      </text>
    </comment>
    <comment ref="H297" authorId="0" shapeId="0" xr:uid="{00000000-0006-0000-0E00-00004C000000}">
      <text>
        <r>
          <rPr>
            <sz val="11"/>
            <color rgb="FF000000"/>
            <rFont val="Calibri"/>
            <family val="2"/>
            <charset val="1"/>
          </rPr>
          <t xml:space="preserve">Type the Starting Narayana Antardasa in these cells.
Open the Group '+' symbol on the left to view th Nar-AntarDasa periods
</t>
        </r>
      </text>
    </comment>
    <comment ref="H299" authorId="0" shapeId="0" xr:uid="{00000000-0006-0000-0E00-00004D000000}">
      <text>
        <r>
          <rPr>
            <sz val="11"/>
            <color rgb="FF000000"/>
            <rFont val="Calibri"/>
            <family val="2"/>
            <charset val="1"/>
          </rPr>
          <t xml:space="preserve">Type the Starting Narayana Antardasa in these cells.
Open the Group '+' symbol on the left to view th Nar-AntarDasa periods
</t>
        </r>
      </text>
    </comment>
    <comment ref="C305" authorId="0" shapeId="0" xr:uid="{00000000-0006-0000-0E00-000009000000}">
      <text>
        <r>
          <rPr>
            <sz val="11"/>
            <color rgb="FF000000"/>
            <rFont val="Calibri"/>
            <family val="2"/>
            <charset val="1"/>
          </rPr>
          <t xml:space="preserve">Decide the Initiating Narayana Dasa and Type it Here
</t>
        </r>
      </text>
    </comment>
    <comment ref="H308" authorId="0" shapeId="0" xr:uid="{00000000-0006-0000-0E00-00004E000000}">
      <text>
        <r>
          <rPr>
            <sz val="11"/>
            <color rgb="FF000000"/>
            <rFont val="Calibri"/>
            <family val="2"/>
            <charset val="1"/>
          </rPr>
          <t xml:space="preserve">Type the Starting Narayana Antardasa in these cells.
Open the Group '+' symbol on the left to view th Nar-AntarDasa periods
</t>
        </r>
      </text>
    </comment>
    <comment ref="H310" authorId="0" shapeId="0" xr:uid="{00000000-0006-0000-0E00-00004F000000}">
      <text>
        <r>
          <rPr>
            <sz val="11"/>
            <color rgb="FF000000"/>
            <rFont val="Calibri"/>
            <family val="2"/>
            <charset val="1"/>
          </rPr>
          <t xml:space="preserve">Type the Starting Narayana Antardasa in these cells.
Open the Group '+' symbol on the left to view th Nar-AntarDasa periods
</t>
        </r>
      </text>
    </comment>
    <comment ref="H312" authorId="0" shapeId="0" xr:uid="{00000000-0006-0000-0E00-000050000000}">
      <text>
        <r>
          <rPr>
            <sz val="11"/>
            <color rgb="FF000000"/>
            <rFont val="Calibri"/>
            <family val="2"/>
            <charset val="1"/>
          </rPr>
          <t xml:space="preserve">Type the Starting Narayana Antardasa in these cells.
Open the Group '+' symbol on the left to view th Nar-AntarDasa periods
</t>
        </r>
      </text>
    </comment>
    <comment ref="H314" authorId="0" shapeId="0" xr:uid="{00000000-0006-0000-0E00-000051000000}">
      <text>
        <r>
          <rPr>
            <sz val="11"/>
            <color rgb="FF000000"/>
            <rFont val="Calibri"/>
            <family val="2"/>
            <charset val="1"/>
          </rPr>
          <t xml:space="preserve">Type the Starting Narayana Antardasa in these cells.
Open the Group '+' symbol on the left to view th Nar-AntarDasa periods
</t>
        </r>
      </text>
    </comment>
    <comment ref="H316" authorId="0" shapeId="0" xr:uid="{00000000-0006-0000-0E00-000052000000}">
      <text>
        <r>
          <rPr>
            <sz val="11"/>
            <color rgb="FF000000"/>
            <rFont val="Calibri"/>
            <family val="2"/>
            <charset val="1"/>
          </rPr>
          <t xml:space="preserve">Type the Starting Narayana Antardasa in these cells.
Open the Group '+' symbol on the left to view th Nar-AntarDasa periods
</t>
        </r>
      </text>
    </comment>
    <comment ref="H324" authorId="0" shapeId="0" xr:uid="{00000000-0006-0000-0E00-000053000000}">
      <text>
        <r>
          <rPr>
            <sz val="11"/>
            <color rgb="FF000000"/>
            <rFont val="Calibri"/>
            <family val="2"/>
            <charset val="1"/>
          </rPr>
          <t xml:space="preserve">Type the Starting Narayana Antardasa in these cells.
Open the Group '+' symbol on the left to view th Nar-AntarDasa periods
</t>
        </r>
      </text>
    </comment>
    <comment ref="H326" authorId="0" shapeId="0" xr:uid="{00000000-0006-0000-0E00-000054000000}">
      <text>
        <r>
          <rPr>
            <sz val="11"/>
            <color rgb="FF000000"/>
            <rFont val="Calibri"/>
            <family val="2"/>
            <charset val="1"/>
          </rPr>
          <t xml:space="preserve">Type the Starting Narayana Antardasa in these cells.
Open the Group '+' symbol on the left to view th Nar-AntarDasa periods
</t>
        </r>
      </text>
    </comment>
    <comment ref="H328" authorId="0" shapeId="0" xr:uid="{00000000-0006-0000-0E00-000055000000}">
      <text>
        <r>
          <rPr>
            <sz val="11"/>
            <color rgb="FF000000"/>
            <rFont val="Calibri"/>
            <family val="2"/>
            <charset val="1"/>
          </rPr>
          <t xml:space="preserve">Type the Starting Narayana Antardasa in these cells.
Open the Group '+' symbol on the left to view th Nar-AntarDasa periods
</t>
        </r>
      </text>
    </comment>
    <comment ref="H330" authorId="0" shapeId="0" xr:uid="{00000000-0006-0000-0E00-000056000000}">
      <text>
        <r>
          <rPr>
            <sz val="11"/>
            <color rgb="FF000000"/>
            <rFont val="Calibri"/>
            <family val="2"/>
            <charset val="1"/>
          </rPr>
          <t xml:space="preserve">Type the Starting Narayana Antardasa in these cells.
Open the Group '+' symbol on the left to view th Nar-AntarDasa periods
</t>
        </r>
      </text>
    </comment>
    <comment ref="C337" authorId="0" shapeId="0" xr:uid="{00000000-0006-0000-0E00-00000A000000}">
      <text>
        <r>
          <rPr>
            <sz val="11"/>
            <color rgb="FF000000"/>
            <rFont val="Calibri"/>
            <family val="2"/>
            <charset val="1"/>
          </rPr>
          <t xml:space="preserve">Decide the Initiating Narayana Dasa and Type it Here
</t>
        </r>
      </text>
    </comment>
    <comment ref="H340" authorId="0" shapeId="0" xr:uid="{00000000-0006-0000-0E00-000057000000}">
      <text>
        <r>
          <rPr>
            <sz val="11"/>
            <color rgb="FF000000"/>
            <rFont val="Calibri"/>
            <family val="2"/>
            <charset val="1"/>
          </rPr>
          <t xml:space="preserve">Type the Starting Narayana Antardasa in these cells.
Open the Group '+' symbol on the left to view th Nar-AntarDasa periods
</t>
        </r>
      </text>
    </comment>
    <comment ref="H342" authorId="0" shapeId="0" xr:uid="{00000000-0006-0000-0E00-000058000000}">
      <text>
        <r>
          <rPr>
            <sz val="11"/>
            <color rgb="FF000000"/>
            <rFont val="Calibri"/>
            <family val="2"/>
            <charset val="1"/>
          </rPr>
          <t xml:space="preserve">Type the Starting Narayana Antardasa in these cells.
Open the Group '+' symbol on the left to view th Nar-AntarDasa periods
</t>
        </r>
      </text>
    </comment>
    <comment ref="H344" authorId="0" shapeId="0" xr:uid="{00000000-0006-0000-0E00-000059000000}">
      <text>
        <r>
          <rPr>
            <sz val="11"/>
            <color rgb="FF000000"/>
            <rFont val="Calibri"/>
            <family val="2"/>
            <charset val="1"/>
          </rPr>
          <t xml:space="preserve">Type the Starting Narayana Antardasa in these cells.
Open the Group '+' symbol on the left to view th Nar-AntarDasa periods
</t>
        </r>
      </text>
    </comment>
    <comment ref="H346" authorId="0" shapeId="0" xr:uid="{00000000-0006-0000-0E00-00005A000000}">
      <text>
        <r>
          <rPr>
            <sz val="11"/>
            <color rgb="FF000000"/>
            <rFont val="Calibri"/>
            <family val="2"/>
            <charset val="1"/>
          </rPr>
          <t xml:space="preserve">Type the Starting Narayana Antardasa in these cells.
Open the Group '+' symbol on the left to view th Nar-AntarDasa periods
</t>
        </r>
      </text>
    </comment>
    <comment ref="H356" authorId="0" shapeId="0" xr:uid="{00000000-0006-0000-0E00-00005B000000}">
      <text>
        <r>
          <rPr>
            <sz val="11"/>
            <color rgb="FF000000"/>
            <rFont val="Calibri"/>
            <family val="2"/>
            <charset val="1"/>
          </rPr>
          <t xml:space="preserve">Type the Starting Narayana Antardasa in these cells.
Open the Group '+' symbol on the left to view th Nar-AntarDasa periods
</t>
        </r>
      </text>
    </comment>
    <comment ref="H358" authorId="0" shapeId="0" xr:uid="{00000000-0006-0000-0E00-00005C000000}">
      <text>
        <r>
          <rPr>
            <sz val="11"/>
            <color rgb="FF000000"/>
            <rFont val="Calibri"/>
            <family val="2"/>
            <charset val="1"/>
          </rPr>
          <t xml:space="preserve">Type the Starting Narayana Antardasa in these cells.
Open the Group '+' symbol on the left to view th Nar-AntarDasa periods
</t>
        </r>
      </text>
    </comment>
    <comment ref="H360" authorId="0" shapeId="0" xr:uid="{00000000-0006-0000-0E00-00005D000000}">
      <text>
        <r>
          <rPr>
            <sz val="11"/>
            <color rgb="FF000000"/>
            <rFont val="Calibri"/>
            <family val="2"/>
            <charset val="1"/>
          </rPr>
          <t xml:space="preserve">Type the Starting Narayana Antardasa in these cells.
Open the Group '+' symbol on the left to view th Nar-AntarDasa periods
</t>
        </r>
      </text>
    </comment>
    <comment ref="H362" authorId="0" shapeId="0" xr:uid="{00000000-0006-0000-0E00-00005E000000}">
      <text>
        <r>
          <rPr>
            <sz val="11"/>
            <color rgb="FF000000"/>
            <rFont val="Calibri"/>
            <family val="2"/>
            <charset val="1"/>
          </rPr>
          <t xml:space="preserve">Type the Starting Narayana Antardasa in these cells.
Open the Group '+' symbol on the left to view th Nar-AntarDasa periods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1000-000001000000}">
      <text>
        <r>
          <rPr>
            <sz val="11"/>
            <color rgb="FF000000"/>
            <rFont val="Calibri"/>
            <family val="2"/>
            <charset val="1"/>
          </rPr>
          <t>Varshphal (Annual Predication)
 By S.P. Gour</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H3" authorId="0" shapeId="0" xr:uid="{00000000-0006-0000-1300-000001000000}">
      <text>
        <r>
          <rPr>
            <sz val="11"/>
            <color rgb="FF000000"/>
            <rFont val="Calibri"/>
            <family val="2"/>
            <charset val="1"/>
          </rPr>
          <t xml:space="preserve">Prabhakaran, Sanjay:
</t>
        </r>
      </text>
    </comment>
    <comment ref="M3" authorId="0" shapeId="0" xr:uid="{00000000-0006-0000-1300-000002000000}">
      <text>
        <r>
          <rPr>
            <sz val="11"/>
            <color rgb="FF000000"/>
            <rFont val="Calibri"/>
            <family val="2"/>
            <charset val="1"/>
          </rPr>
          <t>Vi
Ma,Agni
T3,T11,Cat,Dhuma</t>
        </r>
      </text>
    </comment>
    <comment ref="M8" authorId="0" shapeId="0" xr:uid="{00000000-0006-0000-1300-000003000000}">
      <text>
        <r>
          <rPr>
            <sz val="11"/>
            <color rgb="FF000000"/>
            <rFont val="Calibri"/>
            <family val="2"/>
            <charset val="1"/>
          </rPr>
          <t>Ca,Le,
Ju,Pritvi
T5,T13,Lion,Simha</t>
        </r>
      </text>
    </comment>
    <comment ref="M13" authorId="0" shapeId="0" xr:uid="{00000000-0006-0000-1300-000004000000}">
      <text>
        <r>
          <rPr>
            <sz val="11"/>
            <color rgb="FF000000"/>
            <rFont val="Calibri"/>
            <family val="2"/>
            <charset val="1"/>
          </rPr>
          <t>Sg,
Mercury,Ether,
T4,T12,Dog,Dog</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00000000-0006-0000-1600-000001000000}">
      <text>
        <r>
          <rPr>
            <sz val="11"/>
            <color rgb="FF000000"/>
            <rFont val="Calibri"/>
            <family val="2"/>
            <charset val="1"/>
          </rPr>
          <t>BV Raman, Prashna Marga Notes.</t>
        </r>
      </text>
    </comment>
  </commentList>
</comments>
</file>

<file path=xl/sharedStrings.xml><?xml version="1.0" encoding="utf-8"?>
<sst xmlns="http://schemas.openxmlformats.org/spreadsheetml/2006/main" count="11570" uniqueCount="5159">
  <si>
    <t>C:\Users\sprabhakara2\Google Drive\charts\Family&amp;Self\Sanjay Prabhakaran</t>
  </si>
  <si>
    <t>Born in CIM Stores</t>
  </si>
  <si>
    <t>Joined SJC/SJVC</t>
  </si>
  <si>
    <t>Natal Chart</t>
  </si>
  <si>
    <t>Bought Car D16</t>
  </si>
  <si>
    <t>Marriage D9</t>
  </si>
  <si>
    <t>Date:          July 19, 1971</t>
  </si>
  <si>
    <t>Time:          9:13:10</t>
  </si>
  <si>
    <t>Time Zone:     5:30:00 (East of GMT)</t>
  </si>
  <si>
    <t>Place:         78 E 05' 05", 10 N 57' 47"</t>
  </si>
  <si>
    <t xml:space="preserve">               Karur CIM Store, India</t>
  </si>
  <si>
    <t>Altitude:      123.00 meters</t>
  </si>
  <si>
    <t>Lunar Yr-Mo:   Virodha-krit - Ashadha</t>
  </si>
  <si>
    <t>Tithi:         Krishna Dwadasi (Me) (28.19% left)</t>
  </si>
  <si>
    <t>Vedic Weekday: Monday (Mo)</t>
  </si>
  <si>
    <t>Nakshatra:     Rohini (Mo) (2.38% left)</t>
  </si>
  <si>
    <t>Yoga:          Vriddhi (Me) (9.39% left)</t>
  </si>
  <si>
    <t>Karana:        Taitula (Me) (56.39% left)</t>
  </si>
  <si>
    <t>Hora Lord:     Mars (5 min sign: Sg)</t>
  </si>
  <si>
    <t>Mahakala Hora: Jupiter (5 min sign: Aq)</t>
  </si>
  <si>
    <t>Kaala Lord:    Rahu (Mahakala: Rahu)</t>
  </si>
  <si>
    <t>Sunrise:       6:03:17</t>
  </si>
  <si>
    <t>Sunset:        18:44:17</t>
  </si>
  <si>
    <t>Janma Ghatis:  7.9117</t>
  </si>
  <si>
    <t>Ayanamsa:      23-26-39.19</t>
  </si>
  <si>
    <t>Sidereal Time: 4:40:40</t>
  </si>
  <si>
    <t>Body                    Longitude        Nakshatra Pada Rasi Navamsa</t>
  </si>
  <si>
    <t>Lagna                   16 Le 42' 41.46" PPha      2    Le   Vi</t>
  </si>
  <si>
    <t>Sun - DK                 2 Cn 23' 57.13" Puna      4    Cn   Cn</t>
  </si>
  <si>
    <t>Moon - BK               23 Ta 00' 57.40" Rohi      4    Ta   Cn</t>
  </si>
  <si>
    <t>Mars (R) - AK           28 Cp 06' 31.19" Dhan      2    Cp   Vi</t>
  </si>
  <si>
    <t>Mercury - AmK           27 Cn 07' 47.23" Asre      4    Cn   Pi</t>
  </si>
  <si>
    <t>Jupiter (R) - GK         3 Sc 11' 49.83" Visa      4    Sc   Cn</t>
  </si>
  <si>
    <t>Venus - MK              21 Ge 32' 26.17" Puna      1    Ge   Ar</t>
  </si>
  <si>
    <t>Saturn - PiK             9 Ta 53' 06.76" Krit      4    Ta   Pi</t>
  </si>
  <si>
    <t>Rahu - PK               21 Cp 58' 02.06" Srav      4    Cp   Cn</t>
  </si>
  <si>
    <t>Ketu                    21 Cn 58' 02.06" Asre      2    Cn   Cp</t>
  </si>
  <si>
    <t>Maandi                   8 Sc 13' 55.81" Anu       2    Sc   Vi</t>
  </si>
  <si>
    <t>Gulika                  19 Sc 06' 14.77" Jye       1    Sc   Sg</t>
  </si>
  <si>
    <t>Bhava Lagna             19 Le 52' 10.90" PPha      2    Le   Vi</t>
  </si>
  <si>
    <t>Hora Lagna               7 Li 20' 24.68" Swat      1    Li   Sg</t>
  </si>
  <si>
    <t>Ghati Lagna             29 Aq 45' 05.99" PBha      3    Aq   Ge</t>
  </si>
  <si>
    <t>Vighati Lagna           21 Aq 48' 32.58" PBha      1    Aq   Ar</t>
  </si>
  <si>
    <t>Varnada Lagna           16 Pi 42' 41.46" Reva      1    Pi   Aq</t>
  </si>
  <si>
    <t>Sree Lagna               8 Le 08' 31.14" Magh      3    Le   Ge</t>
  </si>
  <si>
    <t>Pranapada Lagna         21 Aq 48' 32.58" PBha      1    Aq   Ar</t>
  </si>
  <si>
    <t>Indu Lagna              23 Sc 00' 57.40" Jye       2    Sc   Cp</t>
  </si>
  <si>
    <t>Bhrigu Bindu            22 Pi 29' 29.73" Reva      2    Pi   Cp</t>
  </si>
  <si>
    <t>Dhooma                  15 Sc 43' 57.13" Anu       4    Sc   Sc</t>
  </si>
  <si>
    <t>Vyatipata               14 Le 16' 02.87" PPha      1    Le   Le</t>
  </si>
  <si>
    <t>Parivesha               14 Aq 16' 02.87" Sata      3    Aq   Aq</t>
  </si>
  <si>
    <t>Indra Chapa             15 Ta 43' 57.13" Rohi      2    Ta   Ta</t>
  </si>
  <si>
    <t>Upaketu                  2 Ge 23' 57.13" Mrig      3    Ge   Li</t>
  </si>
  <si>
    <t>Kaala                    3 Cp 37' 58.24" USha      3    Cp   Aq</t>
  </si>
  <si>
    <t>Mrityu                  16 Le 48' 09.04" PPha      2    Le   Vi</t>
  </si>
  <si>
    <t>Artha Prahara           10 Vi 40' 57.52" Hast      1    Vi   Ar</t>
  </si>
  <si>
    <t>Yama Ghantaka            4 Li 23' 46.00" Chit      4    Li   Sc</t>
  </si>
  <si>
    <t>Prana Sphuta            12 Li 39' 42.06" Swat      2    Li   Cp</t>
  </si>
  <si>
    <t>Deha Sphuta             23 Cp 13' 53.93" Srav      4    Cp   Cn</t>
  </si>
  <si>
    <t>Mrityu Sphuta           16 Sg 07' 40.49" PSha      1    Sg   Le</t>
  </si>
  <si>
    <t>Sookshma TriSphuta      22 Ar 01' 16.48" Bhar      3    Ar   Li</t>
  </si>
  <si>
    <t>Tithi Sphuta            20 Aq 37' 00.26" PBha      1    Aq   Ar</t>
  </si>
  <si>
    <t>Yoga Sphuta (Sun-Moon)  25 Le 24' 54.53" PPha      4    Le   Sc</t>
  </si>
  <si>
    <t>Rahu Tithi Sphuta       19 Li 34' 04.93" Swat      4    Li   Pi</t>
  </si>
  <si>
    <t>Kshetra Sphuta          24 Li 19' 18.41" Visa      2    Li   Ta</t>
  </si>
  <si>
    <t>Beeja Sphuta            27 Ar 08' 13.13" Krit      1    Ar   Sg</t>
  </si>
  <si>
    <t>TriSphuta               28 Ta 49' 53.62" Mrig      2    Ta   Vi</t>
  </si>
  <si>
    <t>ChatusSphuta             1 Vi 13' 50.75" UPha      2    Vi   Cp</t>
  </si>
  <si>
    <t>PanchaSphuta            23 Ge 11' 52.82" Puna      1    Ge   Ar</t>
  </si>
  <si>
    <t>Kunda                    3 Cp 37' 58.17" USha      3    Cp   Aq</t>
  </si>
  <si>
    <t>Yoga Sphuta             28 Sc 44' 54.53" Jye       4    Sc   Pi</t>
  </si>
  <si>
    <t>Avayoga Sphuta           5 Ge 24' 54.53" Mrig      4    Ge   Sc</t>
  </si>
  <si>
    <t>YogaSaham               28 Sc 44' 54.53" Jye       4    Sc   Pi</t>
  </si>
  <si>
    <t>Date Of Birth</t>
  </si>
  <si>
    <t>Days In Year</t>
  </si>
  <si>
    <t>Days</t>
  </si>
  <si>
    <t>Yellow Cells are Input Cells</t>
  </si>
  <si>
    <r>
      <rPr>
        <sz val="11"/>
        <color rgb="FF000000"/>
        <rFont val="Calibri"/>
        <family val="2"/>
        <charset val="1"/>
      </rPr>
      <t>After you do Edit;Copy Basic Calculations in Jhora. Goto the JHora Sheet and Paste in 1</t>
    </r>
    <r>
      <rPr>
        <vertAlign val="superscript"/>
        <sz val="10"/>
        <color rgb="FFFF0000"/>
        <rFont val="Arial"/>
        <family val="2"/>
        <charset val="1"/>
      </rPr>
      <t>st</t>
    </r>
    <r>
      <rPr>
        <sz val="10"/>
        <color rgb="FFFF0000"/>
        <rFont val="Arial"/>
        <family val="2"/>
        <charset val="1"/>
      </rPr>
      <t xml:space="preserve"> row 1</t>
    </r>
    <r>
      <rPr>
        <vertAlign val="superscript"/>
        <sz val="10"/>
        <color rgb="FFFF0000"/>
        <rFont val="Arial"/>
        <family val="2"/>
        <charset val="1"/>
      </rPr>
      <t>st</t>
    </r>
    <r>
      <rPr>
        <sz val="10"/>
        <color rgb="FFFF0000"/>
        <rFont val="Arial"/>
        <family val="2"/>
        <charset val="1"/>
      </rPr>
      <t xml:space="preserve"> col</t>
    </r>
  </si>
  <si>
    <t>Sphuta Deg</t>
  </si>
  <si>
    <t>Bhavan Deg</t>
  </si>
  <si>
    <t>Nakhshatra Ruler</t>
  </si>
  <si>
    <t>Avastha</t>
  </si>
  <si>
    <t>Retrograde</t>
  </si>
  <si>
    <t>Graha Tithi</t>
  </si>
  <si>
    <t>Tithi Lord</t>
  </si>
  <si>
    <t>D20Deity</t>
  </si>
  <si>
    <t>D27Deity</t>
  </si>
  <si>
    <t>D27 Position</t>
  </si>
  <si>
    <t>D150Division</t>
  </si>
  <si>
    <t>D150Index</t>
  </si>
  <si>
    <t>D150Names</t>
  </si>
  <si>
    <t>AvashtaInt1</t>
  </si>
  <si>
    <t>AvashtaInt2</t>
  </si>
  <si>
    <t>AvashtaInt3</t>
  </si>
  <si>
    <t>AvashtaInt4</t>
  </si>
  <si>
    <t>AvashtaInt5</t>
  </si>
  <si>
    <t>GrahaOrder</t>
  </si>
  <si>
    <t>MyValue</t>
  </si>
  <si>
    <t>-</t>
  </si>
  <si>
    <t xml:space="preserve">If Surya is in Sayan Avastha, the native will incur digestive deficiency, many diseases, stoutness of legs, bilious vitiation, ulcer in the anus and heart strokes; </t>
  </si>
  <si>
    <t>if in Upavesan, will be troubled by diseases, be dull-witted, not endowed with mentionable wealth, will be hard-hearted, will do unworthy acts and will steal others’ wealth;</t>
  </si>
  <si>
    <t xml:space="preserve">If Mangal is placed in Lagn and happens to be in Netrapani, there will be penury; if placed in other Bhavas, Netrapani will confer rulership of a city. </t>
  </si>
  <si>
    <t>if in Agaman, the same effects, due to his being in Gaman, will fructify; (if in Gaman, will visit the courts of kings on many occasions and Goddess Lakshmi will dwell in his abode)</t>
  </si>
  <si>
    <t xml:space="preserve">if in Upavesan, will be garrulous and very proud, will be troubled by the king and enemies and will have ulcers on the feet shanks, face and hands; </t>
  </si>
  <si>
    <t>if in Nidr, will be interested in serving others, will blame others, be heroic, garrulous and will be wandering all over the earth.</t>
  </si>
  <si>
    <t xml:space="preserve">if in Bhojan, will enjoy tastes of food, will be weak-sighted and will be fickle-minded, due to mental delusion; </t>
  </si>
  <si>
    <t xml:space="preserve">If Rahu is in Upavesan, the native will be distressed, due to ulcers, will be endowed with royal association, be highly honourable and ever devoid of financial happiness; </t>
  </si>
  <si>
    <t xml:space="preserve">if in Bhojan, will always be distressed with hunger, penury and diseases and will roam all over the earth; </t>
  </si>
  <si>
    <t>Shri Lagna</t>
  </si>
  <si>
    <t>Varnada Lagna</t>
  </si>
  <si>
    <t>Utpanna(5th) Star</t>
  </si>
  <si>
    <t>Kshema(4th) Star</t>
  </si>
  <si>
    <t>=</t>
  </si>
  <si>
    <t>Sun+Moon</t>
  </si>
  <si>
    <t>Panchanga Yoga</t>
  </si>
  <si>
    <t>Called "Yogi Point" by Sheshadri Iyer</t>
  </si>
  <si>
    <t>Ava Yoga/Yogi</t>
  </si>
  <si>
    <t>Sun+Rahu</t>
  </si>
  <si>
    <t>Sun+Saturn</t>
  </si>
  <si>
    <t>Sun+Venus</t>
  </si>
  <si>
    <t>Panchanga Tithi Number</t>
  </si>
  <si>
    <t>Vighatika Lord</t>
  </si>
  <si>
    <t>SunRise</t>
  </si>
  <si>
    <t>SunSet</t>
  </si>
  <si>
    <t>Vaara</t>
  </si>
  <si>
    <t>Mandi</t>
  </si>
  <si>
    <t>Hrs</t>
  </si>
  <si>
    <t>Ghatikas</t>
  </si>
  <si>
    <t>Day Duration</t>
  </si>
  <si>
    <t>Night Duration</t>
  </si>
  <si>
    <t>TimeSinceSunRise</t>
  </si>
  <si>
    <t>Tattva Index</t>
  </si>
  <si>
    <t>Ahargana</t>
  </si>
  <si>
    <t xml:space="preserve"> Day</t>
  </si>
  <si>
    <t>day/Night Birth</t>
  </si>
  <si>
    <t>Kali Era</t>
  </si>
  <si>
    <t>Or</t>
  </si>
  <si>
    <t>Ayanamsha</t>
  </si>
  <si>
    <t>Planet</t>
  </si>
  <si>
    <t>Longitude</t>
  </si>
  <si>
    <t>Nakshatra</t>
  </si>
  <si>
    <t>Nak Ruler</t>
  </si>
  <si>
    <t>D1</t>
  </si>
  <si>
    <t>D1#</t>
  </si>
  <si>
    <t>D3#</t>
  </si>
  <si>
    <t>D3</t>
  </si>
  <si>
    <t>D4#</t>
  </si>
  <si>
    <t>D4</t>
  </si>
  <si>
    <t>D7#</t>
  </si>
  <si>
    <t>D7</t>
  </si>
  <si>
    <t>D9#</t>
  </si>
  <si>
    <t>D9</t>
  </si>
  <si>
    <t>D10#</t>
  </si>
  <si>
    <t>D10</t>
  </si>
  <si>
    <t>D12#</t>
  </si>
  <si>
    <t>D12</t>
  </si>
  <si>
    <t>SD3</t>
  </si>
  <si>
    <t>Asc</t>
  </si>
  <si>
    <t>Sun</t>
  </si>
  <si>
    <t>Moon</t>
  </si>
  <si>
    <t>Mars</t>
  </si>
  <si>
    <t>Mercury</t>
  </si>
  <si>
    <t>Jupiter</t>
  </si>
  <si>
    <t>Venus</t>
  </si>
  <si>
    <t>Saturn</t>
  </si>
  <si>
    <t>Rahu</t>
  </si>
  <si>
    <t>Ketu</t>
  </si>
  <si>
    <t>VL</t>
  </si>
  <si>
    <t>Navamsa</t>
  </si>
  <si>
    <t>Drekkana</t>
  </si>
  <si>
    <t>*
  *
    *</t>
  </si>
  <si>
    <t xml:space="preserve">    *
  *
*</t>
  </si>
  <si>
    <t>RASI CHART</t>
  </si>
  <si>
    <t>Rashi</t>
  </si>
  <si>
    <t>Special Nakshatras From</t>
  </si>
  <si>
    <t>Nakshatra Name</t>
  </si>
  <si>
    <t>Sanskrit</t>
  </si>
  <si>
    <t>Ref:</t>
  </si>
  <si>
    <t>Number</t>
  </si>
  <si>
    <t>28 Nx</t>
  </si>
  <si>
    <t>Lords</t>
  </si>
  <si>
    <t>*</t>
  </si>
  <si>
    <t>27 Nx</t>
  </si>
  <si>
    <t>Navamsa House</t>
  </si>
  <si>
    <t>Pada</t>
  </si>
  <si>
    <t>Janma/Pritvi</t>
  </si>
  <si>
    <t>Janma</t>
  </si>
  <si>
    <t>Jaati</t>
  </si>
  <si>
    <r>
      <rPr>
        <b/>
        <sz val="14"/>
        <color rgb="FF000000"/>
        <rFont val="Arial"/>
        <family val="2"/>
        <charset val="1"/>
      </rPr>
      <t xml:space="preserve">जाति </t>
    </r>
    <r>
      <rPr>
        <b/>
        <sz val="14"/>
        <color rgb="FF000000"/>
        <rFont val="Times New Roman"/>
        <family val="1"/>
        <charset val="1"/>
      </rPr>
      <t>jāti</t>
    </r>
  </si>
  <si>
    <t>Naidhana</t>
  </si>
  <si>
    <r>
      <rPr>
        <b/>
        <sz val="14"/>
        <color rgb="FF000000"/>
        <rFont val="Arial"/>
        <family val="2"/>
        <charset val="1"/>
      </rPr>
      <t xml:space="preserve">नैधन </t>
    </r>
    <r>
      <rPr>
        <b/>
        <sz val="14"/>
        <color rgb="FF000000"/>
        <rFont val="Times New Roman"/>
        <family val="1"/>
        <charset val="1"/>
      </rPr>
      <t>naidhana</t>
    </r>
  </si>
  <si>
    <t>Mātṛi /King</t>
  </si>
  <si>
    <r>
      <rPr>
        <b/>
        <sz val="14"/>
        <color rgb="FF000000"/>
        <rFont val="Arial"/>
        <family val="2"/>
        <charset val="1"/>
      </rPr>
      <t xml:space="preserve">मतृ </t>
    </r>
    <r>
      <rPr>
        <b/>
        <sz val="14"/>
        <color rgb="FF000000"/>
        <rFont val="Times New Roman"/>
        <family val="1"/>
        <charset val="1"/>
      </rPr>
      <t>matṛ</t>
    </r>
  </si>
  <si>
    <t>Karma/Dvija/Dwijanma</t>
  </si>
  <si>
    <r>
      <rPr>
        <b/>
        <sz val="14"/>
        <color rgb="FF000000"/>
        <rFont val="Arial"/>
        <family val="2"/>
        <charset val="1"/>
      </rPr>
      <t xml:space="preserve">कर्म </t>
    </r>
    <r>
      <rPr>
        <b/>
        <sz val="14"/>
        <color rgb="FF000000"/>
        <rFont val="Times New Roman"/>
        <family val="1"/>
        <charset val="1"/>
      </rPr>
      <t>karma</t>
    </r>
  </si>
  <si>
    <t>Income??/Needs Chastity</t>
  </si>
  <si>
    <t>Desha</t>
  </si>
  <si>
    <r>
      <rPr>
        <b/>
        <sz val="14"/>
        <color rgb="FF000000"/>
        <rFont val="Arial"/>
        <family val="2"/>
        <charset val="1"/>
      </rPr>
      <t xml:space="preserve">देश </t>
    </r>
    <r>
      <rPr>
        <b/>
        <sz val="14"/>
        <color rgb="FF000000"/>
        <rFont val="Times New Roman"/>
        <family val="1"/>
        <charset val="1"/>
      </rPr>
      <t>deśa</t>
    </r>
  </si>
  <si>
    <t>Assistant/Raajya/Destiny</t>
  </si>
  <si>
    <t>राज्य rājya</t>
  </si>
  <si>
    <t>DNA??</t>
  </si>
  <si>
    <t>New Start ?? Self</t>
  </si>
  <si>
    <t>Sanghaatika/Kundalini</t>
  </si>
  <si>
    <r>
      <rPr>
        <b/>
        <sz val="14"/>
        <color rgb="FF000000"/>
        <rFont val="Arial"/>
        <family val="2"/>
        <charset val="1"/>
      </rPr>
      <t xml:space="preserve">सङ्गटिक </t>
    </r>
    <r>
      <rPr>
        <b/>
        <sz val="14"/>
        <color rgb="FF000000"/>
        <rFont val="Times New Roman"/>
        <family val="1"/>
        <charset val="1"/>
      </rPr>
      <t>saṅgāṭika</t>
    </r>
  </si>
  <si>
    <t>Chandra Ashtama (Follower)</t>
  </si>
  <si>
    <t>Ashtama Nakshatra</t>
  </si>
  <si>
    <t>Samudaayika</t>
  </si>
  <si>
    <r>
      <rPr>
        <b/>
        <sz val="14"/>
        <color rgb="FF000000"/>
        <rFont val="Arial"/>
        <family val="2"/>
        <charset val="1"/>
      </rPr>
      <t xml:space="preserve">समुदायिक </t>
    </r>
    <r>
      <rPr>
        <b/>
        <sz val="14"/>
        <color rgb="FF000000"/>
        <rFont val="Times New Roman"/>
        <family val="1"/>
        <charset val="1"/>
      </rPr>
      <t xml:space="preserve">samudāyika </t>
    </r>
  </si>
  <si>
    <t>Aadhana/Father</t>
  </si>
  <si>
    <r>
      <rPr>
        <b/>
        <sz val="14"/>
        <color rgb="FF000000"/>
        <rFont val="Arial"/>
        <family val="2"/>
        <charset val="1"/>
      </rPr>
      <t xml:space="preserve">आधन </t>
    </r>
    <r>
      <rPr>
        <b/>
        <sz val="14"/>
        <color rgb="FF000000"/>
        <rFont val="Times New Roman"/>
        <family val="1"/>
        <charset val="1"/>
      </rPr>
      <t>ādhana</t>
    </r>
  </si>
  <si>
    <t>How you write Like Ganesha Guru Word/Recollect</t>
  </si>
  <si>
    <t>Takes to Spirituality/Transformation??</t>
  </si>
  <si>
    <t>Vainashika</t>
  </si>
  <si>
    <r>
      <rPr>
        <b/>
        <sz val="14"/>
        <color rgb="FF000000"/>
        <rFont val="Arial"/>
        <family val="2"/>
        <charset val="1"/>
      </rPr>
      <t xml:space="preserve">वैनशिक </t>
    </r>
    <r>
      <rPr>
        <b/>
        <sz val="14"/>
        <color rgb="FF000000"/>
        <rFont val="Times New Roman"/>
        <family val="1"/>
        <charset val="1"/>
      </rPr>
      <t>vainaśika</t>
    </r>
  </si>
  <si>
    <t>Initiations</t>
  </si>
  <si>
    <t>Iccha Mṛityu/Sati</t>
  </si>
  <si>
    <t>Maanasa/Jaati(?)/Vayu</t>
  </si>
  <si>
    <r>
      <rPr>
        <b/>
        <sz val="14"/>
        <color rgb="FF000000"/>
        <rFont val="Arial"/>
        <family val="2"/>
        <charset val="1"/>
      </rPr>
      <t xml:space="preserve">मानस </t>
    </r>
    <r>
      <rPr>
        <b/>
        <sz val="14"/>
        <color rgb="FF000000"/>
        <rFont val="Times New Roman"/>
        <family val="1"/>
        <charset val="1"/>
      </rPr>
      <t>mānasa</t>
    </r>
  </si>
  <si>
    <t>Brahma(?)/Desha(?)/Agni</t>
  </si>
  <si>
    <t>Vishnu/Aakaasha</t>
  </si>
  <si>
    <t>Abhisheka/Jala</t>
  </si>
  <si>
    <r>
      <rPr>
        <b/>
        <sz val="14"/>
        <color rgb="FF000000"/>
        <rFont val="Arial"/>
        <family val="2"/>
        <charset val="1"/>
      </rPr>
      <t xml:space="preserve">अभिशेक </t>
    </r>
    <r>
      <rPr>
        <b/>
        <sz val="14"/>
        <color rgb="FF000000"/>
        <rFont val="Times New Roman"/>
        <family val="1"/>
        <charset val="1"/>
      </rPr>
      <t>abhiśeka</t>
    </r>
  </si>
  <si>
    <t>Special Nakshatras From Sun</t>
  </si>
  <si>
    <t>Role</t>
  </si>
  <si>
    <t>Meaning</t>
  </si>
  <si>
    <t>Nax #</t>
  </si>
  <si>
    <t>Vidyunmukha</t>
  </si>
  <si>
    <t>mouth of lightning</t>
  </si>
  <si>
    <t>Shula</t>
  </si>
  <si>
    <t>sharp and piercing</t>
  </si>
  <si>
    <t>Sannipata</t>
  </si>
  <si>
    <t>trouble creator like Saturn</t>
  </si>
  <si>
    <t>unpredictable</t>
  </si>
  <si>
    <t>Ulka</t>
  </si>
  <si>
    <t>fireball</t>
  </si>
  <si>
    <t>Kampa</t>
  </si>
  <si>
    <t>shiver</t>
  </si>
  <si>
    <t>Vajraka</t>
  </si>
  <si>
    <t>lighning</t>
  </si>
  <si>
    <t>Nirghata</t>
  </si>
  <si>
    <t>deadly</t>
  </si>
  <si>
    <t>Navatara</t>
  </si>
  <si>
    <t>Kaaraka</t>
  </si>
  <si>
    <t>#</t>
  </si>
  <si>
    <t>Ruler</t>
  </si>
  <si>
    <t>Deha</t>
  </si>
  <si>
    <t>Navatara 1</t>
  </si>
  <si>
    <t>Use 1st Level</t>
  </si>
  <si>
    <t>Manasa</t>
  </si>
  <si>
    <t>Navatara 2</t>
  </si>
  <si>
    <t>Use 2</t>
  </si>
  <si>
    <t>Atma</t>
  </si>
  <si>
    <t>Navatara 3</t>
  </si>
  <si>
    <t>Use 3</t>
  </si>
  <si>
    <t>Ruler_</t>
  </si>
  <si>
    <t>#2</t>
  </si>
  <si>
    <t>Karma</t>
  </si>
  <si>
    <t>Pita/Guru</t>
  </si>
  <si>
    <t>Sampat</t>
  </si>
  <si>
    <t>Dhana-Dhaanya</t>
  </si>
  <si>
    <t>Vivaaha</t>
  </si>
  <si>
    <t>Aaraadhana/Bhaagya</t>
  </si>
  <si>
    <t>Vipat</t>
  </si>
  <si>
    <t>Kashta-Durbhaagya</t>
  </si>
  <si>
    <t>Durbalata</t>
  </si>
  <si>
    <t>Dishaa/Patha</t>
  </si>
  <si>
    <t>Kshema/Jaati</t>
  </si>
  <si>
    <t>Aashraya-Raksha</t>
  </si>
  <si>
    <t>Suraksha</t>
  </si>
  <si>
    <t>Devaalaya/Garbha Griha</t>
  </si>
  <si>
    <t>Pratyari</t>
  </si>
  <si>
    <t>Sangharsha-Anadhar</t>
  </si>
  <si>
    <t>Chunauti/Challenge</t>
  </si>
  <si>
    <t>Kasauti/Test</t>
  </si>
  <si>
    <t>Saadhaka</t>
  </si>
  <si>
    <t>Sampurna Siddhi</t>
  </si>
  <si>
    <t>Uparjan/Produce/Earn</t>
  </si>
  <si>
    <t>Siddhi/Aushadhi</t>
  </si>
  <si>
    <t>Naidhana/Vadha</t>
  </si>
  <si>
    <t>Vadhik-Ghatak</t>
  </si>
  <si>
    <t>Malla Yuddha</t>
  </si>
  <si>
    <t>Sanyaasa/Mrityu</t>
  </si>
  <si>
    <t>Mitra</t>
  </si>
  <si>
    <t>Sahaayaka/Helper</t>
  </si>
  <si>
    <t>Saha Karmi/Co-Workger</t>
  </si>
  <si>
    <t>Sangha Bandhu/Relative</t>
  </si>
  <si>
    <t>Parama Mitra</t>
  </si>
  <si>
    <t>Samrakshaka</t>
  </si>
  <si>
    <t>Adhi Naayaka</t>
  </si>
  <si>
    <t>Raajya Abhisheka/Lakshya</t>
  </si>
  <si>
    <t>Grahas'</t>
  </si>
  <si>
    <t>Nx#</t>
  </si>
  <si>
    <t>Degree</t>
  </si>
  <si>
    <t>Pinda (sun)</t>
  </si>
  <si>
    <t>Nisarga(Moon)</t>
  </si>
  <si>
    <t>Amsha (Lagna Lord)</t>
  </si>
  <si>
    <t>Samudaya Ashtakavarga (Saturn)</t>
  </si>
  <si>
    <t>Rashmi (Mercury)</t>
  </si>
  <si>
    <t>Kaalachakra(Venus)</t>
  </si>
  <si>
    <t>BhinnaAshtakvarga (Mars)</t>
  </si>
  <si>
    <t>Nakshatraja (Jupiter)</t>
  </si>
  <si>
    <t>Graha</t>
  </si>
  <si>
    <t>Jataka</t>
  </si>
  <si>
    <t>Debility</t>
  </si>
  <si>
    <t>Distance</t>
  </si>
  <si>
    <t>Maana</t>
  </si>
  <si>
    <t>Correction</t>
  </si>
  <si>
    <t>Age-P</t>
  </si>
  <si>
    <t>Maana2</t>
  </si>
  <si>
    <t>Correction3</t>
  </si>
  <si>
    <t>Age-N</t>
  </si>
  <si>
    <t>Correction5</t>
  </si>
  <si>
    <t>Age-A</t>
  </si>
  <si>
    <t>MaanaR</t>
  </si>
  <si>
    <t>Age-R</t>
  </si>
  <si>
    <t>Factor</t>
  </si>
  <si>
    <t>Age-K</t>
  </si>
  <si>
    <t>Age-B</t>
  </si>
  <si>
    <t>Age-Nx</t>
  </si>
  <si>
    <t>Lagna</t>
  </si>
  <si>
    <t>Total</t>
  </si>
  <si>
    <t>Equate to Solar</t>
  </si>
  <si>
    <t>Year</t>
  </si>
  <si>
    <t>Ratio</t>
  </si>
  <si>
    <t>Example</t>
  </si>
  <si>
    <t>Solar</t>
  </si>
  <si>
    <t>Paksha</t>
  </si>
  <si>
    <t>Savana</t>
  </si>
  <si>
    <t>Deg*</t>
  </si>
  <si>
    <t>Sthana Bala (8)</t>
  </si>
  <si>
    <t>Dik Bala</t>
  </si>
  <si>
    <t>Kaala Bala</t>
  </si>
  <si>
    <t>Naisarga Bala</t>
  </si>
  <si>
    <t>Ayana (Ghatika L)</t>
  </si>
  <si>
    <t>Drig Bala</t>
  </si>
  <si>
    <t>Yuddha</t>
  </si>
  <si>
    <t>Cheshta Bala (7th House)</t>
  </si>
  <si>
    <t>Uccha(1) (Akaasha)</t>
  </si>
  <si>
    <t>Sapta Vargaja(5.25)
(Vaayu)</t>
  </si>
  <si>
    <t>Oja-Yugma(0.5)-Ojas/Agni</t>
  </si>
  <si>
    <t>Kendradi(1) (Jala)</t>
  </si>
  <si>
    <t>Dreshkana(0.25) (Pritvi)</t>
  </si>
  <si>
    <t>Total Staana Bala</t>
  </si>
  <si>
    <t>Natonnata(1) (Varanada Lagna)</t>
  </si>
  <si>
    <t>Paksha(1) (Lagna)</t>
  </si>
  <si>
    <t>Tribhaga(1) (Hora L)</t>
  </si>
  <si>
    <t>Horaadi</t>
  </si>
  <si>
    <t>Total Kaala</t>
  </si>
  <si>
    <t>D2</t>
  </si>
  <si>
    <t>D30</t>
  </si>
  <si>
    <t>Varsha(.25)</t>
  </si>
  <si>
    <t>Masa(.5)</t>
  </si>
  <si>
    <t>Dina(0.75)</t>
  </si>
  <si>
    <t>Hora(1)</t>
  </si>
  <si>
    <t>Total Horaadi</t>
  </si>
  <si>
    <t>Graha Guna</t>
  </si>
  <si>
    <t>Sum</t>
  </si>
  <si>
    <t>G#</t>
  </si>
  <si>
    <t>Gx</t>
  </si>
  <si>
    <t>GD9</t>
  </si>
  <si>
    <t>GD30</t>
  </si>
  <si>
    <t>Vimsottari Years</t>
  </si>
  <si>
    <t>Vimsottari Seq</t>
  </si>
  <si>
    <t>Use Forward Table?</t>
  </si>
  <si>
    <t>TRUE</t>
  </si>
  <si>
    <t>Solar Years</t>
  </si>
  <si>
    <t>Sequence</t>
  </si>
  <si>
    <t>Sol Days/Deg</t>
  </si>
  <si>
    <t>Sol Days/Min</t>
  </si>
  <si>
    <t>Sol Days/Sec</t>
  </si>
  <si>
    <t>Dasa Days/Min</t>
  </si>
  <si>
    <t>Vimsottari Calculation 1</t>
  </si>
  <si>
    <t>Moon Speed</t>
  </si>
  <si>
    <t>Dasa Sensitivity Days/Min</t>
  </si>
  <si>
    <t>Vimsottari Dasa</t>
  </si>
  <si>
    <t>Vimsottari Degree</t>
  </si>
  <si>
    <t>Starting Dasa</t>
  </si>
  <si>
    <t>Balance Of Dasa</t>
  </si>
  <si>
    <t>Dasa Past</t>
  </si>
  <si>
    <t>&lt;-Corrections Days</t>
  </si>
  <si>
    <t>Maha</t>
  </si>
  <si>
    <t>Antar</t>
  </si>
  <si>
    <t>Praty</t>
  </si>
  <si>
    <t>Suksma</t>
  </si>
  <si>
    <t>Praana</t>
  </si>
  <si>
    <t>Order</t>
  </si>
  <si>
    <t>Name</t>
  </si>
  <si>
    <t>Insert Arrow</t>
  </si>
  <si>
    <t>Maha daśā</t>
  </si>
  <si>
    <t>Solar Age</t>
  </si>
  <si>
    <t>Mark Arrow Below</t>
  </si>
  <si>
    <t>Antardasas of</t>
  </si>
  <si>
    <t>Pratyantar of</t>
  </si>
  <si>
    <t>Sukshma</t>
  </si>
  <si>
    <t>&gt;</t>
  </si>
  <si>
    <t>Kshema</t>
  </si>
  <si>
    <t>Pratyak</t>
  </si>
  <si>
    <t>Saadana</t>
  </si>
  <si>
    <t>Naidana</t>
  </si>
  <si>
    <t>Paramitra</t>
  </si>
  <si>
    <t>Duration</t>
  </si>
  <si>
    <r>
      <rPr>
        <sz val="11"/>
        <color rgb="FF000000"/>
        <rFont val="Calibri"/>
        <family val="2"/>
        <charset val="1"/>
      </rPr>
      <t>1</t>
    </r>
    <r>
      <rPr>
        <vertAlign val="superscript"/>
        <sz val="11"/>
        <color rgb="FF000000"/>
        <rFont val="Calibri"/>
        <family val="2"/>
        <charset val="1"/>
      </rPr>
      <t>st</t>
    </r>
    <r>
      <rPr>
        <sz val="11"/>
        <color rgb="FF000000"/>
        <rFont val="Calibri"/>
        <family val="2"/>
        <charset val="1"/>
      </rPr>
      <t>/4Part</t>
    </r>
  </si>
  <si>
    <r>
      <rPr>
        <sz val="11"/>
        <color rgb="FF000000"/>
        <rFont val="Calibri"/>
        <family val="2"/>
        <charset val="1"/>
      </rPr>
      <t>1</t>
    </r>
    <r>
      <rPr>
        <vertAlign val="superscript"/>
        <sz val="11"/>
        <color rgb="FF000000"/>
        <rFont val="Calibri"/>
        <family val="2"/>
        <charset val="1"/>
      </rPr>
      <t>st</t>
    </r>
    <r>
      <rPr>
        <sz val="11"/>
        <color rgb="FF000000"/>
        <rFont val="Calibri"/>
        <family val="2"/>
        <charset val="1"/>
      </rPr>
      <t xml:space="preserve"> Part</t>
    </r>
  </si>
  <si>
    <r>
      <rPr>
        <sz val="11"/>
        <color rgb="FF000000"/>
        <rFont val="Calibri"/>
        <family val="2"/>
        <charset val="1"/>
      </rPr>
      <t>2</t>
    </r>
    <r>
      <rPr>
        <vertAlign val="superscript"/>
        <sz val="11"/>
        <color rgb="FF000000"/>
        <rFont val="Calibri"/>
        <family val="2"/>
        <charset val="1"/>
      </rPr>
      <t>nd</t>
    </r>
    <r>
      <rPr>
        <sz val="11"/>
        <color rgb="FF000000"/>
        <rFont val="Calibri"/>
        <family val="2"/>
        <charset val="1"/>
      </rPr>
      <t>/4Part</t>
    </r>
  </si>
  <si>
    <r>
      <rPr>
        <sz val="11"/>
        <color rgb="FF000000"/>
        <rFont val="Calibri"/>
        <family val="2"/>
        <charset val="1"/>
      </rPr>
      <t>2</t>
    </r>
    <r>
      <rPr>
        <vertAlign val="superscript"/>
        <sz val="11"/>
        <color rgb="FF000000"/>
        <rFont val="Calibri"/>
        <family val="2"/>
        <charset val="1"/>
      </rPr>
      <t>nd</t>
    </r>
    <r>
      <rPr>
        <sz val="11"/>
        <color rgb="FF000000"/>
        <rFont val="Calibri"/>
        <family val="2"/>
        <charset val="1"/>
      </rPr>
      <t xml:space="preserve"> Part</t>
    </r>
  </si>
  <si>
    <r>
      <rPr>
        <sz val="11"/>
        <color rgb="FF000000"/>
        <rFont val="Calibri"/>
        <family val="2"/>
        <charset val="1"/>
      </rPr>
      <t>3</t>
    </r>
    <r>
      <rPr>
        <vertAlign val="superscript"/>
        <sz val="11"/>
        <color rgb="FF000000"/>
        <rFont val="Calibri"/>
        <family val="2"/>
        <charset val="1"/>
      </rPr>
      <t>rd</t>
    </r>
    <r>
      <rPr>
        <sz val="11"/>
        <color rgb="FF000000"/>
        <rFont val="Calibri"/>
        <family val="2"/>
        <charset val="1"/>
      </rPr>
      <t>/4Part</t>
    </r>
  </si>
  <si>
    <r>
      <rPr>
        <sz val="11"/>
        <color rgb="FF000000"/>
        <rFont val="Calibri"/>
        <family val="2"/>
        <charset val="1"/>
      </rPr>
      <t>3</t>
    </r>
    <r>
      <rPr>
        <vertAlign val="superscript"/>
        <sz val="11"/>
        <color rgb="FF000000"/>
        <rFont val="Calibri"/>
        <family val="2"/>
        <charset val="1"/>
      </rPr>
      <t>rd</t>
    </r>
    <r>
      <rPr>
        <sz val="11"/>
        <color rgb="FF000000"/>
        <rFont val="Calibri"/>
        <family val="2"/>
        <charset val="1"/>
      </rPr>
      <t xml:space="preserve"> Part</t>
    </r>
  </si>
  <si>
    <r>
      <rPr>
        <sz val="11"/>
        <color rgb="FF000000"/>
        <rFont val="Calibri"/>
        <family val="2"/>
        <charset val="1"/>
      </rPr>
      <t>4</t>
    </r>
    <r>
      <rPr>
        <vertAlign val="superscript"/>
        <sz val="11"/>
        <color rgb="FF000000"/>
        <rFont val="Calibri"/>
        <family val="2"/>
        <charset val="1"/>
      </rPr>
      <t>th</t>
    </r>
    <r>
      <rPr>
        <sz val="11"/>
        <color rgb="FF000000"/>
        <rFont val="Calibri"/>
        <family val="2"/>
        <charset val="1"/>
      </rPr>
      <t>/4Part</t>
    </r>
  </si>
  <si>
    <r>
      <rPr>
        <sz val="11"/>
        <color rgb="FF000000"/>
        <rFont val="Calibri"/>
        <family val="2"/>
        <charset val="1"/>
      </rPr>
      <t>4</t>
    </r>
    <r>
      <rPr>
        <vertAlign val="superscript"/>
        <sz val="11"/>
        <color rgb="FF000000"/>
        <rFont val="Calibri"/>
        <family val="2"/>
        <charset val="1"/>
      </rPr>
      <t>th</t>
    </r>
    <r>
      <rPr>
        <sz val="11"/>
        <color rgb="FF000000"/>
        <rFont val="Calibri"/>
        <family val="2"/>
        <charset val="1"/>
      </rPr>
      <t xml:space="preserve"> Part</t>
    </r>
  </si>
  <si>
    <t>Rashi Bhukti Vimshottari</t>
  </si>
  <si>
    <t>Rashi Bhukti</t>
  </si>
  <si>
    <t>Progress frwd</t>
  </si>
  <si>
    <t>Ashtakavarga of</t>
  </si>
  <si>
    <t>Start Sign</t>
  </si>
  <si>
    <t>AV Score</t>
  </si>
  <si>
    <t>Portion</t>
  </si>
  <si>
    <t>1/12</t>
  </si>
  <si>
    <t>2/12</t>
  </si>
  <si>
    <t>3/12</t>
  </si>
  <si>
    <t>4/12</t>
  </si>
  <si>
    <t>5/12</t>
  </si>
  <si>
    <t>6/12</t>
  </si>
  <si>
    <t>7/12</t>
  </si>
  <si>
    <t>8/12</t>
  </si>
  <si>
    <t>9/12</t>
  </si>
  <si>
    <t>10/12</t>
  </si>
  <si>
    <t>11/12</t>
  </si>
  <si>
    <t>12/12</t>
  </si>
  <si>
    <t>Breakup of MahaDasa</t>
  </si>
  <si>
    <t>Maha Dasa</t>
  </si>
  <si>
    <t>Antardasa/Bhukti</t>
  </si>
  <si>
    <t>Pratyantardasa</t>
  </si>
  <si>
    <t>Sookshmantara</t>
  </si>
  <si>
    <t>Praanantar</t>
  </si>
  <si>
    <t>Dehantar</t>
  </si>
  <si>
    <t>Breakup of marked "&gt;" above</t>
  </si>
  <si>
    <t>Vimshottai Factor=</t>
  </si>
  <si>
    <t>1/3 for Tribhaga Dasa</t>
  </si>
  <si>
    <t>Vimsottari Calcutions 1</t>
  </si>
  <si>
    <t>Vimsottari Calcutions 2</t>
  </si>
  <si>
    <t>Vimsottari Calcutions 3</t>
  </si>
  <si>
    <t>Vimsottari Calcutions 4</t>
  </si>
  <si>
    <t>Vimsottari Calcutions 5</t>
  </si>
  <si>
    <t>Vimshottari seed</t>
  </si>
  <si>
    <t>Calculate Retrograde?</t>
  </si>
  <si>
    <t>DaysInYear</t>
  </si>
  <si>
    <t>Birth Dasa</t>
  </si>
  <si>
    <t>Dasa</t>
  </si>
  <si>
    <t>Antar/Bhukti</t>
  </si>
  <si>
    <t>Pratyantar</t>
  </si>
  <si>
    <t>Sookshma</t>
  </si>
  <si>
    <t>On Date</t>
  </si>
  <si>
    <t>Event Remarks</t>
  </si>
  <si>
    <t>Show?</t>
  </si>
  <si>
    <t>Start Date</t>
  </si>
  <si>
    <t>End Date</t>
  </si>
  <si>
    <t>Cycle Duration Days</t>
  </si>
  <si>
    <t>%Frac Past in Cyc</t>
  </si>
  <si>
    <t>Dasa# @ Given time</t>
  </si>
  <si>
    <t>Dasa @ Given time</t>
  </si>
  <si>
    <t>Now() The current dasa</t>
  </si>
  <si>
    <t>Yoga#</t>
  </si>
  <si>
    <t>Sat</t>
  </si>
  <si>
    <t>Ve</t>
  </si>
  <si>
    <t>Ju</t>
  </si>
  <si>
    <t>Me</t>
  </si>
  <si>
    <t>Ma</t>
  </si>
  <si>
    <t>Mo</t>
  </si>
  <si>
    <t>Su</t>
  </si>
  <si>
    <t>Grahas</t>
  </si>
  <si>
    <t>Yoga Name/Results</t>
  </si>
  <si>
    <t>References</t>
  </si>
  <si>
    <t>Conjoined Grahas</t>
  </si>
  <si>
    <t>Sat2</t>
  </si>
  <si>
    <t>Column2</t>
  </si>
  <si>
    <t>Column3</t>
  </si>
  <si>
    <t>Column4</t>
  </si>
  <si>
    <t>Column5</t>
  </si>
  <si>
    <t>Column6</t>
  </si>
  <si>
    <t>Column7</t>
  </si>
  <si>
    <t>Stree Vasha, Kriya Nipuna</t>
  </si>
  <si>
    <t>JP8.1</t>
  </si>
  <si>
    <t>Count - Grahas*</t>
  </si>
  <si>
    <t>Tejasvi, Bala Satvavaan, Anrita Vaak, Paapi</t>
  </si>
  <si>
    <t>Shoora,Satkula,Dharma,Vitta,Gunavaan</t>
  </si>
  <si>
    <t>JP8.2</t>
  </si>
  <si>
    <t>Vidya,Rupa,Balanvita, Astiramati</t>
  </si>
  <si>
    <t>Dharmi,Shaastra Para, Vichitra Gunavaan</t>
  </si>
  <si>
    <t>Vagmi, Aushadhisha,</t>
  </si>
  <si>
    <t>Total Result</t>
  </si>
  <si>
    <t>GiriVana Tapasvi Sarvavandya</t>
  </si>
  <si>
    <t>JP15.36 (2)</t>
  </si>
  <si>
    <t>Shraddha Karma Para, Nripapriya, Dhani</t>
  </si>
  <si>
    <t>Saadhu Janaa Aashraya, Atimatimaan.</t>
  </si>
  <si>
    <t>JP8.3</t>
  </si>
  <si>
    <t>Tapasvi Moola Phala Ashna</t>
  </si>
  <si>
    <t>JP15.32 (3)</t>
  </si>
  <si>
    <t>Yati ValkalaBhuti Dhara</t>
  </si>
  <si>
    <t>JP15.33 (2)</t>
  </si>
  <si>
    <t>Vidya Muni Astradooshaka</t>
  </si>
  <si>
    <t>JP15.28</t>
  </si>
  <si>
    <t>Strimula Archita Bandumaan, Praangya,</t>
  </si>
  <si>
    <t>paapaatma, krivikriya kushala</t>
  </si>
  <si>
    <t>JP15.36 (1)</t>
  </si>
  <si>
    <t>Yati Valka Phala Ashna</t>
  </si>
  <si>
    <t>JP15.35 (1)</t>
  </si>
  <si>
    <t>JP15.33 (1)</t>
  </si>
  <si>
    <t>JP15.36 (4)</t>
  </si>
  <si>
    <t>Dwi Guru</t>
  </si>
  <si>
    <t>Yati Dukhita Deena</t>
  </si>
  <si>
    <t>JP15.37 (2)</t>
  </si>
  <si>
    <t>Vrati/Tapasvi Aayata Aksha</t>
  </si>
  <si>
    <t>JP15.29 (1)/JP15.39 (1)</t>
  </si>
  <si>
    <t>Praayamati(Dull), Sapatna(Enemy)Vashaga</t>
  </si>
  <si>
    <t>Kustriika, pitru dooshaka, gata dhana</t>
  </si>
  <si>
    <t>Tapasvi Shaanta</t>
  </si>
  <si>
    <t>JP15.34 (1)</t>
  </si>
  <si>
    <t>Jatadhara Valka Dharini</t>
  </si>
  <si>
    <t>JP15.38 (2)</t>
  </si>
  <si>
    <t>JP15.32 (1)</t>
  </si>
  <si>
    <t>Tapasi</t>
  </si>
  <si>
    <t>JP15.24</t>
  </si>
  <si>
    <t>Vrata</t>
  </si>
  <si>
    <t>JP15.26</t>
  </si>
  <si>
    <t>JP15.34 (2)</t>
  </si>
  <si>
    <t>JP15.37 (3)</t>
  </si>
  <si>
    <t>Vanaparya</t>
  </si>
  <si>
    <t>JP15.27</t>
  </si>
  <si>
    <t>Vrati</t>
  </si>
  <si>
    <t>JP15.29 (2)</t>
  </si>
  <si>
    <t>JP15.32 (2)</t>
  </si>
  <si>
    <t>JP15.35 (2)</t>
  </si>
  <si>
    <t>JP15.29 (3)</t>
  </si>
  <si>
    <t>JP15.36 (3)</t>
  </si>
  <si>
    <t>Yati Valka Phala Ashna (?)/GiriVana Tapasvi Sarvavandya</t>
  </si>
  <si>
    <t>JP15.35 (3)?/JP15.36 (4)</t>
  </si>
  <si>
    <t>JP15.37 (1)</t>
  </si>
  <si>
    <t>Muni Tapasvi//Tapasvi Aayata Aksha</t>
  </si>
  <si>
    <t>JP15.30 (1)//JP15.39 (2)</t>
  </si>
  <si>
    <t>Muni Tapasvi</t>
  </si>
  <si>
    <t>JP15.30 (2)</t>
  </si>
  <si>
    <t>JP15.38 (1)</t>
  </si>
  <si>
    <t>Tapasvi</t>
  </si>
  <si>
    <t>JP15.31  (1)</t>
  </si>
  <si>
    <t>JP15.31  (2)</t>
  </si>
  <si>
    <t>Gola Yoga</t>
  </si>
  <si>
    <t>BPHS Nabhasa Yoga</t>
  </si>
  <si>
    <t>Names</t>
  </si>
  <si>
    <t>Years</t>
  </si>
  <si>
    <t>Scheme/Order</t>
  </si>
  <si>
    <t>Comments</t>
  </si>
  <si>
    <t>Ruling Graha</t>
  </si>
  <si>
    <t>Vimshottari</t>
  </si>
  <si>
    <t>Kritika</t>
  </si>
  <si>
    <t>Jupiter/Moon</t>
  </si>
  <si>
    <t>9x3</t>
  </si>
  <si>
    <t>Ashtottari</t>
  </si>
  <si>
    <t>Ardra</t>
  </si>
  <si>
    <t xml:space="preserve">4Nax-3Nax Grouping चतुष्कं त्रितयं तस्मात्‌ चतुष्कं त्रितयं पुनः </t>
  </si>
  <si>
    <t>-Ketu</t>
  </si>
  <si>
    <t>EvenSum(6..)Odd(15..)</t>
  </si>
  <si>
    <t>(4,3)x4</t>
  </si>
  <si>
    <t>Hora+3,-Vim</t>
  </si>
  <si>
    <t>Vimshottari+Reverse Vimshottari Order</t>
  </si>
  <si>
    <t xml:space="preserve"> </t>
  </si>
  <si>
    <t>Shodashottari</t>
  </si>
  <si>
    <t>Pushya</t>
  </si>
  <si>
    <t>Reverse Hora Order चन्द्रहोरागते कृष्णे सूर्यहोरागते सिते।</t>
  </si>
  <si>
    <t xml:space="preserve">Rahu </t>
  </si>
  <si>
    <t>-Rahu</t>
  </si>
  <si>
    <t>SeqSum(11...)</t>
  </si>
  <si>
    <t>RHora</t>
  </si>
  <si>
    <t>11(Rudra)+1 duration</t>
  </si>
  <si>
    <t>Dwadashottari</t>
  </si>
  <si>
    <t>Revati</t>
  </si>
  <si>
    <t>शुक्रांशके प्रजातस्य विचिन्त्या द्वादशोत्तरी।</t>
  </si>
  <si>
    <t>-Venus</t>
  </si>
  <si>
    <t>OddSum(7...)</t>
  </si>
  <si>
    <t>Hora??-2</t>
  </si>
  <si>
    <t>जन्मभात्‌ पौष्णभं यावत्‌ संख्या हि वसुतष्टिता॥ २७॥
Pregnancy Order</t>
  </si>
  <si>
    <t>Panchottari</t>
  </si>
  <si>
    <t>Anuradha</t>
  </si>
  <si>
    <t>अर्कांश कर्कलग्ने पञ्चोत्तरी मता।</t>
  </si>
  <si>
    <t>-Nodes</t>
  </si>
  <si>
    <t>SeqSum(12..)</t>
  </si>
  <si>
    <t>Hora+2</t>
  </si>
  <si>
    <t>मित्रर्क्षाज्जन्मभं यावत्‌ संख्या सप्तविभाजिता॥ २९॥</t>
  </si>
  <si>
    <t>Shatabdika</t>
  </si>
  <si>
    <t>Vargottamma lagna</t>
  </si>
  <si>
    <t>FiveSeries(5,5..)</t>
  </si>
  <si>
    <t>Leo+2 and Cn+2</t>
  </si>
  <si>
    <t>Chaturashiti</t>
  </si>
  <si>
    <t>Swati</t>
  </si>
  <si>
    <r>
      <rPr>
        <sz val="10"/>
        <rFont val="Arial"/>
        <family val="2"/>
        <charset val="1"/>
      </rPr>
      <t xml:space="preserve">Weekday Order, </t>
    </r>
    <r>
      <rPr>
        <sz val="12"/>
        <rFont val="Times New Roman"/>
        <family val="1"/>
        <charset val="1"/>
      </rPr>
      <t>pavanAjjanmabhaM, 10</t>
    </r>
    <r>
      <rPr>
        <vertAlign val="superscript"/>
        <sz val="12"/>
        <rFont val="Times New Roman"/>
        <family val="1"/>
        <charset val="1"/>
      </rPr>
      <t>th</t>
    </r>
    <r>
      <rPr>
        <sz val="12"/>
        <rFont val="Times New Roman"/>
        <family val="1"/>
        <charset val="1"/>
      </rPr>
      <t xml:space="preserve"> lord in 10</t>
    </r>
    <r>
      <rPr>
        <vertAlign val="superscript"/>
        <sz val="12"/>
        <rFont val="Times New Roman"/>
        <family val="1"/>
        <charset val="1"/>
      </rPr>
      <t>th</t>
    </r>
  </si>
  <si>
    <t>12x7</t>
  </si>
  <si>
    <t>Weekday Order</t>
  </si>
  <si>
    <t>Dwisaptati</t>
  </si>
  <si>
    <t>Mula</t>
  </si>
  <si>
    <t>लग्नेशे सप्तमे यस्य लग्ने वा सप्तमाधिपे॥ ३८॥</t>
  </si>
  <si>
    <t>9x8</t>
  </si>
  <si>
    <t>मूलाज्जन्मर्क्षपर्यन्तं गणयेदष्टभिर्भजेत्‌।</t>
  </si>
  <si>
    <t>Shastihayani</t>
  </si>
  <si>
    <t>Ashvini</t>
  </si>
  <si>
    <t>यदार्को लग्नराशिस्थश्चिन्त्या षष्टिसमा तदा।</t>
  </si>
  <si>
    <t>10 for friends rest 6</t>
  </si>
  <si>
    <t>(3,4)x4</t>
  </si>
  <si>
    <t>Pāchakādi for Sun?</t>
  </si>
  <si>
    <t>दास्रात्‌ त्रयं चतुष्कं च त्रयं चेति पुनः पुनः॥ ४०॥</t>
  </si>
  <si>
    <t>Shattrimsha</t>
  </si>
  <si>
    <t>Shravan</t>
  </si>
  <si>
    <t xml:space="preserve">lagne dine.arkahorAyAM chandrahorAgate nishi </t>
  </si>
  <si>
    <t>Mercury?</t>
  </si>
  <si>
    <t>SeqSum(1…</t>
  </si>
  <si>
    <t>Friends of Jup?</t>
  </si>
  <si>
    <t>Yogini</t>
  </si>
  <si>
    <t>Mangala</t>
  </si>
  <si>
    <t>Pingala</t>
  </si>
  <si>
    <t>Dhanya</t>
  </si>
  <si>
    <t>Bhramari</t>
  </si>
  <si>
    <t>Bhadrika</t>
  </si>
  <si>
    <t>Siddha</t>
  </si>
  <si>
    <t>Sankata</t>
  </si>
  <si>
    <t>Types of Graha Rules for Nakshatra for 27 and 28 Mandala</t>
  </si>
  <si>
    <t>Ashtottari Type 1 (4,3,4...)</t>
  </si>
  <si>
    <t>Shashtihayani- Type 2 (3,4,3..)</t>
  </si>
  <si>
    <t>Ashtottari-2</t>
  </si>
  <si>
    <t>Shashtihayani-4</t>
  </si>
  <si>
    <t>Yogini-A</t>
  </si>
  <si>
    <t>ShodashottariType1</t>
  </si>
  <si>
    <t>Shodashottari-S</t>
  </si>
  <si>
    <t>Dwadashottari-S</t>
  </si>
  <si>
    <t>Shatrimsha-A</t>
  </si>
  <si>
    <t>Dwisaptati-A-Moola3Rev</t>
  </si>
  <si>
    <t>Dwisaptati-Moola4Rev</t>
  </si>
  <si>
    <t>Dwisaptati-Moola3F</t>
  </si>
  <si>
    <t>Dwisaptati-Moola4F</t>
  </si>
  <si>
    <t>Dwadashottari-Rev3F</t>
  </si>
  <si>
    <t>Start Degrees</t>
  </si>
  <si>
    <t>Aswini</t>
  </si>
  <si>
    <t>Bharani</t>
  </si>
  <si>
    <t>Krittika</t>
  </si>
  <si>
    <t>Rohini</t>
  </si>
  <si>
    <t>Mriga</t>
  </si>
  <si>
    <t>Punarvasu</t>
  </si>
  <si>
    <t>Ashlesha</t>
  </si>
  <si>
    <t>Magha</t>
  </si>
  <si>
    <t>Purva P</t>
  </si>
  <si>
    <t>Uttara P</t>
  </si>
  <si>
    <t>Hasta</t>
  </si>
  <si>
    <t>Chitra</t>
  </si>
  <si>
    <t>Vishaka</t>
  </si>
  <si>
    <t>Jyeshta</t>
  </si>
  <si>
    <t>Moola</t>
  </si>
  <si>
    <t>P. Ashada</t>
  </si>
  <si>
    <t>U. Ashada</t>
  </si>
  <si>
    <t>Abhijit</t>
  </si>
  <si>
    <t>Shravana</t>
  </si>
  <si>
    <t>Dhanishta</t>
  </si>
  <si>
    <t>Shatabhishaj</t>
  </si>
  <si>
    <t>P. Bhadra</t>
  </si>
  <si>
    <t>U. Bhadra</t>
  </si>
  <si>
    <t>Put "=Dob"</t>
  </si>
  <si>
    <t>DasaColumn</t>
  </si>
  <si>
    <t>Select from row 27</t>
  </si>
  <si>
    <t>AntarDasa for</t>
  </si>
  <si>
    <t>Pratyantara Dasa for</t>
  </si>
  <si>
    <t>AD</t>
  </si>
  <si>
    <t>Dasa Degrees</t>
  </si>
  <si>
    <t>Put "=Moon"</t>
  </si>
  <si>
    <t>Dasa Name</t>
  </si>
  <si>
    <t>Start AD Index</t>
  </si>
  <si>
    <t>Multiplier 
for Duration</t>
  </si>
  <si>
    <t>Start AD</t>
  </si>
  <si>
    <t>Compress</t>
  </si>
  <si>
    <t>Put "1" Normal</t>
  </si>
  <si>
    <t>Normal 1</t>
  </si>
  <si>
    <t>Fractions</t>
  </si>
  <si>
    <t>Year Start</t>
  </si>
  <si>
    <t>End Year</t>
  </si>
  <si>
    <t>SolYears</t>
  </si>
  <si>
    <t>Match Row</t>
  </si>
  <si>
    <t>Fraction</t>
  </si>
  <si>
    <t>Seq</t>
  </si>
  <si>
    <t>KD9</t>
  </si>
  <si>
    <t>Ayush</t>
  </si>
  <si>
    <t>D9Savya</t>
  </si>
  <si>
    <t>Savya2</t>
  </si>
  <si>
    <t>Nakshakra</t>
  </si>
  <si>
    <t>Moon=</t>
  </si>
  <si>
    <t>Ar</t>
  </si>
  <si>
    <t>A1,K1</t>
  </si>
  <si>
    <t>Ar,Sg</t>
  </si>
  <si>
    <t>S</t>
  </si>
  <si>
    <t>Ta</t>
  </si>
  <si>
    <t>Pi</t>
  </si>
  <si>
    <t>Ge</t>
  </si>
  <si>
    <t>Nx Type</t>
  </si>
  <si>
    <t>M2</t>
  </si>
  <si>
    <t>A</t>
  </si>
  <si>
    <t>Aq</t>
  </si>
  <si>
    <t>Apasavya</t>
  </si>
  <si>
    <t>Le</t>
  </si>
  <si>
    <t>Seq Type</t>
  </si>
  <si>
    <t>Cn</t>
  </si>
  <si>
    <t>A4,K4</t>
  </si>
  <si>
    <t>Cn,Pi</t>
  </si>
  <si>
    <t>Cp</t>
  </si>
  <si>
    <t>Row#</t>
  </si>
  <si>
    <t>Sg</t>
  </si>
  <si>
    <t>Sc</t>
  </si>
  <si>
    <t>Li</t>
  </si>
  <si>
    <t>Vi</t>
  </si>
  <si>
    <t xml:space="preserve">Date </t>
  </si>
  <si>
    <t>R3,A3</t>
  </si>
  <si>
    <t>Aq,Li</t>
  </si>
  <si>
    <t>Pada Deg</t>
  </si>
  <si>
    <t>B3</t>
  </si>
  <si>
    <t>Balance Deg</t>
  </si>
  <si>
    <t>Savya</t>
  </si>
  <si>
    <t>1/9 Pada</t>
  </si>
  <si>
    <t>of 1/9 Pada</t>
  </si>
  <si>
    <t>M4</t>
  </si>
  <si>
    <t>% 1/9 pad remaining</t>
  </si>
  <si>
    <t>A2,K2</t>
  </si>
  <si>
    <t>Ta,Cp</t>
  </si>
  <si>
    <t>Correcttion</t>
  </si>
  <si>
    <t>1st Dasa</t>
  </si>
  <si>
    <t>M1</t>
  </si>
  <si>
    <t>Yrs</t>
  </si>
  <si>
    <t>Chakra</t>
  </si>
  <si>
    <t>Start</t>
  </si>
  <si>
    <t>Ending</t>
  </si>
  <si>
    <t>B1</t>
  </si>
  <si>
    <t>R2,A2</t>
  </si>
  <si>
    <t>Cp,Vi</t>
  </si>
  <si>
    <t>B4</t>
  </si>
  <si>
    <t>M3</t>
  </si>
  <si>
    <t>A3,K3</t>
  </si>
  <si>
    <t>Ge,Aq</t>
  </si>
  <si>
    <t>R4,A4</t>
  </si>
  <si>
    <t>Pi,Sc</t>
  </si>
  <si>
    <t>B2</t>
  </si>
  <si>
    <t>R1,A1</t>
  </si>
  <si>
    <t>Sg,Cn</t>
  </si>
  <si>
    <t>Natal</t>
  </si>
  <si>
    <t>Transit</t>
  </si>
  <si>
    <t>Sign#</t>
  </si>
  <si>
    <t>TD1</t>
  </si>
  <si>
    <t>TD12</t>
  </si>
  <si>
    <t>Sarva</t>
  </si>
  <si>
    <t>GrahaMaana</t>
  </si>
  <si>
    <t>Sarva+L</t>
  </si>
  <si>
    <t>Sarva-L</t>
  </si>
  <si>
    <t>Graha?</t>
  </si>
  <si>
    <t>RashiMaana</t>
  </si>
  <si>
    <t>Longevity</t>
  </si>
  <si>
    <t>Trikona Shodana Selected</t>
  </si>
  <si>
    <t>&lt;-Put '0' Here in case you want to subtract the minimum from all trines, Else '1'in case you want to assign smallest to trines</t>
  </si>
  <si>
    <t>Trikona Shodana Subtraction</t>
  </si>
  <si>
    <t>Trikona Shodana Minimum</t>
  </si>
  <si>
    <t>Ekadipatya Shodhana</t>
  </si>
  <si>
    <t>Reference Table</t>
  </si>
  <si>
    <t>Reverse?</t>
  </si>
  <si>
    <t>Rashi Pinda</t>
  </si>
  <si>
    <t>RP</t>
  </si>
  <si>
    <t>Graha Pinda</t>
  </si>
  <si>
    <t>Maana-&gt;</t>
  </si>
  <si>
    <t>GP</t>
  </si>
  <si>
    <t>GP-L</t>
  </si>
  <si>
    <t>GP to Use</t>
  </si>
  <si>
    <t>Pinda Nakshatra+</t>
  </si>
  <si>
    <t>YP</t>
  </si>
  <si>
    <t>Pinda Rashi+</t>
  </si>
  <si>
    <t>Pinda Nakshatra-</t>
  </si>
  <si>
    <t>Nakshatar -4</t>
  </si>
  <si>
    <t>Transit-Natal Graha</t>
  </si>
  <si>
    <t>-----</t>
  </si>
  <si>
    <t>Min-Max</t>
  </si>
  <si>
    <t>House#</t>
  </si>
  <si>
    <t>Points</t>
  </si>
  <si>
    <t>x</t>
  </si>
  <si>
    <t>+</t>
  </si>
  <si>
    <t>'1' indicates favourable '*' indicates difficult</t>
  </si>
  <si>
    <r>
      <rPr>
        <sz val="10"/>
        <color rgb="FF000000"/>
        <rFont val="Calibri"/>
        <family val="2"/>
        <charset val="1"/>
      </rPr>
      <t xml:space="preserve">'1' indicates favourable '*' indicates difficult </t>
    </r>
    <r>
      <rPr>
        <b/>
        <sz val="10"/>
        <color rgb="FF000000"/>
        <rFont val="Calibri"/>
        <family val="2"/>
        <charset val="1"/>
      </rPr>
      <t>Verify with BPHS original shloka above table</t>
    </r>
  </si>
  <si>
    <t>Sarva2</t>
  </si>
  <si>
    <t>TriShod</t>
  </si>
  <si>
    <t>EkadiS</t>
  </si>
  <si>
    <t>Table of Vedha</t>
  </si>
  <si>
    <t>1</t>
  </si>
  <si>
    <t>2</t>
  </si>
  <si>
    <t>3</t>
  </si>
  <si>
    <t>4</t>
  </si>
  <si>
    <t>5</t>
  </si>
  <si>
    <t>6</t>
  </si>
  <si>
    <t>7</t>
  </si>
  <si>
    <t>8</t>
  </si>
  <si>
    <t>9</t>
  </si>
  <si>
    <t>10</t>
  </si>
  <si>
    <t>11</t>
  </si>
  <si>
    <t>12</t>
  </si>
  <si>
    <t>Merc</t>
  </si>
  <si>
    <t>Jup</t>
  </si>
  <si>
    <t>Ven</t>
  </si>
  <si>
    <t>Kakshya</t>
  </si>
  <si>
    <t>Degree St</t>
  </si>
  <si>
    <t>End</t>
  </si>
  <si>
    <t>Graha Information</t>
  </si>
  <si>
    <t>Direction</t>
  </si>
  <si>
    <t>Direction Surya Mantra</t>
  </si>
  <si>
    <t>Exaltion</t>
  </si>
  <si>
    <t>Exaltation</t>
  </si>
  <si>
    <t>House</t>
  </si>
  <si>
    <t>debilitation</t>
  </si>
  <si>
    <t>Daily Avg Speed (MJUS)
/Day</t>
  </si>
  <si>
    <t>Speed (Wiki) in Days
(Sidereal)</t>
  </si>
  <si>
    <t>Revolution 
in MahaYuga</t>
  </si>
  <si>
    <t xml:space="preserve">Graha Māna </t>
  </si>
  <si>
    <t>Moolatrikone</t>
  </si>
  <si>
    <t>GrahaWeekdayOrder</t>
  </si>
  <si>
    <t>GrahaShayanaadiGunanka</t>
  </si>
  <si>
    <t>Combustion SS IX.6,7,8</t>
  </si>
  <si>
    <t>Mean Motion (BVRaman</t>
  </si>
  <si>
    <t>Modern Mean Motion (Wiki</t>
  </si>
  <si>
    <t xml:space="preserve">Sapta Swara (per </t>
  </si>
  <si>
    <t>Janma tithi</t>
  </si>
  <si>
    <t>Janma Nakshatra</t>
  </si>
  <si>
    <t>East</t>
  </si>
  <si>
    <t>Om Suryaya Namah</t>
  </si>
  <si>
    <t>1 Trimsamsha</t>
  </si>
  <si>
    <t>Shadja (षड्ज)creator of six</t>
  </si>
  <si>
    <t>Saptami</t>
  </si>
  <si>
    <t>North-West</t>
  </si>
  <si>
    <t>Om Mitraya Namah</t>
  </si>
  <si>
    <t>1 Nakshatra</t>
  </si>
  <si>
    <t>Panchama (पञ्चम) fifth</t>
  </si>
  <si>
    <t>chaturdashi</t>
  </si>
  <si>
    <t>South</t>
  </si>
  <si>
    <t>Om Vivaswanam Namah</t>
  </si>
  <si>
    <t>1 Shashtiamsha</t>
  </si>
  <si>
    <t>Madhyama (मध्यम) middle</t>
  </si>
  <si>
    <t>Dashami</t>
  </si>
  <si>
    <t>UttaraAshada</t>
  </si>
  <si>
    <t>North</t>
  </si>
  <si>
    <t>Om Adityaya Namah</t>
  </si>
  <si>
    <t>1 Saptamsha</t>
  </si>
  <si>
    <t>14(R),12(F)</t>
  </si>
  <si>
    <t>Rishabha (ऋषभ) bull</t>
  </si>
  <si>
    <t>Dwadashi</t>
  </si>
  <si>
    <t>North-East</t>
  </si>
  <si>
    <t>Om Vishnave Namah</t>
  </si>
  <si>
    <t>1/2 Nadiamsha</t>
  </si>
  <si>
    <t>Dhaivata (धैवत)  earth</t>
  </si>
  <si>
    <t>Ekadashi</t>
  </si>
  <si>
    <t>UttaraPhalguni</t>
  </si>
  <si>
    <t>South-East</t>
  </si>
  <si>
    <t>Om Ravaye Namah</t>
  </si>
  <si>
    <t>1 Vimsamsha</t>
  </si>
  <si>
    <t>8(E),10(W)</t>
  </si>
  <si>
    <t>Gandhara (गान्धार) sky</t>
  </si>
  <si>
    <t>Navami</t>
  </si>
  <si>
    <t>Jyestha</t>
  </si>
  <si>
    <t>West</t>
  </si>
  <si>
    <t>Om Varunaya Namah</t>
  </si>
  <si>
    <t>1/4 Nadiamsha</t>
  </si>
  <si>
    <t>Nishadam (निषाद) hunter</t>
  </si>
  <si>
    <t>Asthami</t>
  </si>
  <si>
    <t>South-West</t>
  </si>
  <si>
    <t>Om Bhagaya Namah</t>
  </si>
  <si>
    <t>1/3 Nadiamsha</t>
  </si>
  <si>
    <t>Poornima</t>
  </si>
  <si>
    <t>Vertical</t>
  </si>
  <si>
    <t>Om Bhaskaraya Namah</t>
  </si>
  <si>
    <t>Amavasya</t>
  </si>
  <si>
    <t>VimTotal=</t>
  </si>
  <si>
    <t>Sign/Rasi</t>
  </si>
  <si>
    <t>Rasi Symbol</t>
  </si>
  <si>
    <t>Deg</t>
  </si>
  <si>
    <t>Tattwa</t>
  </si>
  <si>
    <t>Yuga</t>
  </si>
  <si>
    <t>Type</t>
  </si>
  <si>
    <t>Mantra</t>
  </si>
  <si>
    <t>Strength</t>
  </si>
  <si>
    <t>Lord</t>
  </si>
  <si>
    <t>Name1</t>
  </si>
  <si>
    <t>Alternate Name2</t>
  </si>
  <si>
    <t>Aditya</t>
  </si>
  <si>
    <t>Aditya Others</t>
  </si>
  <si>
    <t>River</t>
  </si>
  <si>
    <t xml:space="preserve">Rashi māna </t>
  </si>
  <si>
    <t>Yoni</t>
  </si>
  <si>
    <t>Terrible Grahas</t>
  </si>
  <si>
    <t>Sanskrit  Months</t>
  </si>
  <si>
    <t>Season</t>
  </si>
  <si>
    <t>Column11</t>
  </si>
  <si>
    <t>Column12</t>
  </si>
  <si>
    <t>Column13</t>
  </si>
  <si>
    <t>Aries</t>
  </si>
  <si>
    <t>Agni</t>
  </si>
  <si>
    <t>Kreta</t>
  </si>
  <si>
    <t>Movable/Chara</t>
  </si>
  <si>
    <t>क्रिय</t>
  </si>
  <si>
    <t>kriya</t>
  </si>
  <si>
    <t>dhātā</t>
  </si>
  <si>
    <t>dhatṛ , savitṛ</t>
  </si>
  <si>
    <t>Ganga</t>
  </si>
  <si>
    <t>Animals</t>
  </si>
  <si>
    <t>Maadhava</t>
  </si>
  <si>
    <t>Vasanta</t>
  </si>
  <si>
    <t>Taurus</t>
  </si>
  <si>
    <t>Prithvi</t>
  </si>
  <si>
    <t>Kali</t>
  </si>
  <si>
    <t>Fixed/Sthira</t>
  </si>
  <si>
    <t>Om Vasudevaya Namah</t>
  </si>
  <si>
    <t>तावुरि</t>
  </si>
  <si>
    <t>tāvuri</t>
  </si>
  <si>
    <t>aryamā</t>
  </si>
  <si>
    <t>sūrya</t>
  </si>
  <si>
    <t>Reva</t>
  </si>
  <si>
    <t>Shukra</t>
  </si>
  <si>
    <t>Griishma</t>
  </si>
  <si>
    <t>Gemini</t>
  </si>
  <si>
    <t>Vayu</t>
  </si>
  <si>
    <t>Dwapara</t>
  </si>
  <si>
    <t>Common/Dwiswa</t>
  </si>
  <si>
    <t>Om Keshavaya Namah</t>
  </si>
  <si>
    <t>जितुम</t>
  </si>
  <si>
    <t>jituma</t>
  </si>
  <si>
    <t>mitra</t>
  </si>
  <si>
    <t>ravi</t>
  </si>
  <si>
    <t>Sarasvati</t>
  </si>
  <si>
    <t>Shuchi</t>
  </si>
  <si>
    <t>Cancer</t>
  </si>
  <si>
    <t>Jalam</t>
  </si>
  <si>
    <t>Treta</t>
  </si>
  <si>
    <t>Om Radha-Krishnaya Namah</t>
  </si>
  <si>
    <t>कुलीर</t>
  </si>
  <si>
    <t>kulīra</t>
  </si>
  <si>
    <t>varuṇa</t>
  </si>
  <si>
    <t>aruna</t>
  </si>
  <si>
    <t>Yamuna</t>
  </si>
  <si>
    <t>Reptiles</t>
  </si>
  <si>
    <t>Nabha</t>
  </si>
  <si>
    <t>Varsha</t>
  </si>
  <si>
    <t>Leo</t>
  </si>
  <si>
    <t>Om Hariharaya Balamukundaya 
Namah</t>
  </si>
  <si>
    <t>लेय</t>
  </si>
  <si>
    <t>leya</t>
  </si>
  <si>
    <t>indra</t>
  </si>
  <si>
    <t>śakra</t>
  </si>
  <si>
    <t>Godavari</t>
  </si>
  <si>
    <t>Nabhasya</t>
  </si>
  <si>
    <t>Virgo</t>
  </si>
  <si>
    <t>Om Hrim Pitambaraya Paramatmane 
Namah</t>
  </si>
  <si>
    <t>पाथोन</t>
  </si>
  <si>
    <t>pāthona</t>
  </si>
  <si>
    <t>vivasvān</t>
  </si>
  <si>
    <t>manu</t>
  </si>
  <si>
    <t>Krishnaveni(Krishna)</t>
  </si>
  <si>
    <t>Humans</t>
  </si>
  <si>
    <t>Isha</t>
  </si>
  <si>
    <t>Sharada</t>
  </si>
  <si>
    <t>Libra</t>
  </si>
  <si>
    <t>Om Sri Ram Dasrathaye Namah</t>
  </si>
  <si>
    <t>जूक</t>
  </si>
  <si>
    <t>jūka</t>
  </si>
  <si>
    <t>puśa</t>
  </si>
  <si>
    <t>bhāskara</t>
  </si>
  <si>
    <t>kaaveri</t>
  </si>
  <si>
    <t>Urja</t>
  </si>
  <si>
    <t>Scorpio</t>
  </si>
  <si>
    <t>Om Narayanaya Namah
Om Naraya Namah</t>
  </si>
  <si>
    <t>Mars/Ketu</t>
  </si>
  <si>
    <t>कौर्पि</t>
  </si>
  <si>
    <t>kaurpi</t>
  </si>
  <si>
    <t>parjanya</t>
  </si>
  <si>
    <t>dhūti</t>
  </si>
  <si>
    <t>Bhimaradhi (Bhima)</t>
  </si>
  <si>
    <t>Saha</t>
  </si>
  <si>
    <t>Hemanta</t>
  </si>
  <si>
    <t>Sagitarius</t>
  </si>
  <si>
    <t>Om Hrim Shrim Krim Dharani Dharaya
 Namah</t>
  </si>
  <si>
    <t>तौक्षिक</t>
  </si>
  <si>
    <t>taukṣika</t>
  </si>
  <si>
    <t>anśumān</t>
  </si>
  <si>
    <t>aṁśa , yama</t>
  </si>
  <si>
    <t>Pushkara vahini (Brahma Putra)</t>
  </si>
  <si>
    <t>Sahasya</t>
  </si>
  <si>
    <t>Capricorn</t>
  </si>
  <si>
    <t>Om Shrim Vatsalaya Namah</t>
  </si>
  <si>
    <t>आकोकेर</t>
  </si>
  <si>
    <t>ākokera</t>
  </si>
  <si>
    <t>bhaga</t>
  </si>
  <si>
    <t>dakśa</t>
  </si>
  <si>
    <t>Tunga (Tunga Bhadra)</t>
  </si>
  <si>
    <t>Birds/Animals</t>
  </si>
  <si>
    <t>Tapa</t>
  </si>
  <si>
    <t>Shishira</t>
  </si>
  <si>
    <t>Aquarius</t>
  </si>
  <si>
    <t>Om Shrim Upendraya Achyutaya
 Namah
Om Klim Govinda-Gopalaya Namah</t>
  </si>
  <si>
    <t>Saturn/Rahu</t>
  </si>
  <si>
    <t>ह्रिद्रोग</t>
  </si>
  <si>
    <t>hridroga</t>
  </si>
  <si>
    <t>tvaṣta</t>
  </si>
  <si>
    <t>tvaṣṭṛ</t>
  </si>
  <si>
    <t>Sindhu (Indus)</t>
  </si>
  <si>
    <t>Tapasya</t>
  </si>
  <si>
    <t>Pisces</t>
  </si>
  <si>
    <t>Om Krim Rathanga-Chakraya Namah</t>
  </si>
  <si>
    <t>अन्त्यभं</t>
  </si>
  <si>
    <t>antyabhaṁ</t>
  </si>
  <si>
    <t>viśṇu</t>
  </si>
  <si>
    <t>saha</t>
  </si>
  <si>
    <t>Vranitaa</t>
  </si>
  <si>
    <t>Birds</t>
  </si>
  <si>
    <t>Madhu</t>
  </si>
  <si>
    <t>© Pt. Sanjay Rath</t>
  </si>
  <si>
    <t>Bhava Number</t>
  </si>
  <si>
    <t>Sanskrit Name</t>
  </si>
  <si>
    <t>Strength (LP)</t>
  </si>
  <si>
    <t>Navakkari</t>
  </si>
  <si>
    <t>Signifies</t>
  </si>
  <si>
    <t>What We….</t>
  </si>
  <si>
    <t>At Work</t>
  </si>
  <si>
    <t>House (Business)</t>
  </si>
  <si>
    <t>Lord (Business)</t>
  </si>
  <si>
    <t>House(Jobs)</t>
  </si>
  <si>
    <t>Lords(Jobs)</t>
  </si>
  <si>
    <t>Deva praśna</t>
  </si>
  <si>
    <t>Rāja praśna- Coronation</t>
  </si>
  <si>
    <t>Rāja praśna-Rāja bhāgya</t>
  </si>
  <si>
    <t>Rāja praśna-National chart</t>
  </si>
  <si>
    <t>Charakāraka &amp; bhāva</t>
  </si>
  <si>
    <t>Nashta Prashna</t>
  </si>
  <si>
    <t>Posture</t>
  </si>
  <si>
    <t>Transliteration</t>
  </si>
  <si>
    <t>Translation</t>
  </si>
  <si>
    <t>Body Part</t>
  </si>
  <si>
    <t>1st Dreshkana</t>
  </si>
  <si>
    <t>2nd Drekkana</t>
  </si>
  <si>
    <t>3rd Drekkana</t>
  </si>
  <si>
    <t>Bhojana Prashna</t>
  </si>
  <si>
    <t>Suratha Prashna</t>
  </si>
  <si>
    <t>tanu</t>
  </si>
  <si>
    <t>तनु</t>
  </si>
  <si>
    <t>ॐ सौं क्लीं</t>
  </si>
  <si>
    <t>Ideals, Principles</t>
  </si>
  <si>
    <t>What we are</t>
  </si>
  <si>
    <t>Reputation</t>
  </si>
  <si>
    <t>Self, Fame</t>
  </si>
  <si>
    <t>Attitude to Business and work, motives</t>
  </si>
  <si>
    <t>Self,Fame</t>
  </si>
  <si>
    <t>Attitude to work, motives</t>
  </si>
  <si>
    <t>Deity, well being &amp; satisfaction, temple building and idol, alter, picture etc.</t>
  </si>
  <si>
    <t>The King</t>
  </si>
  <si>
    <t>The nation, constitution, ideals</t>
  </si>
  <si>
    <t>Ātmakāraka</t>
  </si>
  <si>
    <t>Standing</t>
  </si>
  <si>
    <t>Pratibimbadana</t>
  </si>
  <si>
    <t>Gift of idol or picture</t>
  </si>
  <si>
    <t>Sheersha</t>
  </si>
  <si>
    <t>Shiro</t>
  </si>
  <si>
    <t>kaṇṭha</t>
  </si>
  <si>
    <t>vasti</t>
  </si>
  <si>
    <t>Eater</t>
  </si>
  <si>
    <t xml:space="preserve">dhanaṁ </t>
  </si>
  <si>
    <t xml:space="preserve">धनं </t>
  </si>
  <si>
    <t>हौं</t>
  </si>
  <si>
    <t>Wealth. Resources</t>
  </si>
  <si>
    <t>What we own</t>
  </si>
  <si>
    <t>Finance</t>
  </si>
  <si>
    <t>Investments</t>
  </si>
  <si>
    <t>Sources of Investments</t>
  </si>
  <si>
    <t>Resouces</t>
  </si>
  <si>
    <t>Group</t>
  </si>
  <si>
    <t>Wealth, income, treasure, guardians</t>
  </si>
  <si>
    <t>Treasury</t>
  </si>
  <si>
    <t>Prince &amp; princess</t>
  </si>
  <si>
    <t>Wealth, treasury, currency</t>
  </si>
  <si>
    <t>Dārākāraka</t>
  </si>
  <si>
    <t>Riding</t>
  </si>
  <si>
    <t>Japa</t>
  </si>
  <si>
    <t>Mantra Japa</t>
  </si>
  <si>
    <t>Anana</t>
  </si>
  <si>
    <t>Netra</t>
  </si>
  <si>
    <t>amsa</t>
  </si>
  <si>
    <t>liṅga</t>
  </si>
  <si>
    <t>Plates/Leaves</t>
  </si>
  <si>
    <t>sahaja</t>
  </si>
  <si>
    <t>सहज</t>
  </si>
  <si>
    <t>क्रीं</t>
  </si>
  <si>
    <t>Enterprise, Leave, Vacation</t>
  </si>
  <si>
    <t>Time to Think</t>
  </si>
  <si>
    <t>Enterprise</t>
  </si>
  <si>
    <t>Agreements, Communications</t>
  </si>
  <si>
    <t>Short Journey, Transport</t>
  </si>
  <si>
    <t>Journeys</t>
  </si>
  <si>
    <t>Leave, Holiday</t>
  </si>
  <si>
    <t>Temple servants, Offerings (to deity)</t>
  </si>
  <si>
    <t>Armed forces &amp; their chief</t>
  </si>
  <si>
    <t>Armed forces &amp; their chief, servants</t>
  </si>
  <si>
    <t>Bhrātṛkāraka</t>
  </si>
  <si>
    <t>Sitting (on throne with spouse)</t>
  </si>
  <si>
    <t>Pooja</t>
  </si>
  <si>
    <t xml:space="preserve">Worship </t>
  </si>
  <si>
    <t>Baahu</t>
  </si>
  <si>
    <t>karṇa</t>
  </si>
  <si>
    <t>bhuja</t>
  </si>
  <si>
    <t>guda</t>
  </si>
  <si>
    <t>Bhakshya(Snacks/Side Dish)</t>
  </si>
  <si>
    <t>bandhu</t>
  </si>
  <si>
    <t>बन्धु</t>
  </si>
  <si>
    <t>गौं</t>
  </si>
  <si>
    <t>Work environment or area</t>
  </si>
  <si>
    <t>Where we work</t>
  </si>
  <si>
    <t>Office</t>
  </si>
  <si>
    <t>Property, Office</t>
  </si>
  <si>
    <t>Personal Secretary</t>
  </si>
  <si>
    <t>Lands, property, vehicles</t>
  </si>
  <si>
    <t>Vehicles, property</t>
  </si>
  <si>
    <t>Vehicles &amp; followers</t>
  </si>
  <si>
    <t>Mātṛkāraka</t>
  </si>
  <si>
    <t>Sleeping</t>
  </si>
  <si>
    <t>Dhama</t>
  </si>
  <si>
    <t>Renovation of temple.</t>
  </si>
  <si>
    <t>Hrid</t>
  </si>
  <si>
    <t>naasika</t>
  </si>
  <si>
    <t>pārśva</t>
  </si>
  <si>
    <t>muṣkā</t>
  </si>
  <si>
    <t>Drinks and also Host</t>
  </si>
  <si>
    <t>putra</t>
  </si>
  <si>
    <t>पुत्र</t>
  </si>
  <si>
    <t>ऐं</t>
  </si>
  <si>
    <t>Knowledge, Subordinate</t>
  </si>
  <si>
    <t>What we know</t>
  </si>
  <si>
    <t>Power</t>
  </si>
  <si>
    <t>All Employees</t>
  </si>
  <si>
    <t>Immediate Subordinates</t>
  </si>
  <si>
    <t>Promotion, Power</t>
  </si>
  <si>
    <t>Juniors, Subordinates</t>
  </si>
  <si>
    <t>Divine presence and the symbols, idols, etc.</t>
  </si>
  <si>
    <t>Ministers, advisers</t>
  </si>
  <si>
    <t>Palace</t>
  </si>
  <si>
    <t>Ministers, Officials wielding delegated powers</t>
  </si>
  <si>
    <t>Putrakāraka</t>
  </si>
  <si>
    <t>Santarpana</t>
  </si>
  <si>
    <t>Presentation of oil/gifts, clothes etc.</t>
  </si>
  <si>
    <t>Kroda</t>
  </si>
  <si>
    <t>kapola</t>
  </si>
  <si>
    <t>hṛdaya</t>
  </si>
  <si>
    <t xml:space="preserve">jānū </t>
  </si>
  <si>
    <t>Server</t>
  </si>
  <si>
    <t>ari</t>
  </si>
  <si>
    <t>अरि</t>
  </si>
  <si>
    <t>ह्रीं</t>
  </si>
  <si>
    <t>Service,Staff, jobs</t>
  </si>
  <si>
    <t>Who to work for</t>
  </si>
  <si>
    <t>Labor</t>
  </si>
  <si>
    <t>Staff Functions</t>
  </si>
  <si>
    <t>Enemies causing damage</t>
  </si>
  <si>
    <t>Staff support</t>
  </si>
  <si>
    <t>Pollution, enemies, thieves</t>
  </si>
  <si>
    <t>Enemies, thieves</t>
  </si>
  <si>
    <t>Wife(s)</t>
  </si>
  <si>
    <t>Enemies, disease</t>
  </si>
  <si>
    <t>Jñātikāraka</t>
  </si>
  <si>
    <t>Thief</t>
  </si>
  <si>
    <t>Walking</t>
  </si>
  <si>
    <t>Prathikara Bali</t>
  </si>
  <si>
    <t>Remedial offerings &amp; dedication</t>
  </si>
  <si>
    <t>Kati</t>
  </si>
  <si>
    <t>Hanu</t>
  </si>
  <si>
    <t>kroḍa</t>
  </si>
  <si>
    <t>jaṃgha</t>
  </si>
  <si>
    <t>upadamsa(Appetizer/Taster)</t>
  </si>
  <si>
    <t>yuvatī</t>
  </si>
  <si>
    <t>युवती</t>
  </si>
  <si>
    <t>श्रीं</t>
  </si>
  <si>
    <t>Business Partner, Self Employment</t>
  </si>
  <si>
    <t>Who to work with</t>
  </si>
  <si>
    <t>Business</t>
  </si>
  <si>
    <t>Business, Trade, Commerce</t>
  </si>
  <si>
    <t>Partners</t>
  </si>
  <si>
    <t>Colleagues</t>
  </si>
  <si>
    <t>PR at Work</t>
  </si>
  <si>
    <t>People, worshippers, ornaments</t>
  </si>
  <si>
    <t>War manoeuvre</t>
  </si>
  <si>
    <t>Advisers &amp; preceptors</t>
  </si>
  <si>
    <t>Public</t>
  </si>
  <si>
    <t>Dancing</t>
  </si>
  <si>
    <t>Nritya</t>
  </si>
  <si>
    <t>Dances  to be performed for deity</t>
  </si>
  <si>
    <t>Basti</t>
  </si>
  <si>
    <t>Mukha</t>
  </si>
  <si>
    <t>nābhi</t>
  </si>
  <si>
    <t>pāda</t>
  </si>
  <si>
    <t>seka dravya' or the appetisers</t>
  </si>
  <si>
    <t>randhra</t>
  </si>
  <si>
    <t>रन्ध्र</t>
  </si>
  <si>
    <t>Retirements, loans, insurance</t>
  </si>
  <si>
    <t>When to stop</t>
  </si>
  <si>
    <t>Retire</t>
  </si>
  <si>
    <t>Loans, Debts</t>
  </si>
  <si>
    <t>Unforseen troubles, Insurance Claim</t>
  </si>
  <si>
    <t>Retirement, Job Loss</t>
  </si>
  <si>
    <t>Unforseen Troubles</t>
  </si>
  <si>
    <t>Offerings (by people), good or evil</t>
  </si>
  <si>
    <t>Life of government</t>
  </si>
  <si>
    <t>Subjects</t>
  </si>
  <si>
    <t>Donations, aid, life of nation</t>
  </si>
  <si>
    <t>Bhoota Bali or Pooja</t>
  </si>
  <si>
    <t xml:space="preserve">Worship of the Tatwa </t>
  </si>
  <si>
    <t>Guhya</t>
  </si>
  <si>
    <t>Quality and defects in food</t>
  </si>
  <si>
    <t>dharma</t>
  </si>
  <si>
    <t>धर्म</t>
  </si>
  <si>
    <t>Guide, Boss, teacher</t>
  </si>
  <si>
    <t xml:space="preserve">Who to listen to </t>
  </si>
  <si>
    <t>Guide</t>
  </si>
  <si>
    <t>Government, Laws, 
Iternational (World)</t>
  </si>
  <si>
    <t>Adviser, Guides, Consultant</t>
  </si>
  <si>
    <t>The Boss</t>
  </si>
  <si>
    <t>Adviser, Guides</t>
  </si>
  <si>
    <t>Authorities and merits</t>
  </si>
  <si>
    <t>Policy and attitude</t>
  </si>
  <si>
    <t>Pitṛkāraka &amp; Bhrātṛkāraka</t>
  </si>
  <si>
    <t>Devopasana</t>
  </si>
  <si>
    <t>Worship of Dharma Devata</t>
  </si>
  <si>
    <t>Uru</t>
  </si>
  <si>
    <t>Company while eating</t>
  </si>
  <si>
    <t>karma</t>
  </si>
  <si>
    <t>कर्म</t>
  </si>
  <si>
    <t>Status, Success, the work</t>
  </si>
  <si>
    <t>Work Definition</t>
  </si>
  <si>
    <t>Status</t>
  </si>
  <si>
    <t>Chairman, Leaders</t>
  </si>
  <si>
    <t>Personal Success</t>
  </si>
  <si>
    <t>Company</t>
  </si>
  <si>
    <t>Daily ceremonies, festivals etc.</t>
  </si>
  <si>
    <t>Administration</t>
  </si>
  <si>
    <t>President, Prime minister and Administration</t>
  </si>
  <si>
    <t>Amātyakāraka</t>
  </si>
  <si>
    <t xml:space="preserve">Crawling </t>
  </si>
  <si>
    <t>Danti-Skanda Bali or Pooja</t>
  </si>
  <si>
    <t>Bali Karma or Pooja for Ganesha (or Subramanya/ Kartikeya)</t>
  </si>
  <si>
    <t>Janu</t>
  </si>
  <si>
    <t>Quantity of Food</t>
  </si>
  <si>
    <t>lābha</t>
  </si>
  <si>
    <t>लाभ</t>
  </si>
  <si>
    <t>Colleagues, friends, resources</t>
  </si>
  <si>
    <t>Who will support</t>
  </si>
  <si>
    <t>Resources</t>
  </si>
  <si>
    <t>Gains, Profit</t>
  </si>
  <si>
    <t>Satisfaction and Friends</t>
  </si>
  <si>
    <t>Friends in group</t>
  </si>
  <si>
    <t>Training and development</t>
  </si>
  <si>
    <t>Merit, prosperity, income</t>
  </si>
  <si>
    <t>Gains, income</t>
  </si>
  <si>
    <t>Sitting  (Yogic Posture is generally indicated.)</t>
  </si>
  <si>
    <t>Tarpana</t>
  </si>
  <si>
    <t>Ritual offerings &amp; Dedication</t>
  </si>
  <si>
    <t>Jangha</t>
  </si>
  <si>
    <t>Conversions during</t>
  </si>
  <si>
    <t>vyaya</t>
  </si>
  <si>
    <t>व्यय</t>
  </si>
  <si>
    <t>Expenses, foreign, freedom</t>
  </si>
  <si>
    <t>Our Responsibility</t>
  </si>
  <si>
    <t>Liabilities</t>
  </si>
  <si>
    <t>Expenditure, Losses</t>
  </si>
  <si>
    <t>Secret Enemies</t>
  </si>
  <si>
    <t>Secret Enemies in group</t>
  </si>
  <si>
    <t>Mistakes and inability</t>
  </si>
  <si>
    <t>Expenditure, waste, āchārya, tāntrika, priest</t>
  </si>
  <si>
    <t>Losses, expenditure</t>
  </si>
  <si>
    <t>--None--</t>
  </si>
  <si>
    <t>Gitam-Vadya</t>
  </si>
  <si>
    <t>No affliction. (But music &amp; song may be offered).</t>
  </si>
  <si>
    <t>Carana</t>
  </si>
  <si>
    <t>Rest after the meals</t>
  </si>
  <si>
    <t>Nakshatra Info</t>
  </si>
  <si>
    <t>Nakshatra Size=</t>
  </si>
  <si>
    <t>Degrees</t>
  </si>
  <si>
    <t>Duration in 24 Hrs</t>
  </si>
  <si>
    <t>Shiva Nakshatra Purusha</t>
  </si>
  <si>
    <t>Seq27</t>
  </si>
  <si>
    <t>Other Names</t>
  </si>
  <si>
    <t>Sign(s)</t>
  </si>
  <si>
    <t>Tatva Group</t>
  </si>
  <si>
    <t>Tatva</t>
  </si>
  <si>
    <t>Andhaadi</t>
  </si>
  <si>
    <t>Adhomukhaadi/Sight</t>
  </si>
  <si>
    <t>Guna(8)</t>
  </si>
  <si>
    <t>Gana(9)</t>
  </si>
  <si>
    <t>Symbol</t>
  </si>
  <si>
    <t>Symbol2</t>
  </si>
  <si>
    <t>Sex*</t>
  </si>
  <si>
    <t>Animal</t>
  </si>
  <si>
    <t>Deity</t>
  </si>
  <si>
    <t>Rajju</t>
  </si>
  <si>
    <t>Prakruti</t>
  </si>
  <si>
    <t>Varna</t>
  </si>
  <si>
    <t>Phonemes</t>
  </si>
  <si>
    <t>Akshara</t>
  </si>
  <si>
    <t>Gotra(25)</t>
  </si>
  <si>
    <t>DoshaX8</t>
  </si>
  <si>
    <t>Pada1</t>
  </si>
  <si>
    <t>Pada2</t>
  </si>
  <si>
    <t>Pada3</t>
  </si>
  <si>
    <t>Pada4</t>
  </si>
  <si>
    <t>Yoga</t>
  </si>
  <si>
    <t>Astronomical Name</t>
  </si>
  <si>
    <t>0:Gh:Vg</t>
  </si>
  <si>
    <t>PROFESSIONS, ARTICLES ETC. SIGNIFIED</t>
  </si>
  <si>
    <t>PanchaPakshiShuklaP (Prashna Marga)</t>
  </si>
  <si>
    <t>PanchaPakshiKrishnaP</t>
  </si>
  <si>
    <t>Sanjya chakra</t>
  </si>
  <si>
    <t>Paata Chakra</t>
  </si>
  <si>
    <t>Paata (Up,Mr,Ka, Sa)</t>
  </si>
  <si>
    <t>Body Parts (Kamkoti.org)</t>
  </si>
  <si>
    <t>Visha</t>
  </si>
  <si>
    <t>Amrit</t>
  </si>
  <si>
    <t>Mrityu</t>
  </si>
  <si>
    <t>Ushna-sikha Start</t>
  </si>
  <si>
    <t>Ushna-sikha End</t>
  </si>
  <si>
    <t>Pada 1</t>
  </si>
  <si>
    <t>Pada 2</t>
  </si>
  <si>
    <t>Pada 3</t>
  </si>
  <si>
    <t>Pada 4</t>
  </si>
  <si>
    <t>Shiva Names</t>
  </si>
  <si>
    <t>Tree</t>
  </si>
  <si>
    <t>ChandraAshtama</t>
  </si>
  <si>
    <t>Ekanakshatra dosha</t>
  </si>
  <si>
    <r>
      <rPr>
        <b/>
        <sz val="11"/>
        <color rgb="FF000000"/>
        <rFont val="Calibri"/>
        <family val="2"/>
        <charset val="1"/>
      </rPr>
      <t xml:space="preserve">27 </t>
    </r>
    <r>
      <rPr>
        <b/>
        <sz val="11"/>
        <color rgb="FF000000"/>
        <rFont val="Noto Sans Arabic UI"/>
        <family val="2"/>
        <charset val="1"/>
      </rPr>
      <t>நட்சத்திர தேவதை</t>
    </r>
    <r>
      <rPr>
        <b/>
        <sz val="11"/>
        <color rgb="FF000000"/>
        <rFont val="Calibri"/>
        <family val="2"/>
        <charset val="1"/>
      </rPr>
      <t>(website in tamil)</t>
    </r>
  </si>
  <si>
    <t>27 நட்சத்திர அதிதேவதை</t>
  </si>
  <si>
    <t>Ashvayuja</t>
  </si>
  <si>
    <t>Aries/Mesha</t>
  </si>
  <si>
    <t>Pritvi</t>
  </si>
  <si>
    <t>Manda-Slow</t>
  </si>
  <si>
    <t>Tiryangmukha/Ahead</t>
  </si>
  <si>
    <t>Tama</t>
  </si>
  <si>
    <t>Deva</t>
  </si>
  <si>
    <t>Dharma</t>
  </si>
  <si>
    <t>Horse Head</t>
  </si>
  <si>
    <t>Male</t>
  </si>
  <si>
    <t>Horse</t>
  </si>
  <si>
    <t>Aswinidevatas    </t>
  </si>
  <si>
    <t>Pada/Feet</t>
  </si>
  <si>
    <t>Srishti</t>
  </si>
  <si>
    <t>Brahman</t>
  </si>
  <si>
    <t>chu che cho laa</t>
  </si>
  <si>
    <t>चु चे चो ला</t>
  </si>
  <si>
    <t>Marichi</t>
  </si>
  <si>
    <t>Vata</t>
  </si>
  <si>
    <t>Pitta</t>
  </si>
  <si>
    <t>Kapha</t>
  </si>
  <si>
    <t>Beta Arietis</t>
  </si>
  <si>
    <t>Army general, physician, trader, hunter, servant or one dealing with horses, horse thief, stable keeper, jockey etc.</t>
  </si>
  <si>
    <t>Vulture/Bhaaranda</t>
  </si>
  <si>
    <t>Peacock</t>
  </si>
  <si>
    <t>Kshipra/Laghu(Jupiter)</t>
  </si>
  <si>
    <t>Tuesday</t>
  </si>
  <si>
    <t>Upper foot</t>
  </si>
  <si>
    <t>Horses rider, having horses</t>
  </si>
  <si>
    <t>Childish</t>
  </si>
  <si>
    <t>Fortunate</t>
  </si>
  <si>
    <t>Enjoyer, Long Life</t>
  </si>
  <si>
    <t>kaṇḍendudhara</t>
  </si>
  <si>
    <t>Strychnos nux-vomica,(Strychnine),Kanjiram/ Yetti/ Etti/ Kuchala</t>
  </si>
  <si>
    <t>For Rohini, Arudra, Magha, Hastha, Visaka, Sravana, Uttrabhadrashada, Revathi - Can be Excellent compatible for same Nakshtra.
For Pura (Purvaphulguni) , Ashwini, Kritrika, Mirgasira, Punarvasu, Pusa, Uttraphulguni, Chitra, Anuradha, Uttarshada - Can be Medium Compatible for same Nakshtra.
Bharani, Ashlesha, Swathi, Jyesta, Mula, Dhanshta, Sadabishak, Purvabhadrapada should be avoided for compatibility</t>
  </si>
  <si>
    <r>
      <rPr>
        <sz val="11"/>
        <color rgb="FF000000"/>
        <rFont val="Calibri"/>
        <family val="2"/>
        <charset val="1"/>
      </rPr>
      <t xml:space="preserve">1. </t>
    </r>
    <r>
      <rPr>
        <sz val="11"/>
        <color rgb="FF000000"/>
        <rFont val="Noto Sans Arabic UI"/>
        <family val="2"/>
        <charset val="1"/>
      </rPr>
      <t>அஸ்வினி – சரஸ்வதி</t>
    </r>
  </si>
  <si>
    <r>
      <rPr>
        <sz val="11"/>
        <color rgb="FF000000"/>
        <rFont val="Calibri"/>
        <family val="2"/>
        <charset val="1"/>
      </rPr>
      <t xml:space="preserve">1. </t>
    </r>
    <r>
      <rPr>
        <sz val="11"/>
        <color rgb="FF000000"/>
        <rFont val="Noto Sans Arabic UI"/>
        <family val="2"/>
        <charset val="1"/>
      </rPr>
      <t>அஸ்வினி – அஸ்வினி தேவர்கள்</t>
    </r>
  </si>
  <si>
    <t>Apa Barani</t>
  </si>
  <si>
    <t>Vaayu</t>
  </si>
  <si>
    <t>Kaana-one eyed</t>
  </si>
  <si>
    <t>Adhomukha/Down</t>
  </si>
  <si>
    <t>Raja</t>
  </si>
  <si>
    <t>Manushya</t>
  </si>
  <si>
    <t>Artha</t>
  </si>
  <si>
    <t>Elephant</t>
  </si>
  <si>
    <t>Female/Male</t>
  </si>
  <si>
    <t>Yamaraj          </t>
  </si>
  <si>
    <t>Kati/Hip</t>
  </si>
  <si>
    <t>Stithi</t>
  </si>
  <si>
    <t>Kshatriya</t>
  </si>
  <si>
    <t>lii luu le lo</t>
  </si>
  <si>
    <t>ली लू ले लो</t>
  </si>
  <si>
    <t>Vashishtha</t>
  </si>
  <si>
    <t>35 Arietis</t>
  </si>
  <si>
    <t>Butcher, Non-vegetarian food preparation/ eating, cruel actions like killing and torture, menial jobs, crematorium/ burial related jobs.</t>
  </si>
  <si>
    <t>Ugra/Krura(Mars)</t>
  </si>
  <si>
    <t>Kaana</t>
  </si>
  <si>
    <t>Under Foot/Soles</t>
  </si>
  <si>
    <t>Carrying, Bringing,  Wearing, Nourishing from root Bhar</t>
  </si>
  <si>
    <t>Sacrificing</t>
  </si>
  <si>
    <t>Happy, Rich</t>
  </si>
  <si>
    <t>Cruel Deeds</t>
  </si>
  <si>
    <t>Poverty</t>
  </si>
  <si>
    <t>vṛṣāṅka</t>
  </si>
  <si>
    <t>Phyllanthus emblica/ Emblica officinalis,(Indian Gooseberry/ Amla),Nelli/ Perunelli/ Aavali/ Amla/ Amalaki</t>
  </si>
  <si>
    <r>
      <rPr>
        <sz val="11"/>
        <color rgb="FF000000"/>
        <rFont val="Calibri"/>
        <family val="2"/>
        <charset val="1"/>
      </rPr>
      <t xml:space="preserve">2. </t>
    </r>
    <r>
      <rPr>
        <sz val="11"/>
        <color rgb="FF000000"/>
        <rFont val="Noto Sans Arabic UI"/>
        <family val="2"/>
        <charset val="1"/>
      </rPr>
      <t>பரணி – துர்க்கை</t>
    </r>
  </si>
  <si>
    <r>
      <rPr>
        <sz val="11"/>
        <color rgb="FF000000"/>
        <rFont val="Calibri"/>
        <family val="2"/>
        <charset val="1"/>
      </rPr>
      <t xml:space="preserve">2. </t>
    </r>
    <r>
      <rPr>
        <sz val="11"/>
        <color rgb="FF000000"/>
        <rFont val="Noto Sans Arabic UI"/>
        <family val="2"/>
        <charset val="1"/>
      </rPr>
      <t>பரணி – எமன்</t>
    </r>
  </si>
  <si>
    <t>Krithigai</t>
  </si>
  <si>
    <t>Aries/Taurus</t>
  </si>
  <si>
    <t>Akaasha</t>
  </si>
  <si>
    <t>Sulochana-Birght eyed</t>
  </si>
  <si>
    <t>Rakshasa</t>
  </si>
  <si>
    <t>Kama</t>
  </si>
  <si>
    <t>Razor</t>
  </si>
  <si>
    <t>fire flame</t>
  </si>
  <si>
    <t>Sheep</t>
  </si>
  <si>
    <t>Agni             </t>
  </si>
  <si>
    <t>Kukshi/Navel</t>
  </si>
  <si>
    <t>Laya</t>
  </si>
  <si>
    <t>Vaishya</t>
  </si>
  <si>
    <t xml:space="preserve">a ii uu ai </t>
  </si>
  <si>
    <t xml:space="preserve">अ ई ऊ ऐ </t>
  </si>
  <si>
    <t>Aïgiras</t>
  </si>
  <si>
    <t>Kapha/Sleshma</t>
  </si>
  <si>
    <t>Eta Tauri</t>
  </si>
  <si>
    <t>Priests Scholars of traditional lore &amp; mantras, commentators, gold miners, barber, potter, Brahmins (intellectual professions), astrologers.</t>
  </si>
  <si>
    <t>Sadharana/Mishra(Merc)</t>
  </si>
  <si>
    <t>Sama</t>
  </si>
  <si>
    <t>Head</t>
  </si>
  <si>
    <t>Krita=Cut, Divide, Surrounded, Attired</t>
  </si>
  <si>
    <t>Radiant</t>
  </si>
  <si>
    <t>Spiritual Knowledge</t>
  </si>
  <si>
    <t>Grief</t>
  </si>
  <si>
    <t>Long Life, Sons</t>
  </si>
  <si>
    <t>kṛttivāsa</t>
  </si>
  <si>
    <t>Ficus glomerata/ Ficus racemosa,(Cluster Fig/ Country Fig/ Fig),Athi/ Ambar/ Udumbara/ Gular</t>
  </si>
  <si>
    <r>
      <rPr>
        <sz val="11"/>
        <color rgb="FF000000"/>
        <rFont val="Calibri"/>
        <family val="2"/>
        <charset val="1"/>
      </rPr>
      <t xml:space="preserve">3. </t>
    </r>
    <r>
      <rPr>
        <sz val="11"/>
        <color rgb="FF000000"/>
        <rFont val="Noto Sans Arabic UI"/>
        <family val="2"/>
        <charset val="1"/>
      </rPr>
      <t>கார்த்திகை – அக்னி</t>
    </r>
  </si>
  <si>
    <t>Tau</t>
  </si>
  <si>
    <t>Andha-Blind</t>
  </si>
  <si>
    <t>Urdhvamukha/UP</t>
  </si>
  <si>
    <t>Moksha</t>
  </si>
  <si>
    <t>Chariot</t>
  </si>
  <si>
    <t>Serpent</t>
  </si>
  <si>
    <t>Brahma           </t>
  </si>
  <si>
    <t>Kantha/Neck</t>
  </si>
  <si>
    <t>Shudra</t>
  </si>
  <si>
    <t>o vaa vii vuu</t>
  </si>
  <si>
    <t>ओ वा वी वू</t>
  </si>
  <si>
    <t>Atri</t>
  </si>
  <si>
    <t>Alderban</t>
  </si>
  <si>
    <t>Politician/ King, Businessman, Industrialist, Beauty parlor ,Ascetic, entertainment, agriculture, Cows &amp; quadrupeds, Water dwelling being</t>
  </si>
  <si>
    <t>Sthira/Dhruva(Sun)</t>
  </si>
  <si>
    <t>Utpaata</t>
  </si>
  <si>
    <t>Wednesday</t>
  </si>
  <si>
    <t>Forehead</t>
  </si>
  <si>
    <t xml:space="preserve">Red Cow daughter of Surabhi, </t>
  </si>
  <si>
    <t>Prosperous</t>
  </si>
  <si>
    <t>Many Evils</t>
  </si>
  <si>
    <t>Timid</t>
  </si>
  <si>
    <t>Truthful</t>
  </si>
  <si>
    <t>vācaspati</t>
  </si>
  <si>
    <t>Eugenia Jaambolana/ Syzygium cuminii,(Jamun/ Black Plum),Naval/ Jambhali/ Perunjaval</t>
  </si>
  <si>
    <r>
      <rPr>
        <sz val="11"/>
        <color rgb="FF000000"/>
        <rFont val="Calibri"/>
        <family val="2"/>
        <charset val="1"/>
      </rPr>
      <t xml:space="preserve">4. </t>
    </r>
    <r>
      <rPr>
        <sz val="11"/>
        <color rgb="FF000000"/>
        <rFont val="Noto Sans Arabic UI"/>
        <family val="2"/>
        <charset val="1"/>
      </rPr>
      <t>ரோகிணி – பிரம்மன்</t>
    </r>
  </si>
  <si>
    <r>
      <rPr>
        <sz val="11"/>
        <color rgb="FF000000"/>
        <rFont val="Calibri"/>
        <family val="2"/>
        <charset val="1"/>
      </rPr>
      <t xml:space="preserve">4. </t>
    </r>
    <r>
      <rPr>
        <sz val="11"/>
        <color rgb="FF000000"/>
        <rFont val="Noto Sans Arabic UI"/>
        <family val="2"/>
        <charset val="1"/>
      </rPr>
      <t>ரோகிணி – பிரஜாபதி</t>
    </r>
  </si>
  <si>
    <t>Mrigashira</t>
  </si>
  <si>
    <t>Invakaa, Mrigaseersham</t>
  </si>
  <si>
    <t>Tau/Gem</t>
  </si>
  <si>
    <t>Jala</t>
  </si>
  <si>
    <t>Deer Head</t>
  </si>
  <si>
    <t>Form of Cats Foot?</t>
  </si>
  <si>
    <t>Female/Herm</t>
  </si>
  <si>
    <t>Moon             </t>
  </si>
  <si>
    <t>Shiro/Head</t>
  </si>
  <si>
    <t>Anulomaja</t>
  </si>
  <si>
    <t>ve vo ka ki</t>
  </si>
  <si>
    <t>वे वो क कि</t>
  </si>
  <si>
    <t>Pulastya</t>
  </si>
  <si>
    <t>Lambda Orionis</t>
  </si>
  <si>
    <t>Garments, Perfumes, Products of wet lands, flowers, mango, sapphire &amp; gems, hunters, forest dwellers, loafer, postman, singer, brewery</t>
  </si>
  <si>
    <t>Mridhu/Maitra(Venus)</t>
  </si>
  <si>
    <t>Eye Brows</t>
  </si>
  <si>
    <t>Having Antelope Head</t>
  </si>
  <si>
    <t>Kingly</t>
  </si>
  <si>
    <t>Enjoyer</t>
  </si>
  <si>
    <t>Wealth, Grains</t>
  </si>
  <si>
    <t>daśānana bhairava</t>
  </si>
  <si>
    <t>Acacia catechu/ Diospyros ebunum,(Cutch Tree/ Milmesha/ Ebony),Karingali/ Karungali/ Kher</t>
  </si>
  <si>
    <r>
      <rPr>
        <sz val="11"/>
        <color rgb="FF000000"/>
        <rFont val="Calibri"/>
        <family val="2"/>
        <charset val="1"/>
      </rPr>
      <t xml:space="preserve">5. </t>
    </r>
    <r>
      <rPr>
        <sz val="11"/>
        <color rgb="FF000000"/>
        <rFont val="Noto Sans Arabic UI"/>
        <family val="2"/>
        <charset val="1"/>
      </rPr>
      <t>மிருகசீரிஷம் – சந்திரன்</t>
    </r>
  </si>
  <si>
    <t>baahoo, Thiruvaadhirai,Aarudra</t>
  </si>
  <si>
    <t>Gem</t>
  </si>
  <si>
    <t>Head/Precious Stone</t>
  </si>
  <si>
    <t>Lotus, Gem</t>
  </si>
  <si>
    <t>Female</t>
  </si>
  <si>
    <t>Dog</t>
  </si>
  <si>
    <t>Rudra            </t>
  </si>
  <si>
    <t>Kantha</t>
  </si>
  <si>
    <t>Pratilomaja</t>
  </si>
  <si>
    <t xml:space="preserve">kuu gha ~Na Cha </t>
  </si>
  <si>
    <t xml:space="preserve">कू घ ङ छ </t>
  </si>
  <si>
    <t>Pulaha</t>
  </si>
  <si>
    <t>SouthEast</t>
  </si>
  <si>
    <t>Alpha Orionis</t>
  </si>
  <si>
    <t>Prostitution/ laxity of morals, professional liars, cheats, captivation of animals, backstabbing, creating enmity, black magic, Criminals.</t>
  </si>
  <si>
    <t>Owl/Pingala</t>
  </si>
  <si>
    <t>Cock</t>
  </si>
  <si>
    <t>Theexana/Daruna(Saturn)</t>
  </si>
  <si>
    <t>Eyes</t>
  </si>
  <si>
    <t xml:space="preserve">Fresh, Moist, </t>
  </si>
  <si>
    <t>Spendthrift</t>
  </si>
  <si>
    <t>Short Life</t>
  </si>
  <si>
    <t>yudhiṣṭira</t>
  </si>
  <si>
    <t>Diospyros melanoxylon/ Ptero carpus santalinus/ Aquillaria agallocha,(Cashmere Tree/ Long Pepper/ Red Sandal),Kari /Kumbil/ Karai/ Thippilli/ Agar/ Krushnagus/ Agalichandanum/ Akil/ Sen Santhanam/ Aguru</t>
  </si>
  <si>
    <r>
      <rPr>
        <sz val="11"/>
        <color rgb="FF000000"/>
        <rFont val="Calibri"/>
        <family val="2"/>
        <charset val="1"/>
      </rPr>
      <t xml:space="preserve">6. </t>
    </r>
    <r>
      <rPr>
        <sz val="11"/>
        <color rgb="FF000000"/>
        <rFont val="Noto Sans Arabic UI"/>
        <family val="2"/>
        <charset val="1"/>
      </rPr>
      <t>திருவாதிரை – பரமசிவன்</t>
    </r>
  </si>
  <si>
    <r>
      <rPr>
        <sz val="11"/>
        <color rgb="FF000000"/>
        <rFont val="Calibri"/>
        <family val="2"/>
        <charset val="1"/>
      </rPr>
      <t xml:space="preserve">6. </t>
    </r>
    <r>
      <rPr>
        <sz val="11"/>
        <color rgb="FF000000"/>
        <rFont val="Noto Sans Arabic UI"/>
        <family val="2"/>
        <charset val="1"/>
      </rPr>
      <t>திருவாதிரை – ருத்ரன்</t>
    </r>
  </si>
  <si>
    <t xml:space="preserve">Punarpoosam </t>
  </si>
  <si>
    <t>Gem/Can</t>
  </si>
  <si>
    <t>Satva</t>
  </si>
  <si>
    <t>Bow</t>
  </si>
  <si>
    <t>Cat</t>
  </si>
  <si>
    <t>Aditi            </t>
  </si>
  <si>
    <t>Kukshi</t>
  </si>
  <si>
    <t>ke ko haa hi</t>
  </si>
  <si>
    <t>के को हा हि</t>
  </si>
  <si>
    <t>Kratu</t>
  </si>
  <si>
    <t>Beta Geminorium</t>
  </si>
  <si>
    <t>Professions valuing truth, Charity, Intelligent work, Work bringing fame &amp; wealth, banker, Officer, skilled worker</t>
  </si>
  <si>
    <t>Chara/Chala(Moon)</t>
  </si>
  <si>
    <t>Nose</t>
  </si>
  <si>
    <t>Restoring good, Beginning of Wealth/Light</t>
  </si>
  <si>
    <t>Happy</t>
  </si>
  <si>
    <t>Learned</t>
  </si>
  <si>
    <t>Sickly</t>
  </si>
  <si>
    <t>Untruth</t>
  </si>
  <si>
    <t>pūṣadantavināśa</t>
  </si>
  <si>
    <t>Bambusa vulgais/ Bamboosa arundinorea,(Bamboo),Mula/ Moongil/ Velu</t>
  </si>
  <si>
    <r>
      <rPr>
        <sz val="11"/>
        <color rgb="FF000000"/>
        <rFont val="Calibri"/>
        <family val="2"/>
        <charset val="1"/>
      </rPr>
      <t xml:space="preserve">7. </t>
    </r>
    <r>
      <rPr>
        <sz val="11"/>
        <color rgb="FF000000"/>
        <rFont val="Noto Sans Arabic UI"/>
        <family val="2"/>
        <charset val="1"/>
      </rPr>
      <t>புனர்பூசம் – அதிதி</t>
    </r>
  </si>
  <si>
    <t>tishya, Poosam</t>
  </si>
  <si>
    <t>Can</t>
  </si>
  <si>
    <t>Flower,Cow Udders</t>
  </si>
  <si>
    <t>Arrow</t>
  </si>
  <si>
    <t>Guru             </t>
  </si>
  <si>
    <t xml:space="preserve">huu he ho Daa </t>
  </si>
  <si>
    <t xml:space="preserve">हू हे हो डा </t>
  </si>
  <si>
    <t>Delta Cancri</t>
  </si>
  <si>
    <t>Rice, Wheat, Sugar/sweets, fishermen, water tanks, canals, Politician/ King, Physical exercise</t>
  </si>
  <si>
    <t>Thursday</t>
  </si>
  <si>
    <t>Face</t>
  </si>
  <si>
    <t xml:space="preserve">Nourishment, Blossom, flower, Best of anything, </t>
  </si>
  <si>
    <t>Long life</t>
  </si>
  <si>
    <t>Intelligent</t>
  </si>
  <si>
    <t>sarvadarśa</t>
  </si>
  <si>
    <t>Ficus religiosa,(Sacred Fig/ Peepal/ Ficus),Arayal/ Arasamaram/ Pimpal/ Pipal/ Aal</t>
  </si>
  <si>
    <r>
      <rPr>
        <sz val="11"/>
        <color rgb="FF000000"/>
        <rFont val="Calibri"/>
        <family val="2"/>
        <charset val="1"/>
      </rPr>
      <t xml:space="preserve">8. </t>
    </r>
    <r>
      <rPr>
        <sz val="11"/>
        <color rgb="FF000000"/>
        <rFont val="Noto Sans Arabic UI"/>
        <family val="2"/>
        <charset val="1"/>
      </rPr>
      <t>பூசம் – பிருகஸ்பதி</t>
    </r>
  </si>
  <si>
    <r>
      <rPr>
        <sz val="11"/>
        <color rgb="FF000000"/>
        <rFont val="Calibri"/>
        <family val="2"/>
        <charset val="1"/>
      </rPr>
      <t xml:space="preserve">8. </t>
    </r>
    <r>
      <rPr>
        <sz val="11"/>
        <color rgb="FF000000"/>
        <rFont val="Noto Sans Arabic UI"/>
        <family val="2"/>
        <charset val="1"/>
      </rPr>
      <t>பூசம் – குரு</t>
    </r>
  </si>
  <si>
    <t>Aayilyam</t>
  </si>
  <si>
    <t>Male/Female</t>
  </si>
  <si>
    <t>Sarpa (Rahu)     </t>
  </si>
  <si>
    <t xml:space="preserve">Di Duu De Dii </t>
  </si>
  <si>
    <t xml:space="preserve">डि डू डे डी </t>
  </si>
  <si>
    <t>Alpha Hydroe</t>
  </si>
  <si>
    <t>Skilled artisan, herbs, fruits, Medicine, Sorcery, thief, poison, reptiles, insects and worms. Copy or Repeating something.</t>
  </si>
  <si>
    <t>Ears</t>
  </si>
  <si>
    <t xml:space="preserve">ashl=bad,coarse ; esha = gliding,seeking, </t>
  </si>
  <si>
    <t>Childless</t>
  </si>
  <si>
    <t>Servitude</t>
  </si>
  <si>
    <t>tryambaka</t>
  </si>
  <si>
    <t>Calophyllum indophyllum/ Mesua ferrea,(Messua Tree/ Alexandrian Laurel/ Beauty Leaf Poon),Punna /Punnai/ Nagapoo/ Naagchafa/ Nagkeshar/ Nahar</t>
  </si>
  <si>
    <r>
      <rPr>
        <sz val="11"/>
        <color rgb="FF000000"/>
        <rFont val="Calibri"/>
        <family val="2"/>
        <charset val="1"/>
      </rPr>
      <t xml:space="preserve">9. </t>
    </r>
    <r>
      <rPr>
        <sz val="11"/>
        <color rgb="FF000000"/>
        <rFont val="Noto Sans Arabic UI"/>
        <family val="2"/>
        <charset val="1"/>
      </rPr>
      <t>ஆயில்யம் – ஆதிசேஷன்</t>
    </r>
  </si>
  <si>
    <r>
      <rPr>
        <sz val="11"/>
        <color rgb="FF000000"/>
        <rFont val="Calibri"/>
        <family val="2"/>
        <charset val="1"/>
      </rPr>
      <t xml:space="preserve">9. </t>
    </r>
    <r>
      <rPr>
        <sz val="11"/>
        <color rgb="FF000000"/>
        <rFont val="Noto Sans Arabic UI"/>
        <family val="2"/>
        <charset val="1"/>
      </rPr>
      <t>ஆயில்யம் – சர்ப்பம்</t>
    </r>
  </si>
  <si>
    <t>Magam</t>
  </si>
  <si>
    <t>Palanquin</t>
  </si>
  <si>
    <t>Plough</t>
  </si>
  <si>
    <t>Rat</t>
  </si>
  <si>
    <t>Pitrs            </t>
  </si>
  <si>
    <t xml:space="preserve">maa mii muu me </t>
  </si>
  <si>
    <t xml:space="preserve">मा मी मू मे </t>
  </si>
  <si>
    <t>Regulus</t>
  </si>
  <si>
    <t>Rice merchants, Non-veg food, Large business, Male chauvinist, Civil engineering, all works in mountainous regions</t>
  </si>
  <si>
    <t>Lips and Chin</t>
  </si>
  <si>
    <t xml:space="preserve">Gift, Power, Wealth, </t>
  </si>
  <si>
    <t>No Funeral</t>
  </si>
  <si>
    <t>Sons</t>
  </si>
  <si>
    <t>Deadly Disease</t>
  </si>
  <si>
    <t>Scholar</t>
  </si>
  <si>
    <t>dhakāra</t>
  </si>
  <si>
    <t>Ficus benghalensis,(Banyan Tree/ Indian Fig),Peral/ Alamaram/ Vatt/ Bargad</t>
  </si>
  <si>
    <r>
      <rPr>
        <sz val="11"/>
        <color rgb="FF000000"/>
        <rFont val="Calibri"/>
        <family val="2"/>
        <charset val="1"/>
      </rPr>
      <t xml:space="preserve">10. </t>
    </r>
    <r>
      <rPr>
        <sz val="11"/>
        <color rgb="FF000000"/>
        <rFont val="Noto Sans Arabic UI"/>
        <family val="2"/>
        <charset val="1"/>
      </rPr>
      <t>மகம் – சுக்கிரன்</t>
    </r>
  </si>
  <si>
    <r>
      <rPr>
        <sz val="11"/>
        <color rgb="FF000000"/>
        <rFont val="Calibri"/>
        <family val="2"/>
        <charset val="1"/>
      </rPr>
      <t xml:space="preserve">10. </t>
    </r>
    <r>
      <rPr>
        <sz val="11"/>
        <color rgb="FF000000"/>
        <rFont val="Noto Sans Arabic UI"/>
        <family val="2"/>
        <charset val="1"/>
      </rPr>
      <t>மகம் – பித்ருக்கள்</t>
    </r>
  </si>
  <si>
    <t>Purva Phalguni</t>
  </si>
  <si>
    <t>Pooram, pubba</t>
  </si>
  <si>
    <t>Front Legs of cot</t>
  </si>
  <si>
    <t>Front Legs of Marriage Bed</t>
  </si>
  <si>
    <t>Bhaga (Siva)     </t>
  </si>
  <si>
    <t>mo Taa Tii Tu</t>
  </si>
  <si>
    <t>मो टा टी टु</t>
  </si>
  <si>
    <t>Delta Leonis</t>
  </si>
  <si>
    <t>Dance, Movie, Fashion, entertainment, Music, Painting, Money exchange, Fried food, Salt, Honey, light oils etc.</t>
  </si>
  <si>
    <t>Right Hand</t>
  </si>
  <si>
    <t>Reddish, Small, Weak, uprofittable, Vanity,?</t>
  </si>
  <si>
    <t>Skillfull</t>
  </si>
  <si>
    <t>Righteous</t>
  </si>
  <si>
    <t>Cruel</t>
  </si>
  <si>
    <t>Short life</t>
  </si>
  <si>
    <t>somadhārā</t>
  </si>
  <si>
    <t>Butea monosperma,(Flame of the Forest/ Parrot Tree),Plasu/ Chamata/ Palas/ Khakda/ Modugu/ Murikku/ Parasu/ Polash/ Desuka Jhad/ Dhak/ Chalcha</t>
  </si>
  <si>
    <r>
      <rPr>
        <sz val="11"/>
        <color rgb="FF000000"/>
        <rFont val="Calibri"/>
        <family val="2"/>
        <charset val="1"/>
      </rPr>
      <t xml:space="preserve">11. </t>
    </r>
    <r>
      <rPr>
        <sz val="11"/>
        <color rgb="FF000000"/>
        <rFont val="Noto Sans Arabic UI"/>
        <family val="2"/>
        <charset val="1"/>
      </rPr>
      <t>பூரம் – பார்வதி</t>
    </r>
  </si>
  <si>
    <r>
      <rPr>
        <sz val="11"/>
        <color rgb="FF000000"/>
        <rFont val="Calibri"/>
        <family val="2"/>
        <charset val="1"/>
      </rPr>
      <t xml:space="preserve">11. </t>
    </r>
    <r>
      <rPr>
        <sz val="11"/>
        <color rgb="FF000000"/>
        <rFont val="Noto Sans Arabic UI"/>
        <family val="2"/>
        <charset val="1"/>
      </rPr>
      <t>பூரம் – அர்யமான்</t>
    </r>
  </si>
  <si>
    <t>Uttara Phalguni</t>
  </si>
  <si>
    <t>Uttaram</t>
  </si>
  <si>
    <t>Leo/Vir</t>
  </si>
  <si>
    <t>Back legs of cot</t>
  </si>
  <si>
    <t>Back Legs of Marriage Bed</t>
  </si>
  <si>
    <t>Cow</t>
  </si>
  <si>
    <t>Aryaman          </t>
  </si>
  <si>
    <t>Te To paa pi</t>
  </si>
  <si>
    <t>टे टो पा पि</t>
  </si>
  <si>
    <t>Beta Leonis</t>
  </si>
  <si>
    <t>Lawyer, Judge, Charity, Vedic knowledge, Finance for trade, Treasury, Government service, social service</t>
  </si>
  <si>
    <t>Crow/kaaka</t>
  </si>
  <si>
    <t>Crow</t>
  </si>
  <si>
    <t>Friday</t>
  </si>
  <si>
    <t>Left Hand</t>
  </si>
  <si>
    <t>Emperor</t>
  </si>
  <si>
    <t>Success</t>
  </si>
  <si>
    <t>Righteous, just</t>
  </si>
  <si>
    <t>gaṅgādhara</t>
  </si>
  <si>
    <t>Ficus tinctoria/ Nerium indicum/ Ficus arnottiana,(Indian Laurel/ Rose Laurel/ Indian Cleaner),Ithi/ Itti/ Arali/ Payari</t>
  </si>
  <si>
    <r>
      <rPr>
        <sz val="11"/>
        <color rgb="FF000000"/>
        <rFont val="Calibri"/>
        <family val="2"/>
        <charset val="1"/>
      </rPr>
      <t xml:space="preserve">12. </t>
    </r>
    <r>
      <rPr>
        <sz val="11"/>
        <color rgb="FF000000"/>
        <rFont val="Noto Sans Arabic UI"/>
        <family val="2"/>
        <charset val="1"/>
      </rPr>
      <t>உத்திரம் – சூரியன்</t>
    </r>
  </si>
  <si>
    <r>
      <rPr>
        <sz val="11"/>
        <color rgb="FF000000"/>
        <rFont val="Calibri"/>
        <family val="2"/>
        <charset val="1"/>
      </rPr>
      <t xml:space="preserve">12. </t>
    </r>
    <r>
      <rPr>
        <sz val="11"/>
        <color rgb="FF000000"/>
        <rFont val="Noto Sans Arabic UI"/>
        <family val="2"/>
        <charset val="1"/>
      </rPr>
      <t xml:space="preserve">உத்திரம் – பேகன் </t>
    </r>
    <r>
      <rPr>
        <sz val="11"/>
        <color rgb="FF000000"/>
        <rFont val="Calibri"/>
        <family val="2"/>
        <charset val="1"/>
      </rPr>
      <t>(Bhaga)</t>
    </r>
  </si>
  <si>
    <t>Hastham</t>
  </si>
  <si>
    <t>Vir</t>
  </si>
  <si>
    <t>Palm</t>
  </si>
  <si>
    <t>Hand</t>
  </si>
  <si>
    <t>Buffalo</t>
  </si>
  <si>
    <t>Savitr (Sun)     </t>
  </si>
  <si>
    <t>puu pa Na Tha</t>
  </si>
  <si>
    <t>पू प ण ठ</t>
  </si>
  <si>
    <t>SouthWest</t>
  </si>
  <si>
    <t>Delta Corvi</t>
  </si>
  <si>
    <t>Shares, speculation, gambling, thief, traditional knowledge, painting, catching,training &amp; riding elephants.</t>
  </si>
  <si>
    <t>Hand/Fingers</t>
  </si>
  <si>
    <t>Hand, Elephant Trunk, Holding</t>
  </si>
  <si>
    <t>Heroic</t>
  </si>
  <si>
    <t>Wealthy</t>
  </si>
  <si>
    <t>sāmbhaśiva</t>
  </si>
  <si>
    <t>Spondias pinnata / Azadirachta indica/ Jasminum grandiflorum,(Hog Plum/ Neem/ Royal Jasmine / Azadirachta indica/ Jasminum grandiflorum),Ambazham/ Marima/ Nalini/ Kaatuma/ Velam/ Chameli/ Mulla/ Mullai</t>
  </si>
  <si>
    <r>
      <rPr>
        <sz val="11"/>
        <color rgb="FF000000"/>
        <rFont val="Calibri"/>
        <family val="2"/>
        <charset val="1"/>
      </rPr>
      <t xml:space="preserve">13. </t>
    </r>
    <r>
      <rPr>
        <sz val="11"/>
        <color rgb="FF000000"/>
        <rFont val="Noto Sans Arabic UI"/>
        <family val="2"/>
        <charset val="1"/>
      </rPr>
      <t>ஹஸ்தம் – துர்தேவதை</t>
    </r>
  </si>
  <si>
    <r>
      <rPr>
        <sz val="11"/>
        <color rgb="FF000000"/>
        <rFont val="Calibri"/>
        <family val="2"/>
        <charset val="1"/>
      </rPr>
      <t xml:space="preserve">13. </t>
    </r>
    <r>
      <rPr>
        <sz val="11"/>
        <color rgb="FF000000"/>
        <rFont val="Noto Sans Arabic UI"/>
        <family val="2"/>
        <charset val="1"/>
      </rPr>
      <t xml:space="preserve">ஹஸ்தம் – துவஷ்டா </t>
    </r>
    <r>
      <rPr>
        <sz val="11"/>
        <color rgb="FF000000"/>
        <rFont val="Calibri"/>
        <family val="2"/>
        <charset val="1"/>
      </rPr>
      <t>(Savitur)</t>
    </r>
  </si>
  <si>
    <t>Chithirai</t>
  </si>
  <si>
    <t>Vir/Lib</t>
  </si>
  <si>
    <t>Pearl</t>
  </si>
  <si>
    <t>Tiger</t>
  </si>
  <si>
    <t>Tvastr          </t>
  </si>
  <si>
    <t>pe pii raa rii</t>
  </si>
  <si>
    <t>पे पी रा री</t>
  </si>
  <si>
    <t>Spica Virginis</t>
  </si>
  <si>
    <t>Interior decoration, architecture, Diamond jewellery, incense &amp; perfumes,mathematics, computers, ENT specialist, weaving &amp;spinning</t>
  </si>
  <si>
    <t>Neck</t>
  </si>
  <si>
    <t>Bright, Clear, Conspicuous, Excellent, Spotted, Beautiful</t>
  </si>
  <si>
    <t>Artist</t>
  </si>
  <si>
    <t>śankara</t>
  </si>
  <si>
    <t>Aegle marmelos,(Beal Tree/ Bengal Quince/ Stone Apple/ Wood Apple),Koovalam/ Vilvam/ Bel/ Bilvam/ Bilwa/</t>
  </si>
  <si>
    <r>
      <rPr>
        <sz val="11"/>
        <color rgb="FF000000"/>
        <rFont val="Calibri"/>
        <family val="2"/>
        <charset val="1"/>
      </rPr>
      <t xml:space="preserve">14. </t>
    </r>
    <r>
      <rPr>
        <sz val="11"/>
        <color rgb="FF000000"/>
        <rFont val="Noto Sans Arabic UI"/>
        <family val="2"/>
        <charset val="1"/>
      </rPr>
      <t>சித்திரை – விஸ்வகர்மா</t>
    </r>
  </si>
  <si>
    <r>
      <rPr>
        <sz val="11"/>
        <color rgb="FF000000"/>
        <rFont val="Calibri"/>
        <family val="2"/>
        <charset val="1"/>
      </rPr>
      <t xml:space="preserve">14. </t>
    </r>
    <r>
      <rPr>
        <sz val="11"/>
        <color rgb="FF000000"/>
        <rFont val="Noto Sans Arabic UI"/>
        <family val="2"/>
        <charset val="1"/>
      </rPr>
      <t>சித்திரை – துவஷ்டா</t>
    </r>
  </si>
  <si>
    <t>Nishtyaa</t>
  </si>
  <si>
    <t>Lib</t>
  </si>
  <si>
    <t>Sapphire</t>
  </si>
  <si>
    <t>Wheat Sprout, Like Kumkum</t>
  </si>
  <si>
    <t>Vayu             </t>
  </si>
  <si>
    <t>ruu re ro taa</t>
  </si>
  <si>
    <t>रू रे रो ता</t>
  </si>
  <si>
    <t>Arcturus Vayu</t>
  </si>
  <si>
    <t xml:space="preserve">Aeroplanes, Deer, horses &amp; similar animals, Vegeatables, Merchant, Birth control,Music Prayer panchami thithi and svaathi nakshatram. </t>
  </si>
  <si>
    <t>chest</t>
  </si>
  <si>
    <t>Having good taste</t>
  </si>
  <si>
    <t>Charitable</t>
  </si>
  <si>
    <t>bhīma</t>
  </si>
  <si>
    <t>Terminalia arjuna/ Lagerstroemia speciosa,(Arjuna Tree / Queen's Flower),Maruthu/ Neermaruthu/ Marutham/ Jarul/ Arjun</t>
  </si>
  <si>
    <r>
      <rPr>
        <sz val="11"/>
        <color rgb="FF000000"/>
        <rFont val="Calibri"/>
        <family val="2"/>
        <charset val="1"/>
      </rPr>
      <t xml:space="preserve">15. </t>
    </r>
    <r>
      <rPr>
        <sz val="11"/>
        <color rgb="FF000000"/>
        <rFont val="Noto Sans Arabic UI"/>
        <family val="2"/>
        <charset val="1"/>
      </rPr>
      <t>சுவாதி – வாயு</t>
    </r>
  </si>
  <si>
    <t>Vishakha</t>
  </si>
  <si>
    <t>Visaakam</t>
  </si>
  <si>
    <t>Lib/Sco</t>
  </si>
  <si>
    <t>Potters Wheel</t>
  </si>
  <si>
    <t>Torana (Triump Arch)</t>
  </si>
  <si>
    <t>Indra And Agni   </t>
  </si>
  <si>
    <t>tii tuu te to</t>
  </si>
  <si>
    <t>ती तू ते तो</t>
  </si>
  <si>
    <t>Alpha Libroe</t>
  </si>
  <si>
    <t>Gram, Businessmen, learned &amp; skilled in handling fire, engineering.</t>
  </si>
  <si>
    <t>Saturday</t>
  </si>
  <si>
    <t>Breast</t>
  </si>
  <si>
    <t>Branched (Well Branched?), Arched</t>
  </si>
  <si>
    <t>Justice</t>
  </si>
  <si>
    <t>Polity, Policy</t>
  </si>
  <si>
    <t>trinetraya</t>
  </si>
  <si>
    <t>Feronia elephantum/ Feronia limonia/ Mesua ferrea/ Limonia acidissima,(Governor's Plum/ Wood Apple/ Ceylon Ironwood/ Indian rose chestnut),Dadhipala/ Vayamkatha/ Vilamaram/ Kaith/ Naagkeshar/ Nahar</t>
  </si>
  <si>
    <r>
      <rPr>
        <sz val="11"/>
        <color rgb="FFC9211E"/>
        <rFont val="Calibri"/>
        <family val="2"/>
        <charset val="1"/>
      </rPr>
      <t xml:space="preserve">16. </t>
    </r>
    <r>
      <rPr>
        <sz val="11"/>
        <color rgb="FFC9211E"/>
        <rFont val="Noto Sans Arabic UI"/>
        <family val="2"/>
        <charset val="1"/>
      </rPr>
      <t>விசாகம் – இந்திரன்</t>
    </r>
  </si>
  <si>
    <r>
      <rPr>
        <sz val="11"/>
        <color rgb="FFC9211E"/>
        <rFont val="Calibri"/>
        <family val="2"/>
        <charset val="1"/>
      </rPr>
      <t xml:space="preserve">16. </t>
    </r>
    <r>
      <rPr>
        <sz val="11"/>
        <color rgb="FFC9211E"/>
        <rFont val="Noto Sans Arabic UI"/>
        <family val="2"/>
        <charset val="1"/>
      </rPr>
      <t xml:space="preserve">விசாகம் – இந்திரன் </t>
    </r>
    <r>
      <rPr>
        <sz val="11"/>
        <color rgb="FFC9211E"/>
        <rFont val="Calibri"/>
        <family val="2"/>
        <charset val="1"/>
      </rPr>
      <t>(Indra-Agni)</t>
    </r>
  </si>
  <si>
    <t>Anusham</t>
  </si>
  <si>
    <t>Sco</t>
  </si>
  <si>
    <t>Umbrella</t>
  </si>
  <si>
    <t>Lotus</t>
  </si>
  <si>
    <t>Hare</t>
  </si>
  <si>
    <t>Mitra (Sun)      </t>
  </si>
  <si>
    <t>naa nii nuu ne</t>
  </si>
  <si>
    <t>ना नी नू ने</t>
  </si>
  <si>
    <t>Delta Scorpio</t>
  </si>
  <si>
    <t>Sports, Games, Devoted to saints, Foreign visits (Foreign service, exports, imports etc) Vehicles (manufacture, repair ,use)</t>
  </si>
  <si>
    <t>Owl</t>
  </si>
  <si>
    <t>Stomach</t>
  </si>
  <si>
    <t>anu=Next, Subordinate, Small Radha=Success, Prosperity, (Lakshmi like in Radha Krishna)</t>
  </si>
  <si>
    <t>Fierce</t>
  </si>
  <si>
    <t>Bad Background</t>
  </si>
  <si>
    <t>anangahara</t>
  </si>
  <si>
    <t>Mimusops elengi/ Mesua ferrea,(Bullet Wood Tree),Elanji/ Magizh/ Magizham/ Maulshree/ Naagkeshar</t>
  </si>
  <si>
    <r>
      <rPr>
        <sz val="11"/>
        <color rgb="FF000000"/>
        <rFont val="Calibri"/>
        <family val="2"/>
        <charset val="1"/>
      </rPr>
      <t xml:space="preserve">17. </t>
    </r>
    <r>
      <rPr>
        <sz val="11"/>
        <color rgb="FF000000"/>
        <rFont val="Noto Sans Arabic UI"/>
        <family val="2"/>
        <charset val="1"/>
      </rPr>
      <t>அனுஷம் – மித்ரன்</t>
    </r>
  </si>
  <si>
    <t>Jyeshtha</t>
  </si>
  <si>
    <t xml:space="preserve">Kettai </t>
  </si>
  <si>
    <t>Circle, Boars Tusk</t>
  </si>
  <si>
    <t>Shakra (Indra)   </t>
  </si>
  <si>
    <t>no yaa yii yuu</t>
  </si>
  <si>
    <t>नो या यी यू</t>
  </si>
  <si>
    <t>Antares Indra</t>
  </si>
  <si>
    <t>Warriors, Kings, Army generals and powerful bureaucrats, Wealth</t>
  </si>
  <si>
    <t>Right Trunk</t>
  </si>
  <si>
    <t>Excellent, Eldest</t>
  </si>
  <si>
    <t>surajyeṣṭha</t>
  </si>
  <si>
    <t>Aporusa lindleyana/ Calammus rotang/ Connatus wightii,(Bodh Tree/ Stunted Jack),Vetti/ Pachotti/ Kuttipala/ Prayan/ Sambar</t>
  </si>
  <si>
    <r>
      <rPr>
        <sz val="11"/>
        <color rgb="FF000000"/>
        <rFont val="Calibri"/>
        <family val="2"/>
        <charset val="1"/>
      </rPr>
      <t xml:space="preserve">18. </t>
    </r>
    <r>
      <rPr>
        <sz val="11"/>
        <color rgb="FF000000"/>
        <rFont val="Noto Sans Arabic UI"/>
        <family val="2"/>
        <charset val="1"/>
      </rPr>
      <t>கேட்டை – இந்திரன்</t>
    </r>
  </si>
  <si>
    <t>Vicrita, Moolabarhani, Moolam</t>
  </si>
  <si>
    <t>Sag</t>
  </si>
  <si>
    <t>Crouching Lion</t>
  </si>
  <si>
    <t>Male/HERMAPHRODITE</t>
  </si>
  <si>
    <t>Nirrti           </t>
  </si>
  <si>
    <t>ye yo bhaa bhii</t>
  </si>
  <si>
    <t>ये यो भा भी</t>
  </si>
  <si>
    <t>North West</t>
  </si>
  <si>
    <t>Lambda Scorpio</t>
  </si>
  <si>
    <t>Medicine, Doctor, Dacoit, Seller of herbs,fruits, flowers,seeds etc. Criminal mind.</t>
  </si>
  <si>
    <t>Left Trunk</t>
  </si>
  <si>
    <t>Root, Base, Origin</t>
  </si>
  <si>
    <t>Sacrifice</t>
  </si>
  <si>
    <t>Friends</t>
  </si>
  <si>
    <t>Lordly</t>
  </si>
  <si>
    <t>dānākhya</t>
  </si>
  <si>
    <t>Boswellia serrata/ Mangiferus indicus/ Shorea robusta/ Hardwickia binate,(White Dammar/ Hardwickia/ Mango Tree/ Sal Tree),Kunthirikkam/ Veluthakunthirikom/ Acha/ Anjan/ Mamaram/ Raal/ Sal/ Shala/ Ashvakarna/</t>
  </si>
  <si>
    <r>
      <rPr>
        <sz val="11"/>
        <color rgb="FF000000"/>
        <rFont val="Calibri"/>
        <family val="2"/>
        <charset val="1"/>
      </rPr>
      <t xml:space="preserve">19. </t>
    </r>
    <r>
      <rPr>
        <sz val="11"/>
        <color rgb="FF000000"/>
        <rFont val="Noto Sans Arabic UI"/>
        <family val="2"/>
        <charset val="1"/>
      </rPr>
      <t>மூலம் – அசுரர்</t>
    </r>
  </si>
  <si>
    <r>
      <rPr>
        <sz val="11"/>
        <color rgb="FF000000"/>
        <rFont val="Calibri"/>
        <family val="2"/>
        <charset val="1"/>
      </rPr>
      <t xml:space="preserve">19. </t>
    </r>
    <r>
      <rPr>
        <sz val="11"/>
        <color rgb="FF000000"/>
        <rFont val="Noto Sans Arabic UI"/>
        <family val="2"/>
        <charset val="1"/>
      </rPr>
      <t>மூலம் – நிருதி</t>
    </r>
  </si>
  <si>
    <t>Purva Ashadha</t>
  </si>
  <si>
    <t>Pooraadam</t>
  </si>
  <si>
    <t>Front of square</t>
  </si>
  <si>
    <t>Hand Fan</t>
  </si>
  <si>
    <t>Monkey</t>
  </si>
  <si>
    <t>Apah (Water)     </t>
  </si>
  <si>
    <t xml:space="preserve">bhuu ghaa phaa Dhaa </t>
  </si>
  <si>
    <t xml:space="preserve">भू घा फा ढा </t>
  </si>
  <si>
    <t>Delta Sagittari</t>
  </si>
  <si>
    <t>Builds dams,canals etc. or any activity related to water. Fisherman, sailor, honest profession.</t>
  </si>
  <si>
    <t>Sunday</t>
  </si>
  <si>
    <t>Back</t>
  </si>
  <si>
    <t xml:space="preserve"> not to be overcome , invincible</t>
  </si>
  <si>
    <t>Good Human</t>
  </si>
  <si>
    <t>Eloquent</t>
  </si>
  <si>
    <t>gouriśankara</t>
  </si>
  <si>
    <t>Salix tetraspeama/ Tinos pora cardifodia/ Calamus pseudo-tenuis,(Fish Poison Tree/ Tinospora),Aattupala/ Aatrupalai/ Samudrakai/ Vanchikodi/ Vet</t>
  </si>
  <si>
    <r>
      <rPr>
        <sz val="11"/>
        <color rgb="FF000000"/>
        <rFont val="Calibri"/>
        <family val="2"/>
        <charset val="1"/>
      </rPr>
      <t xml:space="preserve">20. </t>
    </r>
    <r>
      <rPr>
        <sz val="11"/>
        <color rgb="FF000000"/>
        <rFont val="Noto Sans Arabic UI"/>
        <family val="2"/>
        <charset val="1"/>
      </rPr>
      <t xml:space="preserve">பூராடம் – வருணன் </t>
    </r>
    <r>
      <rPr>
        <sz val="11"/>
        <color rgb="FF000000"/>
        <rFont val="Calibri"/>
        <family val="2"/>
        <charset val="1"/>
      </rPr>
      <t>(Jala)</t>
    </r>
  </si>
  <si>
    <r>
      <rPr>
        <sz val="11"/>
        <color rgb="FFC9211E"/>
        <rFont val="Calibri"/>
        <family val="2"/>
        <charset val="1"/>
      </rPr>
      <t xml:space="preserve">20. </t>
    </r>
    <r>
      <rPr>
        <sz val="11"/>
        <color rgb="FFC9211E"/>
        <rFont val="Noto Sans Arabic UI"/>
        <family val="2"/>
        <charset val="1"/>
      </rPr>
      <t>பூராடம் – விச்வதேவா</t>
    </r>
  </si>
  <si>
    <t>Uttara Ashadha</t>
  </si>
  <si>
    <t xml:space="preserve">Uttaraadam </t>
  </si>
  <si>
    <t>Sag/Cap</t>
  </si>
  <si>
    <t>Back of square</t>
  </si>
  <si>
    <t>Elephant Tusk</t>
  </si>
  <si>
    <t>Mongoose</t>
  </si>
  <si>
    <t>Visvadevas       </t>
  </si>
  <si>
    <t xml:space="preserve">bhe bhii jaa jii </t>
  </si>
  <si>
    <t xml:space="preserve">भे भी जा जी </t>
  </si>
  <si>
    <t>Sigma sagittari</t>
  </si>
  <si>
    <t>Wrestling, Boxing etc; catches &amp; rides elephants, horses (vehicles nowadays), astrologer, battle strategist, pleasure resorts, enjoyment etc</t>
  </si>
  <si>
    <t>Waist</t>
  </si>
  <si>
    <t>Inimical to all</t>
  </si>
  <si>
    <t>Honour</t>
  </si>
  <si>
    <t>Religious</t>
  </si>
  <si>
    <t>umākānta</t>
  </si>
  <si>
    <t>Artocarpus heterophyllus/ Autocarpus cummunis,(Jack Fruit Tree/ Bread Fruit),Plavu/ Pila/ Pala/ Sakkai Pala/ Phanas</t>
  </si>
  <si>
    <r>
      <rPr>
        <sz val="11"/>
        <color rgb="FF000000"/>
        <rFont val="Calibri"/>
        <family val="2"/>
        <charset val="1"/>
      </rPr>
      <t xml:space="preserve">21. </t>
    </r>
    <r>
      <rPr>
        <sz val="11"/>
        <color rgb="FF000000"/>
        <rFont val="Noto Sans Arabic UI"/>
        <family val="2"/>
        <charset val="1"/>
      </rPr>
      <t>உத்திராடம் – கணபதி</t>
    </r>
  </si>
  <si>
    <r>
      <rPr>
        <sz val="11"/>
        <color rgb="FF000000"/>
        <rFont val="Calibri"/>
        <family val="2"/>
        <charset val="1"/>
      </rPr>
      <t xml:space="preserve">21. </t>
    </r>
    <r>
      <rPr>
        <sz val="11"/>
        <color rgb="FF000000"/>
        <rFont val="Noto Sans Arabic UI"/>
        <family val="2"/>
        <charset val="1"/>
      </rPr>
      <t>உத்திராடம் – பிரம்மன்</t>
    </r>
  </si>
  <si>
    <t>Cap</t>
  </si>
  <si>
    <t>ju je jo kha</t>
  </si>
  <si>
    <t>जु जे जो  ख</t>
  </si>
  <si>
    <t xml:space="preserve">victorious , conquest </t>
  </si>
  <si>
    <t>Shronaa, Thiruvonam</t>
  </si>
  <si>
    <t>Manas</t>
  </si>
  <si>
    <t>Visnu            </t>
  </si>
  <si>
    <t>khii khu khe kho</t>
  </si>
  <si>
    <t>खी खु खे खो</t>
  </si>
  <si>
    <t>Alpha Aquiloe</t>
  </si>
  <si>
    <t>Hard work, high spirited work, Religion and spiritualism, true. In the negative, expert cheat , pickpocket.</t>
  </si>
  <si>
    <t>Sex organs</t>
  </si>
  <si>
    <t>the act of hearing,that which is heard</t>
  </si>
  <si>
    <t>High honour</t>
  </si>
  <si>
    <t>Virtuous</t>
  </si>
  <si>
    <t>kapāla</t>
  </si>
  <si>
    <t>Calotropis procera/ Calotropis gigantea,(Gigantic Swallow/ Swallow Wort),Erukku/ Vellerukku/ Rui</t>
  </si>
  <si>
    <r>
      <rPr>
        <sz val="11"/>
        <color rgb="FF000000"/>
        <rFont val="Calibri"/>
        <family val="2"/>
        <charset val="1"/>
      </rPr>
      <t xml:space="preserve">22. </t>
    </r>
    <r>
      <rPr>
        <sz val="11"/>
        <color rgb="FF000000"/>
        <rFont val="Noto Sans Arabic UI"/>
        <family val="2"/>
        <charset val="1"/>
      </rPr>
      <t>திருவோணம் –விஷ்ணு</t>
    </r>
  </si>
  <si>
    <r>
      <rPr>
        <sz val="11"/>
        <color rgb="FF000000"/>
        <rFont val="Calibri"/>
        <family val="2"/>
        <charset val="1"/>
      </rPr>
      <t xml:space="preserve">22. </t>
    </r>
    <r>
      <rPr>
        <sz val="11"/>
        <color rgb="FF000000"/>
        <rFont val="Noto Sans Arabic UI"/>
        <family val="2"/>
        <charset val="1"/>
      </rPr>
      <t>திருவோணம் – விஷ்ணு</t>
    </r>
  </si>
  <si>
    <t>Dhanistha</t>
  </si>
  <si>
    <t>Avittam,Shravishta</t>
  </si>
  <si>
    <t>Cap/Aqu</t>
  </si>
  <si>
    <t>Drum/Flute</t>
  </si>
  <si>
    <t>Drum</t>
  </si>
  <si>
    <t>Lion</t>
  </si>
  <si>
    <t>Vasana (Indra)   </t>
  </si>
  <si>
    <t>gaa go guu ge</t>
  </si>
  <si>
    <t>गा गो गू गे</t>
  </si>
  <si>
    <t>Beta Delphinum</t>
  </si>
  <si>
    <t>Eunuch, Impersonal work, detatched , Charity, Women, Senses etc.</t>
  </si>
  <si>
    <t>Eagle/ भारण्ड</t>
  </si>
  <si>
    <t>Monday</t>
  </si>
  <si>
    <t>Anus</t>
  </si>
  <si>
    <t>very rich (Dhan + Ishta)</t>
  </si>
  <si>
    <t>Reputed Scholar</t>
  </si>
  <si>
    <t>Great spouce</t>
  </si>
  <si>
    <t>sadyojāta</t>
  </si>
  <si>
    <t>Moringa oleifera/ Prosopis cinenaria/ Prosepsis speciosa/ Prosopis julifl ora,(Indian Gum Tree/ Indian Mesquit/ Kejari),Muringa/ Paarampu/ Muringai/ Vanni/ Vilaytikikar/ Shashi</t>
  </si>
  <si>
    <r>
      <rPr>
        <sz val="11"/>
        <color rgb="FF000000"/>
        <rFont val="Calibri"/>
        <family val="2"/>
        <charset val="1"/>
      </rPr>
      <t xml:space="preserve">23. </t>
    </r>
    <r>
      <rPr>
        <sz val="11"/>
        <color rgb="FF000000"/>
        <rFont val="Noto Sans Arabic UI"/>
        <family val="2"/>
        <charset val="1"/>
      </rPr>
      <t>அவிட்டம் – வசுக்கள்</t>
    </r>
  </si>
  <si>
    <r>
      <rPr>
        <sz val="11"/>
        <color rgb="FF000000"/>
        <rFont val="Calibri"/>
        <family val="2"/>
        <charset val="1"/>
      </rPr>
      <t xml:space="preserve">23. </t>
    </r>
    <r>
      <rPr>
        <sz val="11"/>
        <color rgb="FF000000"/>
        <rFont val="Noto Sans Arabic UI"/>
        <family val="2"/>
        <charset val="1"/>
      </rPr>
      <t>அவிட்டம் – வசு</t>
    </r>
  </si>
  <si>
    <t>Satabishak</t>
  </si>
  <si>
    <t>Sadhayam</t>
  </si>
  <si>
    <t>Aqu</t>
  </si>
  <si>
    <t>Flower</t>
  </si>
  <si>
    <t>Circle</t>
  </si>
  <si>
    <t>Varuna           </t>
  </si>
  <si>
    <t>go saa sii suu</t>
  </si>
  <si>
    <t>गो सा सी सू</t>
  </si>
  <si>
    <t>Lambda Aquarius</t>
  </si>
  <si>
    <t>Ropes,nets, fishing, animals, oysters, dyer, hunter, brewery, killing birds etc.Adi Deva is Sri Yama</t>
  </si>
  <si>
    <t>Right Thigh</t>
  </si>
  <si>
    <t>requiring a hundred physicians</t>
  </si>
  <si>
    <t>vāmadeva</t>
  </si>
  <si>
    <t>Anthocephalus cadambu/ Mitragyna parvifl ora/ Neolamarckia cadamba,(Kadam Tree/ Indian Oak),Kadambu/ Kadambam/ Katampu/ Valanch</t>
  </si>
  <si>
    <r>
      <rPr>
        <sz val="11"/>
        <color rgb="FFC9211E"/>
        <rFont val="Calibri"/>
        <family val="2"/>
        <charset val="1"/>
      </rPr>
      <t xml:space="preserve">24. </t>
    </r>
    <r>
      <rPr>
        <sz val="11"/>
        <color rgb="FFC9211E"/>
        <rFont val="Noto Sans Arabic UI"/>
        <family val="2"/>
        <charset val="1"/>
      </rPr>
      <t>சதயம் – யமன்</t>
    </r>
  </si>
  <si>
    <r>
      <rPr>
        <sz val="11"/>
        <color rgb="FF000000"/>
        <rFont val="Calibri"/>
        <family val="2"/>
        <charset val="1"/>
      </rPr>
      <t xml:space="preserve">24. </t>
    </r>
    <r>
      <rPr>
        <sz val="11"/>
        <color rgb="FF000000"/>
        <rFont val="Noto Sans Arabic UI"/>
        <family val="2"/>
        <charset val="1"/>
      </rPr>
      <t>சதயம் – வருணன்</t>
    </r>
  </si>
  <si>
    <t>Purva Bhadrapad</t>
  </si>
  <si>
    <t>Poorataadhi,Poorva Proshtapada</t>
  </si>
  <si>
    <t>Aqu/Pis</t>
  </si>
  <si>
    <t>Front legs of cot</t>
  </si>
  <si>
    <t>Front Legs of Death Bed</t>
  </si>
  <si>
    <t>Ajapad</t>
  </si>
  <si>
    <t>se so da dii</t>
  </si>
  <si>
    <t>से सो द दी</t>
  </si>
  <si>
    <t>Alpha Pegasi</t>
  </si>
  <si>
    <t>Shepherd, menial work, cruel actions, disinterested, boxing, wrestling etc. stealing</t>
  </si>
  <si>
    <t>Left Thigh</t>
  </si>
  <si>
    <t>Best Feet, Auspicious Feet, Proshta means bench, stool, Standing below</t>
  </si>
  <si>
    <t>Valorous</t>
  </si>
  <si>
    <t>Brilliance</t>
  </si>
  <si>
    <t>ajaikapāda</t>
  </si>
  <si>
    <t>Gluta travancorica,(Shenduruni in Tamil),Thenmavu</t>
  </si>
  <si>
    <r>
      <rPr>
        <sz val="11"/>
        <color rgb="FFC9211E"/>
        <rFont val="Calibri"/>
        <family val="2"/>
        <charset val="1"/>
      </rPr>
      <t xml:space="preserve">25. </t>
    </r>
    <r>
      <rPr>
        <sz val="11"/>
        <color rgb="FFC9211E"/>
        <rFont val="Noto Sans Arabic UI"/>
        <family val="2"/>
        <charset val="1"/>
      </rPr>
      <t>பூராட்டாதி – குபேரன்</t>
    </r>
  </si>
  <si>
    <r>
      <rPr>
        <sz val="11"/>
        <color rgb="FF000000"/>
        <rFont val="Calibri"/>
        <family val="2"/>
        <charset val="1"/>
      </rPr>
      <t xml:space="preserve">25. </t>
    </r>
    <r>
      <rPr>
        <sz val="11"/>
        <color rgb="FF000000"/>
        <rFont val="Noto Sans Arabic UI"/>
        <family val="2"/>
        <charset val="1"/>
      </rPr>
      <t>பூராட்டாதி – அஜயகாபதா</t>
    </r>
  </si>
  <si>
    <t>Uttara Bhadrapad</t>
  </si>
  <si>
    <t>Uttarataadhi,Uttara Proshtapada</t>
  </si>
  <si>
    <t>Pis</t>
  </si>
  <si>
    <t>Back legs of cot, (Cow)</t>
  </si>
  <si>
    <t>Back Legs of Death Bed</t>
  </si>
  <si>
    <t>Ahirbudhnya      </t>
  </si>
  <si>
    <t>duu tha jha ~na</t>
  </si>
  <si>
    <t>दू थ झ ञ</t>
  </si>
  <si>
    <t>Gama Pegasi</t>
  </si>
  <si>
    <t>Brahmin, performing austerities and religious ceremonies, wealthy, ascetics or kings, study of Vedas &amp; traditional literature.</t>
  </si>
  <si>
    <t>Sheens</t>
  </si>
  <si>
    <t>khaṭvāṅgadhara</t>
  </si>
  <si>
    <t>Azadirachta indica,(Margosa Tree/ Neem),Aryaveppu/ Veppu/ Vembu/ Kadu nimbi</t>
  </si>
  <si>
    <r>
      <rPr>
        <sz val="11"/>
        <color rgb="FFC9211E"/>
        <rFont val="Calibri"/>
        <family val="2"/>
        <charset val="1"/>
      </rPr>
      <t xml:space="preserve">26. </t>
    </r>
    <r>
      <rPr>
        <sz val="11"/>
        <color rgb="FFC9211E"/>
        <rFont val="Noto Sans Arabic UI"/>
        <family val="2"/>
        <charset val="1"/>
      </rPr>
      <t>உத்திரட்டாதி – காமதேனு</t>
    </r>
  </si>
  <si>
    <r>
      <rPr>
        <sz val="11"/>
        <color rgb="FF000000"/>
        <rFont val="Calibri"/>
        <family val="2"/>
        <charset val="1"/>
      </rPr>
      <t xml:space="preserve">26. </t>
    </r>
    <r>
      <rPr>
        <sz val="11"/>
        <color rgb="FF000000"/>
        <rFont val="Noto Sans Arabic UI"/>
        <family val="2"/>
        <charset val="1"/>
      </rPr>
      <t>உத்திரட்டாதி – அஹிர்புதன்யா</t>
    </r>
  </si>
  <si>
    <t>Fish</t>
  </si>
  <si>
    <t>Pusan            </t>
  </si>
  <si>
    <t>de do caa cii</t>
  </si>
  <si>
    <t>दे दो चा ची</t>
  </si>
  <si>
    <t>Zeta Piscum</t>
  </si>
  <si>
    <t>Lotus and other plants in water, fruits, flowers, wealth from sea, jewels and stones, sailor, businessman.</t>
  </si>
  <si>
    <t>Ankles</t>
  </si>
  <si>
    <t>Wealthy, Brilliant, As in Cows and Waters</t>
  </si>
  <si>
    <t>Spiritual Wisdom</t>
  </si>
  <si>
    <t>Victorious</t>
  </si>
  <si>
    <t>Greiving</t>
  </si>
  <si>
    <t>rudra</t>
  </si>
  <si>
    <t>Mahua,Madhuca longifolia/ Maduca indica,(Indian Butter Tree/ Maduca),Eluppa/ Iluppai/ Moha</t>
  </si>
  <si>
    <r>
      <rPr>
        <sz val="11"/>
        <color rgb="FF000000"/>
        <rFont val="Calibri"/>
        <family val="2"/>
        <charset val="1"/>
      </rPr>
      <t xml:space="preserve">27. </t>
    </r>
    <r>
      <rPr>
        <sz val="11"/>
        <color rgb="FF000000"/>
        <rFont val="Noto Sans Arabic UI"/>
        <family val="2"/>
        <charset val="1"/>
      </rPr>
      <t>ரேவதி – சனி</t>
    </r>
  </si>
  <si>
    <r>
      <rPr>
        <sz val="11"/>
        <color rgb="FF000000"/>
        <rFont val="Calibri"/>
        <family val="2"/>
        <charset val="1"/>
      </rPr>
      <t xml:space="preserve">27. </t>
    </r>
    <r>
      <rPr>
        <sz val="11"/>
        <color rgb="FF000000"/>
        <rFont val="Noto Sans Arabic UI"/>
        <family val="2"/>
        <charset val="1"/>
      </rPr>
      <t>ரேவதி – பூஷா</t>
    </r>
  </si>
  <si>
    <t>* Different opinions</t>
  </si>
  <si>
    <t>Tithi/तिथि</t>
  </si>
  <si>
    <t>Dagdha/Burnt</t>
  </si>
  <si>
    <t>Dagdha Graha</t>
  </si>
  <si>
    <t xml:space="preserve"> Tatwa(CPVA-73)</t>
  </si>
  <si>
    <t>Group (BrNx49)</t>
  </si>
  <si>
    <t>Deity(Muhurtha Chintamani)</t>
  </si>
  <si>
    <t>Varahamihira</t>
  </si>
  <si>
    <t>Lady</t>
  </si>
  <si>
    <t>Srath</t>
  </si>
  <si>
    <t>Festivals</t>
  </si>
  <si>
    <t>Krishna Karana1</t>
  </si>
  <si>
    <t>Krishna Karana2</t>
  </si>
  <si>
    <t>Shukla Karana1</t>
  </si>
  <si>
    <t>Shukla Karana2</t>
  </si>
  <si>
    <t>Suitable Activities (BVR)</t>
  </si>
  <si>
    <t>pūrṇā</t>
  </si>
  <si>
    <t>Akaasha/Jupiter</t>
  </si>
  <si>
    <t>Vayu (Saturn/Rahu)</t>
  </si>
  <si>
    <t>Shashi</t>
  </si>
  <si>
    <t>Vishvadeva</t>
  </si>
  <si>
    <t>Hastini</t>
  </si>
  <si>
    <t>Chatushpada</t>
  </si>
  <si>
    <t>Naaga</t>
  </si>
  <si>
    <t>Pumsavana, Treatment of Veneral Disease</t>
  </si>
  <si>
    <t>Prathami</t>
  </si>
  <si>
    <t>Libra,Capricorn</t>
  </si>
  <si>
    <t>Venus,Saturn</t>
  </si>
  <si>
    <t xml:space="preserve">nandā/नन्दा </t>
  </si>
  <si>
    <t>Jala/Venus</t>
  </si>
  <si>
    <t>Agni (Sun/Mars)</t>
  </si>
  <si>
    <t>Kamalaja (Rohini)</t>
  </si>
  <si>
    <t>Padmini</t>
  </si>
  <si>
    <t>Pratipada is like birth</t>
  </si>
  <si>
    <t>Kimstugna</t>
  </si>
  <si>
    <t>Bava</t>
  </si>
  <si>
    <t>Baalava</t>
  </si>
  <si>
    <t>Kaulava</t>
  </si>
  <si>
    <t>Prepare Medicines, Upanyanam (K1)</t>
  </si>
  <si>
    <t>Dwitiya</t>
  </si>
  <si>
    <t>Sagittarius, Pisces</t>
  </si>
  <si>
    <t>bhadrā/भद्रा</t>
  </si>
  <si>
    <t>Pritvi/Mercury</t>
  </si>
  <si>
    <t>Pritvi (Mercury/Lagna)</t>
  </si>
  <si>
    <t>Brahma</t>
  </si>
  <si>
    <t>Vidhatri (rohini)</t>
  </si>
  <si>
    <t>Dwiteeya is like sustenance in this world</t>
  </si>
  <si>
    <t>Taitula</t>
  </si>
  <si>
    <t>Garija</t>
  </si>
  <si>
    <t>Chowlam,Upanayanam, Marriage,Foundation,Journeys, Electing Heads of state,Installing Diety,Lotteries and Competetions,</t>
  </si>
  <si>
    <t>Tritiya</t>
  </si>
  <si>
    <t>Leo, Capricorn</t>
  </si>
  <si>
    <t>Sun, Saturn</t>
  </si>
  <si>
    <t xml:space="preserve">jayāजया </t>
  </si>
  <si>
    <t>Agni/Mars</t>
  </si>
  <si>
    <t>Akasha (Jupiter/Ketu)</t>
  </si>
  <si>
    <t>Gauri</t>
  </si>
  <si>
    <t>Hari (Vishnu)</t>
  </si>
  <si>
    <t>Shankini</t>
  </si>
  <si>
    <t>Truteeya is like the end.</t>
  </si>
  <si>
    <t>Vanija</t>
  </si>
  <si>
    <t>Vishti</t>
  </si>
  <si>
    <t>Chaturti</t>
  </si>
  <si>
    <t>Taurus, Aquarius</t>
  </si>
  <si>
    <t xml:space="preserve">riktā/रिक्ता </t>
  </si>
  <si>
    <t>Vayu/Saturn</t>
  </si>
  <si>
    <t>Jala (Venus/Moon)</t>
  </si>
  <si>
    <t>Ganesha</t>
  </si>
  <si>
    <t>Yama</t>
  </si>
  <si>
    <t xml:space="preserve">Pooja's begin from the fourth with Ganapati, </t>
  </si>
  <si>
    <t>Panchami</t>
  </si>
  <si>
    <t>Gemini, Virgo</t>
  </si>
  <si>
    <t xml:space="preserve">pūrṇā/पूर्णा </t>
  </si>
  <si>
    <t>Shashaanka (The Moon)</t>
  </si>
  <si>
    <t xml:space="preserve"> then we worship Bharati (Saraswati) or Sri</t>
  </si>
  <si>
    <t>Shashti</t>
  </si>
  <si>
    <t>Aries, Leo</t>
  </si>
  <si>
    <t>nandā</t>
  </si>
  <si>
    <t>Guha</t>
  </si>
  <si>
    <t>Subramanya (Karthikeya)</t>
  </si>
  <si>
    <t>Chitrini</t>
  </si>
  <si>
    <t xml:space="preserve"> we progress to Kartikeya and other warrior Gods and Goddesses on Shasti including Naga</t>
  </si>
  <si>
    <t>Cancer, Sagittarius</t>
  </si>
  <si>
    <t>Moon, Jupiter</t>
  </si>
  <si>
    <t>bhadrā</t>
  </si>
  <si>
    <t>Ravi</t>
  </si>
  <si>
    <t>Indra</t>
  </si>
  <si>
    <t>Then the desire for well being dawns and the Sun is worshipped on Saptami</t>
  </si>
  <si>
    <t>Ashtami</t>
  </si>
  <si>
    <t>jayā</t>
  </si>
  <si>
    <t>Rudra/Shiva</t>
  </si>
  <si>
    <t>Vasu (Ashta Vasavas)</t>
  </si>
  <si>
    <t>Astami is for Bali Karma</t>
  </si>
  <si>
    <t>Leo, Scorpio</t>
  </si>
  <si>
    <t>Sun,Mars</t>
  </si>
  <si>
    <t>riktā</t>
  </si>
  <si>
    <t>Durga</t>
  </si>
  <si>
    <t>Bhujaga (Serpent)</t>
  </si>
  <si>
    <t xml:space="preserve"> and Navami for the Dharma Devata led by SRI RAM</t>
  </si>
  <si>
    <t>Dasami</t>
  </si>
  <si>
    <t>Antaka</t>
  </si>
  <si>
    <t xml:space="preserve"> Dasami is for the Devi and other such strengths that give us success</t>
  </si>
  <si>
    <t>Visvedeva</t>
  </si>
  <si>
    <t>Isha (Siva)</t>
  </si>
  <si>
    <t>Ekadasi is to pray for world peace after the war of dasami is over</t>
  </si>
  <si>
    <t>Hari</t>
  </si>
  <si>
    <t>Savitri (form of Sun)</t>
  </si>
  <si>
    <t xml:space="preserve"> Dwadasi is for progress that follows peace and </t>
  </si>
  <si>
    <t>Trayodashi</t>
  </si>
  <si>
    <t>Taurus, Leo</t>
  </si>
  <si>
    <t>Venus,Sun</t>
  </si>
  <si>
    <t>Manmatha</t>
  </si>
  <si>
    <t>Manmatha (Cupid)</t>
  </si>
  <si>
    <t>Trayodasi is for wealth that follows peace and progress</t>
  </si>
  <si>
    <t>Chaturdashi</t>
  </si>
  <si>
    <t>Pisces, Gemini, Virgo, Sagittarius</t>
  </si>
  <si>
    <t>Shiva</t>
  </si>
  <si>
    <t>Chaturdasi is to save us from the sins that we make after wealth has come</t>
  </si>
  <si>
    <t xml:space="preserve">Anatha Chaturdsahi (S14Bhadra, Last day in Ganesh Chaturthi), Narka Chaturdashi(K14karthik, Kali, A day before diwali) </t>
  </si>
  <si>
    <t>Shakuni</t>
  </si>
  <si>
    <t>Poornima is to pray for Mukti after realising that all this was but a Drama for our understanding. So say HARI OM TAT SAT</t>
  </si>
  <si>
    <t>Yoga Names</t>
  </si>
  <si>
    <t>Yoga Nakshatra</t>
  </si>
  <si>
    <t>Yogi Lord</t>
  </si>
  <si>
    <t>Diety(Jyotish Jagat)</t>
  </si>
  <si>
    <t>Rashi Lord</t>
  </si>
  <si>
    <t>AvaYogi 15th</t>
  </si>
  <si>
    <t>AvaYogi Lord (Yogi+186.66)</t>
  </si>
  <si>
    <t>Notes</t>
  </si>
  <si>
    <t>Vishkambha</t>
  </si>
  <si>
    <t>WellSustained, Obstruct, Diameter,Diagonal,Strong Beam,the bolt or bar of a door,the supporting beam or pillar of a house</t>
  </si>
  <si>
    <t>There are 5 yogas (a) Vishkumbha (b) Atigandha (c) Dhriti (d) Vaidhriti (e) Vyaghata where Duplicate Yogi &amp; Avayogi planet are the same planets which are Moon, Mercury, Venus, Mars &amp; Jupiter respectively. They shall behave as Neutral</t>
  </si>
  <si>
    <t>Prīti</t>
  </si>
  <si>
    <t>Joy/Love</t>
  </si>
  <si>
    <t>Vishnu</t>
  </si>
  <si>
    <t>Āyushmān</t>
  </si>
  <si>
    <t>Life possessing</t>
  </si>
  <si>
    <t>Chandra/Soma</t>
  </si>
  <si>
    <t>Saubhāgya</t>
  </si>
  <si>
    <t>Good fortune</t>
  </si>
  <si>
    <t>Shobhana</t>
  </si>
  <si>
    <t>Splendid/Beautiful</t>
  </si>
  <si>
    <t>Brihaspati</t>
  </si>
  <si>
    <t>Sun/Merc</t>
  </si>
  <si>
    <t>Atigaṇḍa</t>
  </si>
  <si>
    <t>Excessive Joint</t>
  </si>
  <si>
    <t>Chandrama</t>
  </si>
  <si>
    <t>Sukarman</t>
  </si>
  <si>
    <t>Good Work</t>
  </si>
  <si>
    <t xml:space="preserve">Indra/*Sukarma*/, </t>
  </si>
  <si>
    <t>Merc/Venus</t>
  </si>
  <si>
    <t>Dhriti</t>
  </si>
  <si>
    <t>Holding/Resolution</t>
  </si>
  <si>
    <t xml:space="preserve">Sarpa/*Shoola*/ </t>
  </si>
  <si>
    <t>Shūla</t>
  </si>
  <si>
    <t>Spike</t>
  </si>
  <si>
    <t>Venus/Mars</t>
  </si>
  <si>
    <t>Gaṇḍa</t>
  </si>
  <si>
    <t>Joint/Neck/Cheeks</t>
  </si>
  <si>
    <t>Vriddhi</t>
  </si>
  <si>
    <t>Increase</t>
  </si>
  <si>
    <t>Surya</t>
  </si>
  <si>
    <t>Dhruva</t>
  </si>
  <si>
    <t>Immovable</t>
  </si>
  <si>
    <t>Bhumi</t>
  </si>
  <si>
    <t>Vyāghāta</t>
  </si>
  <si>
    <t>constant  vindictivenessBeating,</t>
  </si>
  <si>
    <t>Harshana</t>
  </si>
  <si>
    <t>Thrilling with joy</t>
  </si>
  <si>
    <t>Bhaga</t>
  </si>
  <si>
    <t>Jupiter/Saturn</t>
  </si>
  <si>
    <t>Vajra</t>
  </si>
  <si>
    <t>Thunderbolt</t>
  </si>
  <si>
    <t>Varuna</t>
  </si>
  <si>
    <t>Siddhi</t>
  </si>
  <si>
    <t>Accomplishment</t>
  </si>
  <si>
    <t>Vyatīpāta</t>
  </si>
  <si>
    <t>Calamity, Reverses in Life</t>
  </si>
  <si>
    <t xml:space="preserve">Rudra </t>
  </si>
  <si>
    <t>Ref SS 11.2</t>
  </si>
  <si>
    <t>Varigha/Variiyas</t>
  </si>
  <si>
    <t>Best</t>
  </si>
  <si>
    <t>Kubera</t>
  </si>
  <si>
    <t>Parigha</t>
  </si>
  <si>
    <t>Obstacles in Life, Iron Locking Bar</t>
  </si>
  <si>
    <t>Vishwakarma</t>
  </si>
  <si>
    <t>Saturn/Jupiter</t>
  </si>
  <si>
    <t>Benevolent</t>
  </si>
  <si>
    <t>Accomplished</t>
  </si>
  <si>
    <t>Karthikeya</t>
  </si>
  <si>
    <t>Sādhya</t>
  </si>
  <si>
    <t>To be Mastered</t>
  </si>
  <si>
    <t>Saavitri</t>
  </si>
  <si>
    <t>Shubha</t>
  </si>
  <si>
    <t>Auspicious</t>
  </si>
  <si>
    <t>Lakshmi</t>
  </si>
  <si>
    <t>Mars/Venus</t>
  </si>
  <si>
    <t>Shukla</t>
  </si>
  <si>
    <t>Impulsive, Bright, Spontaneous</t>
  </si>
  <si>
    <t>Parvati</t>
  </si>
  <si>
    <t>Brāhma</t>
  </si>
  <si>
    <t>Evolution, Intellectual,</t>
  </si>
  <si>
    <t>AshwiniKumara</t>
  </si>
  <si>
    <t>Venus/Merc</t>
  </si>
  <si>
    <t>Māhendra</t>
  </si>
  <si>
    <t xml:space="preserve">Leadership, Belonging to Indra, </t>
  </si>
  <si>
    <t>Pitra</t>
  </si>
  <si>
    <t>Vaidhriti</t>
  </si>
  <si>
    <t>Supportless</t>
  </si>
  <si>
    <t>Diti</t>
  </si>
  <si>
    <t>Mercury/Moon</t>
  </si>
  <si>
    <t>Ref SS 11.1</t>
  </si>
  <si>
    <t>VaaraTable</t>
  </si>
  <si>
    <t>Diety</t>
  </si>
  <si>
    <t>DurMuhurtham Start Time (Lasts 1Mu)</t>
  </si>
  <si>
    <t>DurMuhurtham Start Time (Lasts 1Mu)2</t>
  </si>
  <si>
    <t>Kaarthikeya</t>
  </si>
  <si>
    <t>Kaala</t>
  </si>
  <si>
    <t>KaranaTable</t>
  </si>
  <si>
    <t>करण</t>
  </si>
  <si>
    <t>karaṇa</t>
  </si>
  <si>
    <t>Tithi</t>
  </si>
  <si>
    <t>Other Spellings</t>
  </si>
  <si>
    <t>Devaata/MuhurtaKalpadruma/Vashishta  Samhit</t>
  </si>
  <si>
    <t>बव</t>
  </si>
  <si>
    <t>bava</t>
  </si>
  <si>
    <t>S1,S5,S8,S12,PU,K4,K7,K11</t>
  </si>
  <si>
    <t>वव (vava)</t>
  </si>
  <si>
    <t>बालव</t>
  </si>
  <si>
    <t>bālava</t>
  </si>
  <si>
    <t>S2,S5,S9,S12,K1,K4,K8,K11</t>
  </si>
  <si>
    <t>Brahma/Vidhata</t>
  </si>
  <si>
    <t>कौलव</t>
  </si>
  <si>
    <t>kaulava</t>
  </si>
  <si>
    <t>S2,S6,S9,S13,K1,K5,K8,K12</t>
  </si>
  <si>
    <t>Surya/Mitra</t>
  </si>
  <si>
    <t>तैतिल</t>
  </si>
  <si>
    <t>taitila</t>
  </si>
  <si>
    <t>S3,S6,S10,S13,K2,K5,K9,K12</t>
  </si>
  <si>
    <t>Aryama</t>
  </si>
  <si>
    <t>गरज</t>
  </si>
  <si>
    <t>garaja</t>
  </si>
  <si>
    <t>S3,S7,S10,S14,K2,K6,K9,K13</t>
  </si>
  <si>
    <t>Garija, gaja</t>
  </si>
  <si>
    <t>Bhu</t>
  </si>
  <si>
    <t>वणिज</t>
  </si>
  <si>
    <t>vaṇija</t>
  </si>
  <si>
    <t>S4,S7,S11,S14,K3,K6,K10,K13</t>
  </si>
  <si>
    <t>विष्टि</t>
  </si>
  <si>
    <t>viṣṭi</t>
  </si>
  <si>
    <t>S4,S8,S11,PU,K3,K7,K10,K14</t>
  </si>
  <si>
    <t>शकुन</t>
  </si>
  <si>
    <t>śakuna</t>
  </si>
  <si>
    <t>Lagna Lord - Rahu</t>
  </si>
  <si>
    <t>K14</t>
  </si>
  <si>
    <t>shakuni</t>
  </si>
  <si>
    <t>चतुष्पद</t>
  </si>
  <si>
    <t>catuṣpada</t>
  </si>
  <si>
    <t>4th Lord - Rahu</t>
  </si>
  <si>
    <t>Amavaysa</t>
  </si>
  <si>
    <t>Rudra</t>
  </si>
  <si>
    <t>नागव</t>
  </si>
  <si>
    <t>nāgava</t>
  </si>
  <si>
    <t>7th Lord - Ketu</t>
  </si>
  <si>
    <t>naaga</t>
  </si>
  <si>
    <t>Sarpa</t>
  </si>
  <si>
    <t>किंस्तुघ्न</t>
  </si>
  <si>
    <t>kiṁstughna</t>
  </si>
  <si>
    <t>10th Lord - Ketu</t>
  </si>
  <si>
    <t>S1</t>
  </si>
  <si>
    <t>Pavana</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</si>
  <si>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</si>
  <si>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</si>
  <si>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</si>
  <si>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</si>
  <si>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</si>
  <si>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</si>
  <si>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</si>
  <si>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</si>
  <si>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</si>
  <si>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</si>
  <si>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</si>
  <si>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</si>
  <si>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</si>
  <si>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</si>
  <si>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</si>
  <si>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</si>
  <si>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</si>
  <si>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</si>
  <si>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</si>
  <si>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</si>
  <si>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</si>
  <si>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</si>
  <si>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</si>
  <si>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</si>
  <si>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</si>
  <si>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</si>
  <si>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</si>
  <si>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</si>
  <si>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</si>
  <si>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</si>
  <si>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</si>
  <si>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</si>
  <si>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</si>
  <si>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</si>
  <si>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</si>
  <si>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</si>
  <si>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</si>
  <si>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</si>
  <si>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varanamala</t>
  </si>
  <si>
    <t>अ</t>
  </si>
  <si>
    <t>आ</t>
  </si>
  <si>
    <t>इ</t>
  </si>
  <si>
    <t>ई</t>
  </si>
  <si>
    <t>उ</t>
  </si>
  <si>
    <t>ऊ</t>
  </si>
  <si>
    <t>ऋ</t>
  </si>
  <si>
    <t>ऌ</t>
  </si>
  <si>
    <t>ए</t>
  </si>
  <si>
    <t>ऐ</t>
  </si>
  <si>
    <t>ओ</t>
  </si>
  <si>
    <t>औ</t>
  </si>
  <si>
    <t>अः</t>
  </si>
  <si>
    <t>क</t>
  </si>
  <si>
    <t>ख</t>
  </si>
  <si>
    <t>ग</t>
  </si>
  <si>
    <t>घ</t>
  </si>
  <si>
    <t>ङ</t>
  </si>
  <si>
    <t>च</t>
  </si>
  <si>
    <t>ज</t>
  </si>
  <si>
    <t>झ</t>
  </si>
  <si>
    <t>ञ</t>
  </si>
  <si>
    <t>ट</t>
  </si>
  <si>
    <t>ठ</t>
  </si>
  <si>
    <t>ड</t>
  </si>
  <si>
    <t>ढ</t>
  </si>
  <si>
    <t>ण</t>
  </si>
  <si>
    <t>त</t>
  </si>
  <si>
    <t>थ</t>
  </si>
  <si>
    <t>द</t>
  </si>
  <si>
    <t>ध</t>
  </si>
  <si>
    <t>न</t>
  </si>
  <si>
    <t>प</t>
  </si>
  <si>
    <t>फ</t>
  </si>
  <si>
    <t>ब</t>
  </si>
  <si>
    <t>भ</t>
  </si>
  <si>
    <t>म</t>
  </si>
  <si>
    <t>य</t>
  </si>
  <si>
    <t>र</t>
  </si>
  <si>
    <t>ल</t>
  </si>
  <si>
    <t>व</t>
  </si>
  <si>
    <t>श</t>
  </si>
  <si>
    <t>ष</t>
  </si>
  <si>
    <t>स</t>
  </si>
  <si>
    <t>ह</t>
  </si>
  <si>
    <t>क्ष</t>
  </si>
  <si>
    <t>Roman</t>
  </si>
  <si>
    <t>a</t>
  </si>
  <si>
    <t>ā</t>
  </si>
  <si>
    <t>i</t>
  </si>
  <si>
    <t>ī</t>
  </si>
  <si>
    <t>u</t>
  </si>
  <si>
    <t>ū</t>
  </si>
  <si>
    <t>ṛ</t>
  </si>
  <si>
    <t>ṛi</t>
  </si>
  <si>
    <t>ḷ</t>
  </si>
  <si>
    <t>ḷi</t>
  </si>
  <si>
    <t>e</t>
  </si>
  <si>
    <t>ai</t>
  </si>
  <si>
    <t>o</t>
  </si>
  <si>
    <t>au</t>
  </si>
  <si>
    <t>aṁ</t>
  </si>
  <si>
    <t>aḥ</t>
  </si>
  <si>
    <t>ka</t>
  </si>
  <si>
    <t>kha</t>
  </si>
  <si>
    <t>ga</t>
  </si>
  <si>
    <t>gha</t>
  </si>
  <si>
    <t>ṅa</t>
  </si>
  <si>
    <t>ca</t>
  </si>
  <si>
    <t>ja</t>
  </si>
  <si>
    <t>jha</t>
  </si>
  <si>
    <t>ña</t>
  </si>
  <si>
    <t>ṭa</t>
  </si>
  <si>
    <t>ṭha</t>
  </si>
  <si>
    <t>ḍa</t>
  </si>
  <si>
    <t>ḍha</t>
  </si>
  <si>
    <t>ṇa</t>
  </si>
  <si>
    <t>ta</t>
  </si>
  <si>
    <t>tha</t>
  </si>
  <si>
    <t>da</t>
  </si>
  <si>
    <t>dha</t>
  </si>
  <si>
    <t>na</t>
  </si>
  <si>
    <t>pa</t>
  </si>
  <si>
    <t>pha</t>
  </si>
  <si>
    <t>ba</t>
  </si>
  <si>
    <t>bha</t>
  </si>
  <si>
    <t>ma</t>
  </si>
  <si>
    <t>ya</t>
  </si>
  <si>
    <t>ra</t>
  </si>
  <si>
    <t>la</t>
  </si>
  <si>
    <t>va</t>
  </si>
  <si>
    <t>śa</t>
  </si>
  <si>
    <t>ṣa</t>
  </si>
  <si>
    <t>sa</t>
  </si>
  <si>
    <t>ha</t>
  </si>
  <si>
    <t>kṣa</t>
  </si>
  <si>
    <t>Katapayadi</t>
  </si>
  <si>
    <t>Column1</t>
  </si>
  <si>
    <t>Column8</t>
  </si>
  <si>
    <t>Column9</t>
  </si>
  <si>
    <t>Column10</t>
  </si>
  <si>
    <t>Column14</t>
  </si>
  <si>
    <t>Column15</t>
  </si>
  <si>
    <t>क्ष?</t>
  </si>
  <si>
    <t>kṣa?</t>
  </si>
  <si>
    <t>9?</t>
  </si>
  <si>
    <t>Akathaha</t>
  </si>
  <si>
    <t>akathaha Chakra</t>
  </si>
  <si>
    <t>C1</t>
  </si>
  <si>
    <t>C2</t>
  </si>
  <si>
    <t>C3</t>
  </si>
  <si>
    <t>C4</t>
  </si>
  <si>
    <t xml:space="preserve">a ka tha ha </t>
  </si>
  <si>
    <t>U ca pha</t>
  </si>
  <si>
    <t>A kha da la</t>
  </si>
  <si>
    <t>u ~Na pa</t>
  </si>
  <si>
    <t>R1</t>
  </si>
  <si>
    <t xml:space="preserve">o Da va </t>
  </si>
  <si>
    <t>L^i jha ma</t>
  </si>
  <si>
    <t>aH Dha sha</t>
  </si>
  <si>
    <t xml:space="preserve"> L^I ~na ya</t>
  </si>
  <si>
    <t>R2</t>
  </si>
  <si>
    <t>I gha na</t>
  </si>
  <si>
    <t>R^i Cha ba</t>
  </si>
  <si>
    <t>i ga dha</t>
  </si>
  <si>
    <t>R^I ja bha</t>
  </si>
  <si>
    <t>R3</t>
  </si>
  <si>
    <t>au ta sa</t>
  </si>
  <si>
    <t>ai Tha la</t>
  </si>
  <si>
    <t>aM Na Sha</t>
  </si>
  <si>
    <t>e Ta ra</t>
  </si>
  <si>
    <t>R4</t>
  </si>
  <si>
    <t>अकथह</t>
  </si>
  <si>
    <t>अ क थ ह</t>
  </si>
  <si>
    <t>उ ङ प</t>
  </si>
  <si>
    <t>आ ख द</t>
  </si>
  <si>
    <t>ऊ च फ</t>
  </si>
  <si>
    <t>a ka tha ha</t>
  </si>
  <si>
    <t>u ṅa pa</t>
  </si>
  <si>
    <t>ā kha da</t>
  </si>
  <si>
    <t>ū ca pha</t>
  </si>
  <si>
    <t>ओ ड व</t>
  </si>
  <si>
    <t>ऌ झ म</t>
  </si>
  <si>
    <t>औ ढ श</t>
  </si>
  <si>
    <t>ॡ ञ य</t>
  </si>
  <si>
    <t>o ḍa va</t>
  </si>
  <si>
    <t>ḷ jha ma</t>
  </si>
  <si>
    <t>au ḍha śa</t>
  </si>
  <si>
    <t>ḹ ña ya</t>
  </si>
  <si>
    <t>ई घ न</t>
  </si>
  <si>
    <t>ॠ ज भ</t>
  </si>
  <si>
    <t>इ ग ध</t>
  </si>
  <si>
    <t>ऋ छ ब</t>
  </si>
  <si>
    <t>ī gha na</t>
  </si>
  <si>
    <t>ṝ ja bha</t>
  </si>
  <si>
    <t>ṛ cha ba</t>
  </si>
  <si>
    <t>अः त स</t>
  </si>
  <si>
    <t>ऐ ठ ल</t>
  </si>
  <si>
    <t>अं ण ष</t>
  </si>
  <si>
    <t>ए ट र</t>
  </si>
  <si>
    <t>aḥ ta sa</t>
  </si>
  <si>
    <t>ai ṭha la</t>
  </si>
  <si>
    <t>aṁ ṇa ṣa</t>
  </si>
  <si>
    <t>e ṭa ra</t>
  </si>
  <si>
    <t>Earth</t>
  </si>
  <si>
    <t>Water</t>
  </si>
  <si>
    <t>Fire</t>
  </si>
  <si>
    <t>Air</t>
  </si>
  <si>
    <t>Ether</t>
  </si>
  <si>
    <t>Kuta</t>
  </si>
  <si>
    <t>Definition</t>
  </si>
  <si>
    <t>Promote</t>
  </si>
  <si>
    <t>Example Points</t>
  </si>
  <si>
    <t>Nadi</t>
  </si>
  <si>
    <t>nadi must be different. Also consider Nakshatra Pada Nadi</t>
  </si>
  <si>
    <t>Benific Rahu/Ketu, Promote  physiological and to a certain extent hereditary factors.</t>
  </si>
  <si>
    <t>Magha-Hasta</t>
  </si>
  <si>
    <t>Rasi Kuta</t>
  </si>
  <si>
    <t>boy should not be 2,3,4,5,6,8 from girl</t>
  </si>
  <si>
    <t>growth of family, +ve Mars; Gives  longevity , Happiness, Wealth, Enjoyment, Progeny</t>
  </si>
  <si>
    <t>Gana Kutam</t>
  </si>
  <si>
    <t>Female better than male Gana</t>
  </si>
  <si>
    <t>wealth, +Saturn</t>
  </si>
  <si>
    <t xml:space="preserve">Graha Maitri/Rasyadhipathi </t>
  </si>
  <si>
    <t>Consider lord of Rashi (Use Lagna)</t>
  </si>
  <si>
    <t>Sun +ve, Prosperity in Corns etc Mental attitude..</t>
  </si>
  <si>
    <t>opposite sex and same animal</t>
  </si>
  <si>
    <t>Good Children, +Venus</t>
  </si>
  <si>
    <t>Dina Kuta</t>
  </si>
  <si>
    <t xml:space="preserve">Avoid Janma,3rd (Vipat), 5th (Pratyak) or 7th (Naidhana) from the Janma Nakshatra of the woman. Worst is Naidhana. </t>
  </si>
  <si>
    <t>good luck; +Merc (Daily Matching)</t>
  </si>
  <si>
    <t>Vashya</t>
  </si>
  <si>
    <t xml:space="preserve">Girl Aries - Leo and Scorpio are amenable. 
For Taurus - Cancer and Libra; 
for Gemini - Virgo; 
for Caner - Scorpio and Sagittarius; 
for Leo - Capricorn and Virgo; 
for Scorpio - Cancer; 
for Sagittarius - Pisces; 
for Capricorn - Aries and Aquarius; 
for Aquarius - Aries; and 
for Pisces - Capricorn. </t>
  </si>
  <si>
    <t>development of posterity, +Jupiter Gives Attraction.</t>
  </si>
  <si>
    <t>Same business/professional inclinations.Same Education. If both not educated or keen on profession use the Nakshatra Varna. Girl Man higher caste (profession). But Pratiloma only with Pratiloma</t>
  </si>
  <si>
    <t xml:space="preserve">Moon +ve, Profession </t>
  </si>
  <si>
    <t>Mahendra</t>
  </si>
  <si>
    <t xml:space="preserve">the boy counted from that of the girl should be the 4th, 7th, 10th, 13th, 16th, 19th, 22nd or 25th. This combination promotes well being and longevity of the couple.Another:Count from the bride's star to the groom's asterism. If it be 4th, 7th, or 10th in any round it would be beneficial to the groom. Generally the groom's star is expected to be distant from the bride's. On the other hand, if the bride's star be the 4th from the groom's star, it should be termed Mahendra. If it be the 7th from the boy's Nakshatra, it would be called Upendra. The results of these two Yogas are in order (1) Increase of wealth and corn; and (2) birth of sons and daughters. The reader may note here that according to the Dina-type of agreement the 7th star is to be rejected, whereas according to the Mahendra it is acceptable. It shouldn't, however, be construed that the authorities make contradictory statements. As the contexts are different, there is no contradiction. For, in the 2nd and 3rd rounds the 7th star becomes the 6th and the 25th, which brings about what is called Stri-dirgha and so they reduce the flow more and more."(M. Ramakrishna Bhat. Essentials of Horary Astrology, page 138.) </t>
  </si>
  <si>
    <t xml:space="preserve">Indra is for Raja Yoga?
</t>
  </si>
  <si>
    <t>NA</t>
  </si>
  <si>
    <t>Stree Deergha (Dirgha).</t>
  </si>
  <si>
    <t>The boy's constellation should be beyond the 9th from that of the girl. According to some authorities the distance should be more than 7 nakshatras. Already Taken in consideration if Rasi Kuta is present</t>
  </si>
  <si>
    <t>promotes welfare</t>
  </si>
  <si>
    <t>Rajju Dosha</t>
  </si>
  <si>
    <t xml:space="preserve">Rajju should not be same or same MOD3 value MOD3=2 worst </t>
  </si>
  <si>
    <t>inclines to felicity, great happiness in married life and immunity from widowhood;</t>
  </si>
  <si>
    <t>Vedhai Dosha</t>
  </si>
  <si>
    <t>As-Jy, Bh-Anu  etc. Vedha present if Rajju is there</t>
  </si>
  <si>
    <t>many sons</t>
  </si>
  <si>
    <t>Ghataka</t>
  </si>
  <si>
    <t>Refer Ghataka Table.</t>
  </si>
  <si>
    <t>Prevent Violence</t>
  </si>
  <si>
    <t xml:space="preserve">Number kuta must agree &gt;=5 </t>
  </si>
  <si>
    <t>and total points&gt;=26 (8+7+6+5)</t>
  </si>
  <si>
    <t>Kuta Max 36</t>
  </si>
  <si>
    <t>Term of Life</t>
  </si>
  <si>
    <t>if signs are:</t>
  </si>
  <si>
    <t>or signs are:</t>
  </si>
  <si>
    <t>Lifespan</t>
  </si>
  <si>
    <t>Alpayu (short)</t>
  </si>
  <si>
    <t>C, D</t>
  </si>
  <si>
    <t>S, S</t>
  </si>
  <si>
    <t>&lt; 32</t>
  </si>
  <si>
    <t>Madhyayu (middle)</t>
  </si>
  <si>
    <t>C, S</t>
  </si>
  <si>
    <t>D, D</t>
  </si>
  <si>
    <t>&lt; 64</t>
  </si>
  <si>
    <t>Purnayu (long)</t>
  </si>
  <si>
    <t>C, C</t>
  </si>
  <si>
    <t>D, S</t>
  </si>
  <si>
    <t>&gt; 64</t>
  </si>
  <si>
    <t>(a) lagna lord and 8th lord</t>
  </si>
  <si>
    <t>(b) Moon and Saturn (not Moon and lagna as Siva wrote)</t>
  </si>
  <si>
    <t>(c) lagna and horalagna</t>
  </si>
  <si>
    <t>lagna and horalagna pair dominates 
if the all three factors give three different answers</t>
  </si>
  <si>
    <t> </t>
  </si>
  <si>
    <t>D20Deities</t>
  </si>
  <si>
    <t>D20Deities2</t>
  </si>
  <si>
    <t>D27 Deities</t>
  </si>
  <si>
    <t>D27 Deities2</t>
  </si>
  <si>
    <t>Nakshatra Phonemes</t>
  </si>
  <si>
    <t>Month Names</t>
  </si>
  <si>
    <t>Month Duration</t>
  </si>
  <si>
    <t>Ashtottari-Ruler</t>
  </si>
  <si>
    <t>28 Nax Names</t>
  </si>
  <si>
    <t>28 Nax Start</t>
  </si>
  <si>
    <t>AVASTHA NAME</t>
  </si>
  <si>
    <t>MEANING</t>
  </si>
  <si>
    <t>Graha Order</t>
  </si>
  <si>
    <t>Number Assignment</t>
  </si>
  <si>
    <t>Vimshottari Order</t>
  </si>
  <si>
    <t>Vimshottari graha years</t>
  </si>
  <si>
    <t>D150Deities</t>
  </si>
  <si>
    <t>D150Degrees</t>
  </si>
  <si>
    <t>D60Index</t>
  </si>
  <si>
    <t>D60English</t>
  </si>
  <si>
    <t>D60Meaning</t>
  </si>
  <si>
    <t>D60Sanskrit</t>
  </si>
  <si>
    <t>Month (Tamil)</t>
  </si>
  <si>
    <t>Month (Transliteration)</t>
  </si>
  <si>
    <t>Sanskrit Name *</t>
  </si>
  <si>
    <t>Gregorian Cal</t>
  </si>
  <si>
    <t>D24 Deities</t>
  </si>
  <si>
    <t>Meanigng</t>
  </si>
  <si>
    <t>kālī</t>
  </si>
  <si>
    <t>काली</t>
  </si>
  <si>
    <t xml:space="preserve">dasra </t>
  </si>
  <si>
    <t>दस्र</t>
  </si>
  <si>
    <t xml:space="preserve">Chaitra </t>
  </si>
  <si>
    <t>March-April</t>
  </si>
  <si>
    <t>Ashwini</t>
  </si>
  <si>
    <t>Sayana</t>
  </si>
  <si>
    <t>Lyingdown,resting</t>
  </si>
  <si>
    <t>वसुधा</t>
  </si>
  <si>
    <t>vasudhā</t>
  </si>
  <si>
    <t xml:space="preserve">ghora </t>
  </si>
  <si>
    <t>terrible</t>
  </si>
  <si>
    <t>घोर</t>
  </si>
  <si>
    <t>சித்திரை</t>
  </si>
  <si>
    <t>Cittirai</t>
  </si>
  <si>
    <t>Chaitra</t>
  </si>
  <si>
    <t>mid-April to mid-May</t>
  </si>
  <si>
    <t>skanda</t>
  </si>
  <si>
    <t>gaurī</t>
  </si>
  <si>
    <t>गौरी</t>
  </si>
  <si>
    <t xml:space="preserve">yama </t>
  </si>
  <si>
    <t xml:space="preserve">यम </t>
  </si>
  <si>
    <t xml:space="preserve">Vaishakh </t>
  </si>
  <si>
    <t>April-May</t>
  </si>
  <si>
    <t>Upavesana</t>
  </si>
  <si>
    <t>Sittingdown</t>
  </si>
  <si>
    <t>वैष्णवी</t>
  </si>
  <si>
    <t>vaiṣṇavī</t>
  </si>
  <si>
    <t xml:space="preserve">rAxasha </t>
  </si>
  <si>
    <t>demon</t>
  </si>
  <si>
    <t xml:space="preserve">राक्षश </t>
  </si>
  <si>
    <t>வைகாசி</t>
  </si>
  <si>
    <t>Vaikāci</t>
  </si>
  <si>
    <t>Vaisākha</t>
  </si>
  <si>
    <t>mid-May to mid-June</t>
  </si>
  <si>
    <t>paraśudhara</t>
  </si>
  <si>
    <t>जया+</t>
  </si>
  <si>
    <t xml:space="preserve">vahni </t>
  </si>
  <si>
    <t xml:space="preserve">वह्नि </t>
  </si>
  <si>
    <t xml:space="preserve">Jyeshta </t>
  </si>
  <si>
    <t>May-June </t>
  </si>
  <si>
    <t>Netrapaani</t>
  </si>
  <si>
    <t>Eyesandhands</t>
  </si>
  <si>
    <t>ब्रह्मी</t>
  </si>
  <si>
    <t>brahmī</t>
  </si>
  <si>
    <t xml:space="preserve">deva </t>
  </si>
  <si>
    <t>onewhoisfulloflight</t>
  </si>
  <si>
    <t xml:space="preserve">देव </t>
  </si>
  <si>
    <t>ஆனி</t>
  </si>
  <si>
    <t>Āni</t>
  </si>
  <si>
    <t>Jyaishtha</t>
  </si>
  <si>
    <t>mid-June to mid-July</t>
  </si>
  <si>
    <t>anala</t>
  </si>
  <si>
    <t>lakṣmī</t>
  </si>
  <si>
    <t>लक्ष्मी</t>
  </si>
  <si>
    <t xml:space="preserve">pitāmaha </t>
  </si>
  <si>
    <t xml:space="preserve">पितामह </t>
  </si>
  <si>
    <t xml:space="preserve">Aashaadh </t>
  </si>
  <si>
    <t>June-July</t>
  </si>
  <si>
    <t>Prakaasana</t>
  </si>
  <si>
    <t>Shining</t>
  </si>
  <si>
    <t>कालकूटा</t>
  </si>
  <si>
    <t>kālakūṭā</t>
  </si>
  <si>
    <t xml:space="preserve"> kubera</t>
  </si>
  <si>
    <t>godofwealth</t>
  </si>
  <si>
    <t xml:space="preserve">कुबेर </t>
  </si>
  <si>
    <t>ஆடி</t>
  </si>
  <si>
    <t>Āṭi</t>
  </si>
  <si>
    <t>Āshāḍha</t>
  </si>
  <si>
    <t>mid-July to mid-August</t>
  </si>
  <si>
    <t>viśvakarmā</t>
  </si>
  <si>
    <t>All Creator</t>
  </si>
  <si>
    <t>vijayā</t>
  </si>
  <si>
    <t>विजया</t>
  </si>
  <si>
    <t xml:space="preserve">candra </t>
  </si>
  <si>
    <t xml:space="preserve">चन्द्र </t>
  </si>
  <si>
    <t xml:space="preserve">Sharaavan </t>
  </si>
  <si>
    <t>July-August </t>
  </si>
  <si>
    <t>Gamana</t>
  </si>
  <si>
    <t>Going(onthemove)</t>
  </si>
  <si>
    <t>शांकरी</t>
  </si>
  <si>
    <t>śāṁkarī</t>
  </si>
  <si>
    <t xml:space="preserve"> yaksha</t>
  </si>
  <si>
    <t>divinesinger</t>
  </si>
  <si>
    <t xml:space="preserve">यक्ष </t>
  </si>
  <si>
    <t>ஆவணி</t>
  </si>
  <si>
    <t>Āvaṇi</t>
  </si>
  <si>
    <t>Shrāvaṇa</t>
  </si>
  <si>
    <t>mid-August to mid-September</t>
  </si>
  <si>
    <t>Bestower</t>
  </si>
  <si>
    <t>vimalā</t>
  </si>
  <si>
    <t>विमला</t>
  </si>
  <si>
    <t xml:space="preserve">iśa </t>
  </si>
  <si>
    <t xml:space="preserve">इश </t>
  </si>
  <si>
    <t xml:space="preserve">Bhadrapad </t>
  </si>
  <si>
    <t>Aug-Sept</t>
  </si>
  <si>
    <t>Aagamana</t>
  </si>
  <si>
    <t>Coming,returning</t>
  </si>
  <si>
    <t>सुधाकरी</t>
  </si>
  <si>
    <t>sudhākarī</t>
  </si>
  <si>
    <t>kinnara</t>
  </si>
  <si>
    <t>deformedman(iamnotsure)</t>
  </si>
  <si>
    <t xml:space="preserve">किन्नर </t>
  </si>
  <si>
    <t>புரட்டாசி</t>
  </si>
  <si>
    <t>Puraṭṭāci</t>
  </si>
  <si>
    <t>Bhādrapada/Prauṣṭhapada</t>
  </si>
  <si>
    <t>mid-September to mid-October</t>
  </si>
  <si>
    <t>Protector of Contracts</t>
  </si>
  <si>
    <t>satī</t>
  </si>
  <si>
    <t>सती</t>
  </si>
  <si>
    <t xml:space="preserve">aditi </t>
  </si>
  <si>
    <t xml:space="preserve">अदिति </t>
  </si>
  <si>
    <t xml:space="preserve">Ashwin </t>
  </si>
  <si>
    <t>September-October </t>
  </si>
  <si>
    <t>Sabhaa</t>
  </si>
  <si>
    <t>(Sabhaavasati)Beingatanassembly</t>
  </si>
  <si>
    <t>समा</t>
  </si>
  <si>
    <t>samā</t>
  </si>
  <si>
    <t xml:space="preserve">bhraṣṭa </t>
  </si>
  <si>
    <t>fallen</t>
  </si>
  <si>
    <t xml:space="preserve">भ्रष्ट </t>
  </si>
  <si>
    <t>ஐப்பசி</t>
  </si>
  <si>
    <t>Aippaci</t>
  </si>
  <si>
    <t>Ashwina/Ashvayuja</t>
  </si>
  <si>
    <t>mid-October to mid-November</t>
  </si>
  <si>
    <t>maya</t>
  </si>
  <si>
    <t>tārā</t>
  </si>
  <si>
    <t>तारा</t>
  </si>
  <si>
    <t xml:space="preserve">jīva </t>
  </si>
  <si>
    <t xml:space="preserve">जीव </t>
  </si>
  <si>
    <t xml:space="preserve">Kaartik </t>
  </si>
  <si>
    <t>Oct-November.</t>
  </si>
  <si>
    <t>Aagama</t>
  </si>
  <si>
    <t>Coming/Acquiring</t>
  </si>
  <si>
    <t>सौम्या</t>
  </si>
  <si>
    <t>saumyā</t>
  </si>
  <si>
    <t xml:space="preserve"> kulagna</t>
  </si>
  <si>
    <t>personwillruinfamily</t>
  </si>
  <si>
    <t xml:space="preserve">कुलघ्न </t>
  </si>
  <si>
    <t>கார்த்திகை</t>
  </si>
  <si>
    <t>Kārttikai</t>
  </si>
  <si>
    <t>Kārttika</t>
  </si>
  <si>
    <t>mid-November to mid-December</t>
  </si>
  <si>
    <t>antaka</t>
  </si>
  <si>
    <t>Yama, Destroyer</t>
  </si>
  <si>
    <t>jvālāmukhī</t>
  </si>
  <si>
    <t>ज्वालामुखी</t>
  </si>
  <si>
    <t xml:space="preserve">ahi </t>
  </si>
  <si>
    <t xml:space="preserve">अहि </t>
  </si>
  <si>
    <t xml:space="preserve">Margasheersh </t>
  </si>
  <si>
    <t>Nov-Dec</t>
  </si>
  <si>
    <t>Bhojana</t>
  </si>
  <si>
    <t>Eating</t>
  </si>
  <si>
    <t>सुरा</t>
  </si>
  <si>
    <t>surā</t>
  </si>
  <si>
    <t>garala</t>
  </si>
  <si>
    <t>poison</t>
  </si>
  <si>
    <t xml:space="preserve">गरल </t>
  </si>
  <si>
    <t>மார்கழி</t>
  </si>
  <si>
    <t>Mārkazhi</t>
  </si>
  <si>
    <t>Mārgaṣīrṣa</t>
  </si>
  <si>
    <t>mid-December to mid-January</t>
  </si>
  <si>
    <t>vṛshadhvajā</t>
  </si>
  <si>
    <t>Bull as symbol (Or a mouse or rat (cf. व्/ऋश ?)</t>
  </si>
  <si>
    <t>śvetā</t>
  </si>
  <si>
    <t>श्वेता</t>
  </si>
  <si>
    <t xml:space="preserve">pitaro </t>
  </si>
  <si>
    <t xml:space="preserve">पितरो </t>
  </si>
  <si>
    <t xml:space="preserve">Pushya </t>
  </si>
  <si>
    <t>Dec-Jan </t>
  </si>
  <si>
    <t>Nriyalipsaa</t>
  </si>
  <si>
    <t>Longingtodance</t>
  </si>
  <si>
    <t>माया</t>
  </si>
  <si>
    <t>māyā</t>
  </si>
  <si>
    <t>vahni</t>
  </si>
  <si>
    <t>fire</t>
  </si>
  <si>
    <t>தை</t>
  </si>
  <si>
    <t>Tai</t>
  </si>
  <si>
    <t>Pausha/Taiṣya</t>
  </si>
  <si>
    <t>mid-January to mid-February</t>
  </si>
  <si>
    <t>govinda</t>
  </si>
  <si>
    <t>lalitā</t>
  </si>
  <si>
    <t>ललिता</t>
  </si>
  <si>
    <t xml:space="preserve">bhaga </t>
  </si>
  <si>
    <t>भग</t>
  </si>
  <si>
    <t xml:space="preserve">Magha </t>
  </si>
  <si>
    <t>Jan-February</t>
  </si>
  <si>
    <t>P. Phalguni</t>
  </si>
  <si>
    <t>Kautuka</t>
  </si>
  <si>
    <t>Beingeager</t>
  </si>
  <si>
    <t>मनोहरा</t>
  </si>
  <si>
    <t>manoharā</t>
  </si>
  <si>
    <t xml:space="preserve"> maya</t>
  </si>
  <si>
    <t>deciet</t>
  </si>
  <si>
    <t xml:space="preserve">माया </t>
  </si>
  <si>
    <t>மாசி</t>
  </si>
  <si>
    <t>Māci</t>
  </si>
  <si>
    <t>Māgha</t>
  </si>
  <si>
    <t>mid-February to mid-March</t>
  </si>
  <si>
    <t>madana</t>
  </si>
  <si>
    <t>Lover, Bee</t>
  </si>
  <si>
    <t>bagalāmukhī</t>
  </si>
  <si>
    <t>बगलामुखी</t>
  </si>
  <si>
    <t xml:space="preserve">aryama </t>
  </si>
  <si>
    <t xml:space="preserve">अर्यम </t>
  </si>
  <si>
    <t xml:space="preserve">Phalgun </t>
  </si>
  <si>
    <t>Feb-Mar</t>
  </si>
  <si>
    <t>U. Phalguni</t>
  </si>
  <si>
    <t>Nidraa</t>
  </si>
  <si>
    <t>माध्वी</t>
  </si>
  <si>
    <t>mādhvī</t>
  </si>
  <si>
    <t xml:space="preserve"> pureeshaka</t>
  </si>
  <si>
    <t>dirty</t>
  </si>
  <si>
    <t xml:space="preserve">पुरीषक </t>
  </si>
  <si>
    <t>பங்குனி</t>
  </si>
  <si>
    <t>Paṅkuni</t>
  </si>
  <si>
    <t>Phalguna</t>
  </si>
  <si>
    <t>mid-March to mid-April</t>
  </si>
  <si>
    <t>Terrible</t>
  </si>
  <si>
    <t>pratyaṅgirā</t>
  </si>
  <si>
    <t>प्रत्यङ्गिरा</t>
  </si>
  <si>
    <t xml:space="preserve">arka </t>
  </si>
  <si>
    <t xml:space="preserve">अर्क </t>
  </si>
  <si>
    <t>मञ्जुस्वना</t>
  </si>
  <si>
    <t>mañjusvanā</t>
  </si>
  <si>
    <t>apampati</t>
  </si>
  <si>
    <t>raingod(varuna)</t>
  </si>
  <si>
    <t xml:space="preserve">अपाम्पति </t>
  </si>
  <si>
    <t>śacī</t>
  </si>
  <si>
    <t>शची</t>
  </si>
  <si>
    <t xml:space="preserve">tvaṣṭṛ </t>
  </si>
  <si>
    <t xml:space="preserve">त्वष्टृ </t>
  </si>
  <si>
    <t>घोरा</t>
  </si>
  <si>
    <t>ghorā</t>
  </si>
  <si>
    <t>marut</t>
  </si>
  <si>
    <t>windgod</t>
  </si>
  <si>
    <t xml:space="preserve">मरुत </t>
  </si>
  <si>
    <t>raudrī</t>
  </si>
  <si>
    <t>रौद्री</t>
  </si>
  <si>
    <t xml:space="preserve">maruta </t>
  </si>
  <si>
    <t>कुंभिनी</t>
  </si>
  <si>
    <t>kuṁbhinī</t>
  </si>
  <si>
    <t>kaala</t>
  </si>
  <si>
    <t>time</t>
  </si>
  <si>
    <t xml:space="preserve">काल </t>
  </si>
  <si>
    <t>bhavānī</t>
  </si>
  <si>
    <t>भवानी</t>
  </si>
  <si>
    <t xml:space="preserve">śakrāgni </t>
  </si>
  <si>
    <t xml:space="preserve">शक्राग्नि </t>
  </si>
  <si>
    <t>कुटिला</t>
  </si>
  <si>
    <t>kuṭilā</t>
  </si>
  <si>
    <t>sarpa</t>
  </si>
  <si>
    <t>snake,veryvicious</t>
  </si>
  <si>
    <t xml:space="preserve">सर्प </t>
  </si>
  <si>
    <t>varadā</t>
  </si>
  <si>
    <t>वरदा</t>
  </si>
  <si>
    <t xml:space="preserve">mitra </t>
  </si>
  <si>
    <t xml:space="preserve">मित्र </t>
  </si>
  <si>
    <t>प्रभा</t>
  </si>
  <si>
    <t>prabhā</t>
  </si>
  <si>
    <t>amirta</t>
  </si>
  <si>
    <t>nectar</t>
  </si>
  <si>
    <t xml:space="preserve">अमृत </t>
  </si>
  <si>
    <t>जया</t>
  </si>
  <si>
    <t xml:space="preserve">vāsava </t>
  </si>
  <si>
    <t xml:space="preserve">वासव </t>
  </si>
  <si>
    <t>परा</t>
  </si>
  <si>
    <t>parā</t>
  </si>
  <si>
    <t>indu</t>
  </si>
  <si>
    <t>moon</t>
  </si>
  <si>
    <t xml:space="preserve">इन्दुक </t>
  </si>
  <si>
    <t>tripurā</t>
  </si>
  <si>
    <t>त्रिपुरा</t>
  </si>
  <si>
    <t xml:space="preserve">nirṛti </t>
  </si>
  <si>
    <t xml:space="preserve">निरृति </t>
  </si>
  <si>
    <t>पयस्विनी</t>
  </si>
  <si>
    <t>payasvinī</t>
  </si>
  <si>
    <t>mrdu</t>
  </si>
  <si>
    <t>soft</t>
  </si>
  <si>
    <t xml:space="preserve">मृदु </t>
  </si>
  <si>
    <t>sumukhī</t>
  </si>
  <si>
    <t>सुमुखी</t>
  </si>
  <si>
    <t xml:space="preserve">udaka </t>
  </si>
  <si>
    <t xml:space="preserve">उदक </t>
  </si>
  <si>
    <t>माला</t>
  </si>
  <si>
    <t>mālā</t>
  </si>
  <si>
    <t>komala</t>
  </si>
  <si>
    <t>tender</t>
  </si>
  <si>
    <t xml:space="preserve">कोमल </t>
  </si>
  <si>
    <t>dayā</t>
  </si>
  <si>
    <t>दया</t>
  </si>
  <si>
    <t xml:space="preserve">viśve aja </t>
  </si>
  <si>
    <t xml:space="preserve">विश्वे अज </t>
  </si>
  <si>
    <t>जगती</t>
  </si>
  <si>
    <t>jagatī</t>
  </si>
  <si>
    <t>heramba</t>
  </si>
  <si>
    <t>vinayaka</t>
  </si>
  <si>
    <t xml:space="preserve">हेरम्ब </t>
  </si>
  <si>
    <t>medhā</t>
  </si>
  <si>
    <t>मेधा</t>
  </si>
  <si>
    <t xml:space="preserve">govinda </t>
  </si>
  <si>
    <t xml:space="preserve">गोविन्द </t>
  </si>
  <si>
    <t>जु जे जो ख</t>
  </si>
  <si>
    <t>Abhjit</t>
  </si>
  <si>
    <t>जर्झरा</t>
  </si>
  <si>
    <t>jarjharā</t>
  </si>
  <si>
    <t>brahma</t>
  </si>
  <si>
    <t>universalfather</t>
  </si>
  <si>
    <t xml:space="preserve">ब्रह्म </t>
  </si>
  <si>
    <t>chinnaśīrṣā</t>
  </si>
  <si>
    <t>छिन्नशीर्षा</t>
  </si>
  <si>
    <t xml:space="preserve">vasava </t>
  </si>
  <si>
    <t>वसव</t>
  </si>
  <si>
    <t>Sravana</t>
  </si>
  <si>
    <t>ध्रुवा</t>
  </si>
  <si>
    <t>dhruvā</t>
  </si>
  <si>
    <t>vishnu</t>
  </si>
  <si>
    <t>oneofthehindutrinity</t>
  </si>
  <si>
    <t xml:space="preserve">विष्णु </t>
  </si>
  <si>
    <t>piśācinī</t>
  </si>
  <si>
    <t>पिशाचिनी</t>
  </si>
  <si>
    <t xml:space="preserve">ambupa </t>
  </si>
  <si>
    <t xml:space="preserve">अम्बुप </t>
  </si>
  <si>
    <t>मुसला</t>
  </si>
  <si>
    <t>musalā</t>
  </si>
  <si>
    <t>maheswara</t>
  </si>
  <si>
    <t>anotherdeityofhindutrinity</t>
  </si>
  <si>
    <t xml:space="preserve">महेश्वरा </t>
  </si>
  <si>
    <t>dhūmāvatī</t>
  </si>
  <si>
    <t>धूमावती</t>
  </si>
  <si>
    <t xml:space="preserve">ajapād </t>
  </si>
  <si>
    <t xml:space="preserve">अजपाद् </t>
  </si>
  <si>
    <t>मुद्गरा</t>
  </si>
  <si>
    <t>mudgarā</t>
  </si>
  <si>
    <t>deva</t>
  </si>
  <si>
    <t>enjoyment</t>
  </si>
  <si>
    <t>mātaṅgī</t>
  </si>
  <si>
    <t>मातङ्गी</t>
  </si>
  <si>
    <t xml:space="preserve">ahirbudhnya </t>
  </si>
  <si>
    <t>अहिर्बुध्न्य</t>
  </si>
  <si>
    <t>पाशा</t>
  </si>
  <si>
    <t>pāśā</t>
  </si>
  <si>
    <t>ardra</t>
  </si>
  <si>
    <t>moist</t>
  </si>
  <si>
    <t xml:space="preserve">आर्द्र </t>
  </si>
  <si>
    <t>bālā</t>
  </si>
  <si>
    <t>बाला</t>
  </si>
  <si>
    <t xml:space="preserve">pūṣā </t>
  </si>
  <si>
    <t xml:space="preserve">पूषा </t>
  </si>
  <si>
    <t>चंपका</t>
  </si>
  <si>
    <t>caṁpakā</t>
  </si>
  <si>
    <t>kalinasa</t>
  </si>
  <si>
    <t>destruction of strife</t>
  </si>
  <si>
    <t xml:space="preserve">कलिनाशश </t>
  </si>
  <si>
    <t>भद्रा</t>
  </si>
  <si>
    <t>दामका</t>
  </si>
  <si>
    <t>dāmakā</t>
  </si>
  <si>
    <t>kshiteesa</t>
  </si>
  <si>
    <t>rulerofearth</t>
  </si>
  <si>
    <t xml:space="preserve">क्षितीश </t>
  </si>
  <si>
    <t>aruṇā</t>
  </si>
  <si>
    <t>अरुणा</t>
  </si>
  <si>
    <t>मही</t>
  </si>
  <si>
    <t>mahī</t>
  </si>
  <si>
    <t>kamalakara</t>
  </si>
  <si>
    <t>pondfulloflotus</t>
  </si>
  <si>
    <t xml:space="preserve">कमलाकर </t>
  </si>
  <si>
    <t>analā</t>
  </si>
  <si>
    <t>अनला</t>
  </si>
  <si>
    <t>कलुषा</t>
  </si>
  <si>
    <t>kaluṣā</t>
  </si>
  <si>
    <t>gulika</t>
  </si>
  <si>
    <t>saturn'sson</t>
  </si>
  <si>
    <t xml:space="preserve">गुलिक </t>
  </si>
  <si>
    <t>piṅgalā</t>
  </si>
  <si>
    <t>पिङ्गला</t>
  </si>
  <si>
    <t>कमला</t>
  </si>
  <si>
    <t>kamalā</t>
  </si>
  <si>
    <t>mrtyu</t>
  </si>
  <si>
    <t>death</t>
  </si>
  <si>
    <t xml:space="preserve">मृत्यु </t>
  </si>
  <si>
    <t>chucchukā</t>
  </si>
  <si>
    <t>छुच्छुका</t>
  </si>
  <si>
    <t>कान्ता</t>
  </si>
  <si>
    <t>kāntā</t>
  </si>
  <si>
    <t>kala</t>
  </si>
  <si>
    <t>timegod</t>
  </si>
  <si>
    <t>काला</t>
  </si>
  <si>
    <t>kālā</t>
  </si>
  <si>
    <t>daavagni</t>
  </si>
  <si>
    <t>forestfire</t>
  </si>
  <si>
    <t xml:space="preserve">दावाग्नि </t>
  </si>
  <si>
    <t>vārāhī</t>
  </si>
  <si>
    <t>वाराही</t>
  </si>
  <si>
    <t>करिकरा</t>
  </si>
  <si>
    <t>karikarā</t>
  </si>
  <si>
    <t>ghora</t>
  </si>
  <si>
    <t xml:space="preserve">घोर </t>
  </si>
  <si>
    <t>क्षमा</t>
  </si>
  <si>
    <t>kṣamā</t>
  </si>
  <si>
    <t xml:space="preserve"> yama</t>
  </si>
  <si>
    <t>deathpersonified</t>
  </si>
  <si>
    <t>sitā</t>
  </si>
  <si>
    <t>सिता</t>
  </si>
  <si>
    <t>दुर्धरा</t>
  </si>
  <si>
    <t>durdharā</t>
  </si>
  <si>
    <t>kantaka</t>
  </si>
  <si>
    <t>thorn</t>
  </si>
  <si>
    <t xml:space="preserve">कण्टक </t>
  </si>
  <si>
    <t>bhuvaneśī</t>
  </si>
  <si>
    <t>भुवनेशी</t>
  </si>
  <si>
    <t>दुर्भगा</t>
  </si>
  <si>
    <t>durbhagā</t>
  </si>
  <si>
    <t>sudha</t>
  </si>
  <si>
    <t>nector</t>
  </si>
  <si>
    <t xml:space="preserve">सुधा </t>
  </si>
  <si>
    <t>bhairavī</t>
  </si>
  <si>
    <t>भैरवी</t>
  </si>
  <si>
    <t>विश्वा</t>
  </si>
  <si>
    <t>viśvā</t>
  </si>
  <si>
    <t>maṅgalā</t>
  </si>
  <si>
    <t>मङ्गला</t>
  </si>
  <si>
    <t>विशीर्णा</t>
  </si>
  <si>
    <t>viśīrṇā</t>
  </si>
  <si>
    <t>poornachandra</t>
  </si>
  <si>
    <t>fullofeffulgence</t>
  </si>
  <si>
    <t xml:space="preserve">पूर्णनिशाकर </t>
  </si>
  <si>
    <t>aparājitā</t>
  </si>
  <si>
    <t>अपराजिता</t>
  </si>
  <si>
    <t>विकटा</t>
  </si>
  <si>
    <t>vikaṭā</t>
  </si>
  <si>
    <t>visha dagdha</t>
  </si>
  <si>
    <t>venomconsuming</t>
  </si>
  <si>
    <t xml:space="preserve">विषदग्ध </t>
  </si>
  <si>
    <t>अविला</t>
  </si>
  <si>
    <t>avilā</t>
  </si>
  <si>
    <t>kulanaasa</t>
  </si>
  <si>
    <t>ruinsthefamily</t>
  </si>
  <si>
    <t xml:space="preserve">कुलान्त </t>
  </si>
  <si>
    <t>विप्रभा</t>
  </si>
  <si>
    <t>viprabhā</t>
  </si>
  <si>
    <t>vamsakshya</t>
  </si>
  <si>
    <t>descendantsnotgrowing</t>
  </si>
  <si>
    <t xml:space="preserve">वंशक्षय </t>
  </si>
  <si>
    <t>सुखदा</t>
  </si>
  <si>
    <t>sukhadā</t>
  </si>
  <si>
    <t>utpaata</t>
  </si>
  <si>
    <t>calamity</t>
  </si>
  <si>
    <t xml:space="preserve">उत्पात </t>
  </si>
  <si>
    <t>स्निग्धा</t>
  </si>
  <si>
    <t>snigdhā</t>
  </si>
  <si>
    <t>सोदरा</t>
  </si>
  <si>
    <t>sodarā</t>
  </si>
  <si>
    <t>soumya</t>
  </si>
  <si>
    <t>pleasing</t>
  </si>
  <si>
    <t xml:space="preserve">सौम्य </t>
  </si>
  <si>
    <t>सुरसुन्दरी</t>
  </si>
  <si>
    <t>surasundarī</t>
  </si>
  <si>
    <t>अमृतप्लविनी</t>
  </si>
  <si>
    <t>amṛtaplavinī</t>
  </si>
  <si>
    <t>seetala</t>
  </si>
  <si>
    <t>cold</t>
  </si>
  <si>
    <t xml:space="preserve">शीतल </t>
  </si>
  <si>
    <t>काळा</t>
  </si>
  <si>
    <t>kāḻā</t>
  </si>
  <si>
    <t>karaladhamstra</t>
  </si>
  <si>
    <t>hardandferociouslook</t>
  </si>
  <si>
    <t xml:space="preserve">करालदंष्ट्र </t>
  </si>
  <si>
    <t>कामधुक्</t>
  </si>
  <si>
    <t>kāmadhuk</t>
  </si>
  <si>
    <t>chandramukhi</t>
  </si>
  <si>
    <t>moonfaced</t>
  </si>
  <si>
    <t>करवीरणी</t>
  </si>
  <si>
    <t>karavīraṇī</t>
  </si>
  <si>
    <t>praveena</t>
  </si>
  <si>
    <t>wellversed</t>
  </si>
  <si>
    <t xml:space="preserve">प्रवीण </t>
  </si>
  <si>
    <t>गह्वरा</t>
  </si>
  <si>
    <t>gahvarā</t>
  </si>
  <si>
    <t>kaala pavaka</t>
  </si>
  <si>
    <t>destructivefireattheendoftheworld</t>
  </si>
  <si>
    <t xml:space="preserve">कालपावकः </t>
  </si>
  <si>
    <t>कुन्दिनी</t>
  </si>
  <si>
    <t>kundinī</t>
  </si>
  <si>
    <t>dhandayutha</t>
  </si>
  <si>
    <t>thestaffheldbytheascetic</t>
  </si>
  <si>
    <t xml:space="preserve">दण्डभृ </t>
  </si>
  <si>
    <t>रौद्रा</t>
  </si>
  <si>
    <t>raudrā</t>
  </si>
  <si>
    <t>nirmala</t>
  </si>
  <si>
    <t>spotless</t>
  </si>
  <si>
    <t xml:space="preserve">निर्मल </t>
  </si>
  <si>
    <t>विषाख्या</t>
  </si>
  <si>
    <t>viṣākhyā</t>
  </si>
  <si>
    <t>विषनाशिनी</t>
  </si>
  <si>
    <t>viṣanāśinī</t>
  </si>
  <si>
    <t>kroora</t>
  </si>
  <si>
    <t>cruel</t>
  </si>
  <si>
    <t xml:space="preserve">क्रूर </t>
  </si>
  <si>
    <t>निर्मदा</t>
  </si>
  <si>
    <t>nirmadā</t>
  </si>
  <si>
    <t>atiseetala</t>
  </si>
  <si>
    <t>toocold</t>
  </si>
  <si>
    <t xml:space="preserve">अतिशीतल </t>
  </si>
  <si>
    <t>शीतला</t>
  </si>
  <si>
    <t>śītalā</t>
  </si>
  <si>
    <t>amrita</t>
  </si>
  <si>
    <t>निम्ना</t>
  </si>
  <si>
    <t>nimnā</t>
  </si>
  <si>
    <t>payodhi</t>
  </si>
  <si>
    <t>ocean</t>
  </si>
  <si>
    <t xml:space="preserve">पयोधि </t>
  </si>
  <si>
    <t>प्रीता</t>
  </si>
  <si>
    <t>prītā</t>
  </si>
  <si>
    <t>brahmna</t>
  </si>
  <si>
    <t>wanderer</t>
  </si>
  <si>
    <t xml:space="preserve">भ्रमण </t>
  </si>
  <si>
    <t>प्रियवर्धिनी</t>
  </si>
  <si>
    <t>priyavardhinī</t>
  </si>
  <si>
    <t>chandrarekha</t>
  </si>
  <si>
    <t>streaksofthemoon</t>
  </si>
  <si>
    <t xml:space="preserve">चन्द्ररेखा </t>
  </si>
  <si>
    <t>मानघ्ना</t>
  </si>
  <si>
    <t>mānaghnā</t>
  </si>
  <si>
    <t>चित्रा</t>
  </si>
  <si>
    <t>citrā</t>
  </si>
  <si>
    <r>
      <rPr>
        <sz val="11"/>
        <color rgb="FF000000"/>
        <rFont val="Arial"/>
        <family val="2"/>
        <charset val="1"/>
      </rPr>
      <t xml:space="preserve">चिमिणी </t>
    </r>
    <r>
      <rPr>
        <sz val="11"/>
        <color rgb="FF000000"/>
        <rFont val="Calibri"/>
        <family val="2"/>
        <charset val="1"/>
      </rPr>
      <t>(</t>
    </r>
    <r>
      <rPr>
        <sz val="11"/>
        <color rgb="FF000000"/>
        <rFont val="Arial"/>
        <family val="2"/>
        <charset val="1"/>
      </rPr>
      <t>चित्रिणी</t>
    </r>
    <r>
      <rPr>
        <sz val="11"/>
        <color rgb="FF000000"/>
        <rFont val="Calibri"/>
        <family val="2"/>
        <charset val="1"/>
      </rPr>
      <t>)</t>
    </r>
  </si>
  <si>
    <t>cimiṇī (citriṇī)</t>
  </si>
  <si>
    <t>चिरंजीविनी</t>
  </si>
  <si>
    <t>ciraṁjīvinī</t>
  </si>
  <si>
    <t>भूपा</t>
  </si>
  <si>
    <t>bhūpā</t>
  </si>
  <si>
    <t>गदहरा</t>
  </si>
  <si>
    <t>gadaharā</t>
  </si>
  <si>
    <t>नाळा</t>
  </si>
  <si>
    <t>nāḻā</t>
  </si>
  <si>
    <t>नलिनी</t>
  </si>
  <si>
    <t>nalinī</t>
  </si>
  <si>
    <t>निर्मला</t>
  </si>
  <si>
    <t>nirmalā</t>
  </si>
  <si>
    <t>नदी</t>
  </si>
  <si>
    <t>nadī</t>
  </si>
  <si>
    <t>सुधामृतांशुः</t>
  </si>
  <si>
    <t>sudhāmṛtāṁśuḥ</t>
  </si>
  <si>
    <t>कलुषांकुरा</t>
  </si>
  <si>
    <t>kaluṣāṁkurā</t>
  </si>
  <si>
    <t>त्रैलोक्यमोहनकरी</t>
  </si>
  <si>
    <t>trailokyamohanakarī</t>
  </si>
  <si>
    <t>महामारी</t>
  </si>
  <si>
    <t>mahāmārī</t>
  </si>
  <si>
    <t>सुशीतला</t>
  </si>
  <si>
    <t>suśītalā</t>
  </si>
  <si>
    <t>सुप्रभा</t>
  </si>
  <si>
    <t>suprabhā</t>
  </si>
  <si>
    <t>शोभा</t>
  </si>
  <si>
    <t>śobhā</t>
  </si>
  <si>
    <t>शोभना</t>
  </si>
  <si>
    <t>śobhanā</t>
  </si>
  <si>
    <t>शिवदा</t>
  </si>
  <si>
    <t>śivadā</t>
  </si>
  <si>
    <t>शिवा</t>
  </si>
  <si>
    <t>śivā</t>
  </si>
  <si>
    <t>बला</t>
  </si>
  <si>
    <t>balā</t>
  </si>
  <si>
    <t>ज्वाला</t>
  </si>
  <si>
    <t>jvālā</t>
  </si>
  <si>
    <t>गदा</t>
  </si>
  <si>
    <t>gadā</t>
  </si>
  <si>
    <t>गाधा</t>
  </si>
  <si>
    <t>gādhā</t>
  </si>
  <si>
    <t>नूतना</t>
  </si>
  <si>
    <t>nūtanā</t>
  </si>
  <si>
    <t>सुमनोहरा</t>
  </si>
  <si>
    <t>sumanoharā</t>
  </si>
  <si>
    <r>
      <rPr>
        <sz val="11"/>
        <color rgb="FFFF0000"/>
        <rFont val="Arial"/>
        <family val="2"/>
        <charset val="1"/>
      </rPr>
      <t xml:space="preserve">सोमबल्ली </t>
    </r>
    <r>
      <rPr>
        <sz val="11"/>
        <color rgb="FFFF0000"/>
        <rFont val="Calibri"/>
        <family val="2"/>
        <charset val="1"/>
      </rPr>
      <t xml:space="preserve">( </t>
    </r>
    <r>
      <rPr>
        <sz val="11"/>
        <color rgb="FFFF0000"/>
        <rFont val="Arial"/>
        <family val="2"/>
        <charset val="1"/>
      </rPr>
      <t xml:space="preserve">स्मोवल्ली </t>
    </r>
    <r>
      <rPr>
        <sz val="11"/>
        <color rgb="FFFF0000"/>
        <rFont val="Calibri"/>
        <family val="2"/>
        <charset val="1"/>
      </rPr>
      <t>)</t>
    </r>
  </si>
  <si>
    <t>somaballī ( smovallī )</t>
  </si>
  <si>
    <t>सोमलता</t>
  </si>
  <si>
    <t>somalatā</t>
  </si>
  <si>
    <t>मंगला</t>
  </si>
  <si>
    <t>maṁgalā</t>
  </si>
  <si>
    <t>मुद्रिका</t>
  </si>
  <si>
    <t>mudrikā</t>
  </si>
  <si>
    <t>क्षुधा</t>
  </si>
  <si>
    <t>kṣudhā</t>
  </si>
  <si>
    <t>मोक्षापवर्गा</t>
  </si>
  <si>
    <t>mokṣāpavargā</t>
  </si>
  <si>
    <r>
      <rPr>
        <sz val="11"/>
        <color rgb="FFFF0000"/>
        <rFont val="Arial"/>
        <family val="2"/>
        <charset val="1"/>
      </rPr>
      <t xml:space="preserve">बलया </t>
    </r>
    <r>
      <rPr>
        <sz val="11"/>
        <color rgb="FFFF0000"/>
        <rFont val="Calibri"/>
        <family val="2"/>
        <charset val="1"/>
      </rPr>
      <t xml:space="preserve">( </t>
    </r>
    <r>
      <rPr>
        <sz val="11"/>
        <color rgb="FFFF0000"/>
        <rFont val="Arial"/>
        <family val="2"/>
        <charset val="1"/>
      </rPr>
      <t xml:space="preserve">वलया </t>
    </r>
    <r>
      <rPr>
        <sz val="11"/>
        <color rgb="FFFF0000"/>
        <rFont val="Calibri"/>
        <family val="2"/>
        <charset val="1"/>
      </rPr>
      <t>)</t>
    </r>
  </si>
  <si>
    <t>balayā ( valayā )</t>
  </si>
  <si>
    <t>नवनीता</t>
  </si>
  <si>
    <t>navanītā</t>
  </si>
  <si>
    <r>
      <rPr>
        <sz val="11"/>
        <color rgb="FFFF0000"/>
        <rFont val="Arial"/>
        <family val="2"/>
        <charset val="1"/>
      </rPr>
      <t xml:space="preserve">निशाकरी </t>
    </r>
    <r>
      <rPr>
        <sz val="11"/>
        <color rgb="FFFF0000"/>
        <rFont val="Calibri"/>
        <family val="2"/>
        <charset val="1"/>
      </rPr>
      <t xml:space="preserve">( </t>
    </r>
    <r>
      <rPr>
        <sz val="11"/>
        <color rgb="FFFF0000"/>
        <rFont val="Arial"/>
        <family val="2"/>
        <charset val="1"/>
      </rPr>
      <t xml:space="preserve">निशाचरी </t>
    </r>
    <r>
      <rPr>
        <sz val="11"/>
        <color rgb="FFFF0000"/>
        <rFont val="Calibri"/>
        <family val="2"/>
        <charset val="1"/>
      </rPr>
      <t>)</t>
    </r>
  </si>
  <si>
    <t>niśākarī ( niśācarī )</t>
  </si>
  <si>
    <t>निवृत्ति</t>
  </si>
  <si>
    <t>nivṛtti</t>
  </si>
  <si>
    <t>निगदा</t>
  </si>
  <si>
    <t>nigadā</t>
  </si>
  <si>
    <t>सारा</t>
  </si>
  <si>
    <t>sārā</t>
  </si>
  <si>
    <t>सङ्गीता</t>
  </si>
  <si>
    <t>saṅgītā</t>
  </si>
  <si>
    <t>सामदा</t>
  </si>
  <si>
    <t>sāmadā</t>
  </si>
  <si>
    <r>
      <rPr>
        <sz val="11"/>
        <color rgb="FFFF0000"/>
        <rFont val="Arial"/>
        <family val="2"/>
        <charset val="1"/>
      </rPr>
      <t xml:space="preserve">सभा </t>
    </r>
    <r>
      <rPr>
        <sz val="11"/>
        <color rgb="FFFF0000"/>
        <rFont val="Calibri"/>
        <family val="2"/>
        <charset val="1"/>
      </rPr>
      <t xml:space="preserve">( </t>
    </r>
    <r>
      <rPr>
        <sz val="11"/>
        <color rgb="FFFF0000"/>
        <rFont val="Arial"/>
        <family val="2"/>
        <charset val="1"/>
      </rPr>
      <t xml:space="preserve">समा </t>
    </r>
    <r>
      <rPr>
        <sz val="11"/>
        <color rgb="FFFF0000"/>
        <rFont val="Calibri"/>
        <family val="2"/>
        <charset val="1"/>
      </rPr>
      <t>)</t>
    </r>
  </si>
  <si>
    <t>sabhā ( samā )</t>
  </si>
  <si>
    <t>विश्वंभरा</t>
  </si>
  <si>
    <t>viśvaṁbharā</t>
  </si>
  <si>
    <t>कुमारी</t>
  </si>
  <si>
    <t>kumārī</t>
  </si>
  <si>
    <t>कोकिला</t>
  </si>
  <si>
    <t>kokilā</t>
  </si>
  <si>
    <t>कुञ्जराकृतिः</t>
  </si>
  <si>
    <t>kuñjarākṛtiḥ</t>
  </si>
  <si>
    <t>ऐंद्रा</t>
  </si>
  <si>
    <t>aiṁdrā</t>
  </si>
  <si>
    <t>स्वाहा</t>
  </si>
  <si>
    <t>svāhā</t>
  </si>
  <si>
    <t>स्वरा</t>
  </si>
  <si>
    <t>svarā</t>
  </si>
  <si>
    <t>ब्रह्मिः</t>
  </si>
  <si>
    <t>brahmiḥ</t>
  </si>
  <si>
    <t>रक्षजलाप्लवा</t>
  </si>
  <si>
    <t>rakṣajalāplavā</t>
  </si>
  <si>
    <t>वारुणी</t>
  </si>
  <si>
    <t>vāruṇī</t>
  </si>
  <si>
    <t>मदिरा</t>
  </si>
  <si>
    <t>madirā</t>
  </si>
  <si>
    <t>मैत्री</t>
  </si>
  <si>
    <t>maitrī</t>
  </si>
  <si>
    <t>हारिणी</t>
  </si>
  <si>
    <t>hāriṇī</t>
  </si>
  <si>
    <t>हरिणी</t>
  </si>
  <si>
    <t>hariṇī</t>
  </si>
  <si>
    <t>मरुत्</t>
  </si>
  <si>
    <t>धनञ्जया</t>
  </si>
  <si>
    <t>dhanañjayā</t>
  </si>
  <si>
    <t>धनकरी</t>
  </si>
  <si>
    <t>dhanakarī</t>
  </si>
  <si>
    <t>धनदा</t>
  </si>
  <si>
    <t>dhanadā</t>
  </si>
  <si>
    <t>कच्छपा</t>
  </si>
  <si>
    <t>kacchapā</t>
  </si>
  <si>
    <t>अंबुजा</t>
  </si>
  <si>
    <t>aṁbujā</t>
  </si>
  <si>
    <t>मांशानी</t>
  </si>
  <si>
    <t>māṁśānī</t>
  </si>
  <si>
    <t>शूलिनी</t>
  </si>
  <si>
    <t>śūlinī</t>
  </si>
  <si>
    <t>शिवकरी</t>
  </si>
  <si>
    <t>śivakarī</t>
  </si>
  <si>
    <t>कला</t>
  </si>
  <si>
    <t>kalā</t>
  </si>
  <si>
    <t>कुन्दा</t>
  </si>
  <si>
    <t>kundā</t>
  </si>
  <si>
    <t>मुकुन्दा</t>
  </si>
  <si>
    <t>mukundā</t>
  </si>
  <si>
    <t>भरता</t>
  </si>
  <si>
    <t>bharatā</t>
  </si>
  <si>
    <t>हसिता</t>
  </si>
  <si>
    <t>hasitā</t>
  </si>
  <si>
    <t>कदली</t>
  </si>
  <si>
    <t>kadalī</t>
  </si>
  <si>
    <t>स्मरा</t>
  </si>
  <si>
    <t>smarā</t>
  </si>
  <si>
    <t>कन्दला</t>
  </si>
  <si>
    <t>kandalā</t>
  </si>
  <si>
    <t>पापा</t>
  </si>
  <si>
    <t>pāpā</t>
  </si>
  <si>
    <t>कामिनी</t>
  </si>
  <si>
    <t>kāminī</t>
  </si>
  <si>
    <t>कलशोद्भवा</t>
  </si>
  <si>
    <t>kalaśodbhavā</t>
  </si>
  <si>
    <t>वीरप्रसू</t>
  </si>
  <si>
    <t>vīraprasū</t>
  </si>
  <si>
    <r>
      <rPr>
        <sz val="11"/>
        <color rgb="FFFF0000"/>
        <rFont val="Arial"/>
        <family val="2"/>
        <charset val="1"/>
      </rPr>
      <t xml:space="preserve">सङ्गरा </t>
    </r>
    <r>
      <rPr>
        <sz val="11"/>
        <color rgb="FFFF0000"/>
        <rFont val="Calibri"/>
        <family val="2"/>
        <charset val="1"/>
      </rPr>
      <t xml:space="preserve">( </t>
    </r>
    <r>
      <rPr>
        <sz val="11"/>
        <color rgb="FFFF0000"/>
        <rFont val="Arial"/>
        <family val="2"/>
        <charset val="1"/>
      </rPr>
      <t xml:space="preserve">सङ्गदा </t>
    </r>
    <r>
      <rPr>
        <sz val="11"/>
        <color rgb="FFFF0000"/>
        <rFont val="Calibri"/>
        <family val="2"/>
        <charset val="1"/>
      </rPr>
      <t>)</t>
    </r>
  </si>
  <si>
    <t>saṅgarā ( saṅgadā )</t>
  </si>
  <si>
    <t>शतयज्ञा</t>
  </si>
  <si>
    <t>śatayajñā</t>
  </si>
  <si>
    <t>शतावरी</t>
  </si>
  <si>
    <t>śatāvarī</t>
  </si>
  <si>
    <t>प्रह्वी</t>
  </si>
  <si>
    <t>prahvī</t>
  </si>
  <si>
    <t>पाटलिनी</t>
  </si>
  <si>
    <t>pāṭalinī</t>
  </si>
  <si>
    <t>नागा</t>
  </si>
  <si>
    <t>nāgā</t>
  </si>
  <si>
    <t>पंकजा</t>
  </si>
  <si>
    <t>paṁkajā</t>
  </si>
  <si>
    <t>परमेश्वरी</t>
  </si>
  <si>
    <t>parameśvarī</t>
  </si>
  <si>
    <t>Räsi</t>
  </si>
  <si>
    <t xml:space="preserve">Moon </t>
  </si>
  <si>
    <t>Day</t>
  </si>
  <si>
    <t>Näksatra</t>
  </si>
  <si>
    <t>Col.  1</t>
  </si>
  <si>
    <t>3A</t>
  </si>
  <si>
    <t>Lagna-1
Same Sex</t>
  </si>
  <si>
    <t>Lagna-2
Opposite sex</t>
  </si>
  <si>
    <t>Nanda</t>
  </si>
  <si>
    <t>Sasti</t>
  </si>
  <si>
    <t>Maghä</t>
  </si>
  <si>
    <t>Pürna</t>
  </si>
  <si>
    <t>Caturthi</t>
  </si>
  <si>
    <t>Hastä</t>
  </si>
  <si>
    <t>Bhadra</t>
  </si>
  <si>
    <t>Swäti</t>
  </si>
  <si>
    <t>Anurädhä</t>
  </si>
  <si>
    <t>Jaya</t>
  </si>
  <si>
    <t>Mülä</t>
  </si>
  <si>
    <t>Astami</t>
  </si>
  <si>
    <t>Srävana</t>
  </si>
  <si>
    <t>Sagittarius</t>
  </si>
  <si>
    <t>RIkta</t>
  </si>
  <si>
    <t>Dvädasi</t>
  </si>
  <si>
    <t>Satabhisäj</t>
  </si>
  <si>
    <t>Dvijä(bharaṇī)</t>
  </si>
  <si>
    <t>Aslesa</t>
  </si>
  <si>
    <t>रशि</t>
  </si>
  <si>
    <t>मेश</t>
  </si>
  <si>
    <t>वृशभ</t>
  </si>
  <si>
    <t>मिथुन</t>
  </si>
  <si>
    <t>कर्क</t>
  </si>
  <si>
    <t>सिम्ह</t>
  </si>
  <si>
    <t>कन्य</t>
  </si>
  <si>
    <t>तुला</t>
  </si>
  <si>
    <t>वृश्चिक</t>
  </si>
  <si>
    <t>धनु</t>
  </si>
  <si>
    <t>मकर</t>
  </si>
  <si>
    <t>कुम्भ</t>
  </si>
  <si>
    <t>मीन</t>
  </si>
  <si>
    <t>raśi</t>
  </si>
  <si>
    <t>meśa</t>
  </si>
  <si>
    <t>vṛśabha</t>
  </si>
  <si>
    <t>mithuna</t>
  </si>
  <si>
    <t>karka</t>
  </si>
  <si>
    <t>simha</t>
  </si>
  <si>
    <t>kanya</t>
  </si>
  <si>
    <t>tulā</t>
  </si>
  <si>
    <t>vṛścika</t>
  </si>
  <si>
    <t>dhanu</t>
  </si>
  <si>
    <t>makara</t>
  </si>
  <si>
    <t>kumbha</t>
  </si>
  <si>
    <t>meena</t>
  </si>
  <si>
    <r>
      <rPr>
        <sz val="11"/>
        <color rgb="FF000000"/>
        <rFont val="Lohit Devanagari"/>
        <family val="2"/>
        <charset val="1"/>
      </rPr>
      <t>घात</t>
    </r>
    <r>
      <rPr>
        <sz val="11"/>
        <color rgb="FF000000"/>
        <rFont val="Calibri"/>
        <family val="2"/>
        <charset val="1"/>
      </rPr>
      <t>-</t>
    </r>
    <r>
      <rPr>
        <sz val="11"/>
        <color rgb="FF000000"/>
        <rFont val="Lohit Devanagari"/>
        <family val="2"/>
        <charset val="1"/>
      </rPr>
      <t>मास</t>
    </r>
  </si>
  <si>
    <t>कर्थिक</t>
  </si>
  <si>
    <t>मगसर</t>
  </si>
  <si>
    <t>आषाढ</t>
  </si>
  <si>
    <t>पौष</t>
  </si>
  <si>
    <t>ज्येष्ठ</t>
  </si>
  <si>
    <t>भाद्र</t>
  </si>
  <si>
    <t>माघ</t>
  </si>
  <si>
    <t>आश्विन</t>
  </si>
  <si>
    <t>श्रावण</t>
  </si>
  <si>
    <t>वैशाख</t>
  </si>
  <si>
    <t>चैत्र</t>
  </si>
  <si>
    <t>फाल्गुन</t>
  </si>
  <si>
    <t>ghāta-māsa</t>
  </si>
  <si>
    <t>karthika</t>
  </si>
  <si>
    <t>magasara</t>
  </si>
  <si>
    <t>āṣāḍha</t>
  </si>
  <si>
    <t>pauṣa</t>
  </si>
  <si>
    <t>jyeṣṭha</t>
  </si>
  <si>
    <t>bhādra</t>
  </si>
  <si>
    <t>māgha</t>
  </si>
  <si>
    <t>āśvina</t>
  </si>
  <si>
    <t>śrāvaṇa</t>
  </si>
  <si>
    <t>vaiśākha</t>
  </si>
  <si>
    <t>caitra</t>
  </si>
  <si>
    <t>phālguna</t>
  </si>
  <si>
    <r>
      <rPr>
        <sz val="11"/>
        <color rgb="FF000000"/>
        <rFont val="Lohit Devanagari"/>
        <family val="2"/>
        <charset val="1"/>
      </rPr>
      <t>घात</t>
    </r>
    <r>
      <rPr>
        <sz val="11"/>
        <color rgb="FF000000"/>
        <rFont val="Calibri"/>
        <family val="2"/>
        <charset val="1"/>
      </rPr>
      <t>-</t>
    </r>
    <r>
      <rPr>
        <sz val="11"/>
        <color rgb="FF000000"/>
        <rFont val="Lohit Devanagari"/>
        <family val="2"/>
        <charset val="1"/>
      </rPr>
      <t>तिथि</t>
    </r>
  </si>
  <si>
    <t>ghāta-tithi</t>
  </si>
  <si>
    <t>Purna</t>
  </si>
  <si>
    <t>Rikta</t>
  </si>
  <si>
    <r>
      <rPr>
        <sz val="11"/>
        <color rgb="FF000000"/>
        <rFont val="Lohit Devanagari"/>
        <family val="2"/>
        <charset val="1"/>
      </rPr>
      <t>घात</t>
    </r>
    <r>
      <rPr>
        <sz val="11"/>
        <color rgb="FF000000"/>
        <rFont val="Calibri"/>
        <family val="2"/>
        <charset val="1"/>
      </rPr>
      <t>-</t>
    </r>
    <r>
      <rPr>
        <sz val="11"/>
        <color rgb="FF000000"/>
        <rFont val="Lohit Devanagari"/>
        <family val="2"/>
        <charset val="1"/>
      </rPr>
      <t>वार</t>
    </r>
  </si>
  <si>
    <t>रविवार</t>
  </si>
  <si>
    <t>शनिवार</t>
  </si>
  <si>
    <t>सोमवार</t>
  </si>
  <si>
    <t>बुधवार</t>
  </si>
  <si>
    <t>गुरुवार</t>
  </si>
  <si>
    <t>शुक्रवार</t>
  </si>
  <si>
    <t>मंगलवार</t>
  </si>
  <si>
    <t>ghāta-vāra</t>
  </si>
  <si>
    <t>ravivāra</t>
  </si>
  <si>
    <t>śanivāra</t>
  </si>
  <si>
    <t>somavāra</t>
  </si>
  <si>
    <t>budhavāra</t>
  </si>
  <si>
    <t>guruvāra</t>
  </si>
  <si>
    <t>śukravāra</t>
  </si>
  <si>
    <t>maṁgalavāra</t>
  </si>
  <si>
    <r>
      <rPr>
        <sz val="11"/>
        <color rgb="FF000000"/>
        <rFont val="Lohit Devanagari"/>
        <family val="2"/>
        <charset val="1"/>
      </rPr>
      <t>घात</t>
    </r>
    <r>
      <rPr>
        <sz val="11"/>
        <color rgb="FF000000"/>
        <rFont val="Calibri"/>
        <family val="2"/>
        <charset val="1"/>
      </rPr>
      <t>-</t>
    </r>
    <r>
      <rPr>
        <sz val="11"/>
        <color rgb="FF000000"/>
        <rFont val="Lohit Devanagari"/>
        <family val="2"/>
        <charset val="1"/>
      </rPr>
      <t>नक्षत्र</t>
    </r>
  </si>
  <si>
    <t>मघा</t>
  </si>
  <si>
    <t>हस्त</t>
  </si>
  <si>
    <t>स्वाति</t>
  </si>
  <si>
    <t>अनुराधा</t>
  </si>
  <si>
    <t>मूल</t>
  </si>
  <si>
    <t>श्रवण</t>
  </si>
  <si>
    <t>शतभिषा</t>
  </si>
  <si>
    <t>रेवती</t>
  </si>
  <si>
    <t>भरणी</t>
  </si>
  <si>
    <t>रोहिणी</t>
  </si>
  <si>
    <t>आर्द्रा</t>
  </si>
  <si>
    <t>अश्लेषा</t>
  </si>
  <si>
    <t>ghāta-nakṣatra</t>
  </si>
  <si>
    <t>maghā</t>
  </si>
  <si>
    <t>hasta</t>
  </si>
  <si>
    <t>svāti</t>
  </si>
  <si>
    <t>anurādhā</t>
  </si>
  <si>
    <t>mūla</t>
  </si>
  <si>
    <t>śravaṇa</t>
  </si>
  <si>
    <t>śatabhiṣā</t>
  </si>
  <si>
    <t>revatī</t>
  </si>
  <si>
    <t>bharaṇī</t>
  </si>
  <si>
    <t>rohiṇī</t>
  </si>
  <si>
    <t>ārdrā</t>
  </si>
  <si>
    <t>aśleṣā</t>
  </si>
  <si>
    <r>
      <rPr>
        <sz val="11"/>
        <color rgb="FF000000"/>
        <rFont val="Lohit Devanagari"/>
        <family val="2"/>
        <charset val="1"/>
      </rPr>
      <t>घात</t>
    </r>
    <r>
      <rPr>
        <sz val="11"/>
        <color rgb="FF000000"/>
        <rFont val="Calibri"/>
        <family val="2"/>
        <charset val="1"/>
      </rPr>
      <t>-</t>
    </r>
    <r>
      <rPr>
        <sz val="11"/>
        <color rgb="FF000000"/>
        <rFont val="Lohit Devanagari"/>
        <family val="2"/>
        <charset val="1"/>
      </rPr>
      <t>योग</t>
    </r>
  </si>
  <si>
    <t>विष्कुंभ</t>
  </si>
  <si>
    <t>शुक्ल</t>
  </si>
  <si>
    <t>परिघ</t>
  </si>
  <si>
    <t>व्याघात</t>
  </si>
  <si>
    <t>धृति</t>
  </si>
  <si>
    <t>व्यतीपात</t>
  </si>
  <si>
    <t>वज्र</t>
  </si>
  <si>
    <t>वैधृति</t>
  </si>
  <si>
    <t>गंड</t>
  </si>
  <si>
    <t>ghāta-yoga</t>
  </si>
  <si>
    <t>viṣkuṁbha</t>
  </si>
  <si>
    <t>śukla</t>
  </si>
  <si>
    <t>parigha</t>
  </si>
  <si>
    <t>vyāghāta</t>
  </si>
  <si>
    <t>dhṛti</t>
  </si>
  <si>
    <t>vyatīpāta</t>
  </si>
  <si>
    <t>vajra</t>
  </si>
  <si>
    <t>vaidhṛti</t>
  </si>
  <si>
    <t>gaṁḍa</t>
  </si>
  <si>
    <r>
      <rPr>
        <sz val="11"/>
        <color rgb="FF000000"/>
        <rFont val="Lohit Devanagari"/>
        <family val="2"/>
        <charset val="1"/>
      </rPr>
      <t>घात</t>
    </r>
    <r>
      <rPr>
        <sz val="11"/>
        <color rgb="FF000000"/>
        <rFont val="Calibri"/>
        <family val="2"/>
        <charset val="1"/>
      </rPr>
      <t>-</t>
    </r>
    <r>
      <rPr>
        <sz val="11"/>
        <color rgb="FF000000"/>
        <rFont val="Lohit Devanagari"/>
        <family val="2"/>
        <charset val="1"/>
      </rPr>
      <t>करण</t>
    </r>
  </si>
  <si>
    <t>शकुनि</t>
  </si>
  <si>
    <t>नाग</t>
  </si>
  <si>
    <t>गर</t>
  </si>
  <si>
    <t>चतुष्पाद</t>
  </si>
  <si>
    <t>ghāta-karaṇa</t>
  </si>
  <si>
    <t>śakuni</t>
  </si>
  <si>
    <t>nāga</t>
  </si>
  <si>
    <t>gara</t>
  </si>
  <si>
    <t>catuṣpāda</t>
  </si>
  <si>
    <t>प्रहर</t>
  </si>
  <si>
    <t>prahara</t>
  </si>
  <si>
    <r>
      <rPr>
        <sz val="11"/>
        <color rgb="FF000000"/>
        <rFont val="Lohit Devanagari"/>
        <family val="2"/>
        <charset val="1"/>
      </rPr>
      <t>पुरुश</t>
    </r>
    <r>
      <rPr>
        <sz val="11"/>
        <color rgb="FF000000"/>
        <rFont val="Calibri"/>
        <family val="2"/>
        <charset val="1"/>
      </rPr>
      <t>-</t>
    </r>
    <r>
      <rPr>
        <sz val="11"/>
        <color rgb="FF000000"/>
        <rFont val="Lohit Devanagari"/>
        <family val="2"/>
        <charset val="1"/>
      </rPr>
      <t>घात</t>
    </r>
    <r>
      <rPr>
        <sz val="11"/>
        <color rgb="FF000000"/>
        <rFont val="Calibri"/>
        <family val="2"/>
        <charset val="1"/>
      </rPr>
      <t>-</t>
    </r>
    <r>
      <rPr>
        <sz val="11"/>
        <color rgb="FF000000"/>
        <rFont val="Lohit Devanagari"/>
        <family val="2"/>
        <charset val="1"/>
      </rPr>
      <t>चन्द्र</t>
    </r>
  </si>
  <si>
    <t>मेष</t>
  </si>
  <si>
    <t>कन्या</t>
  </si>
  <si>
    <t>सिंह</t>
  </si>
  <si>
    <t>वृषभ</t>
  </si>
  <si>
    <t>कुंभ</t>
  </si>
  <si>
    <t>puruśa-ghāta-candra</t>
  </si>
  <si>
    <t>meṣa</t>
  </si>
  <si>
    <t>kanyā</t>
  </si>
  <si>
    <t>siṁha</t>
  </si>
  <si>
    <t>vṛṣabha</t>
  </si>
  <si>
    <t>kuṁbha</t>
  </si>
  <si>
    <r>
      <rPr>
        <sz val="11"/>
        <color rgb="FF000000"/>
        <rFont val="Lohit Devanagari"/>
        <family val="2"/>
        <charset val="1"/>
      </rPr>
      <t>स्त्री</t>
    </r>
    <r>
      <rPr>
        <sz val="11"/>
        <color rgb="FF000000"/>
        <rFont val="Calibri"/>
        <family val="2"/>
        <charset val="1"/>
      </rPr>
      <t>-</t>
    </r>
    <r>
      <rPr>
        <sz val="11"/>
        <color rgb="FF000000"/>
        <rFont val="Lohit Devanagari"/>
        <family val="2"/>
        <charset val="1"/>
      </rPr>
      <t>घात</t>
    </r>
    <r>
      <rPr>
        <sz val="11"/>
        <color rgb="FF000000"/>
        <rFont val="Calibri"/>
        <family val="2"/>
        <charset val="1"/>
      </rPr>
      <t>-</t>
    </r>
    <r>
      <rPr>
        <sz val="11"/>
        <color rgb="FF000000"/>
        <rFont val="Lohit Devanagari"/>
        <family val="2"/>
        <charset val="1"/>
      </rPr>
      <t>चन्द्र</t>
    </r>
  </si>
  <si>
    <t>strī-ghāta-candra</t>
  </si>
  <si>
    <t>Ruling
Planet</t>
  </si>
  <si>
    <t>Simple</t>
  </si>
  <si>
    <t>Syllable</t>
  </si>
  <si>
    <t>Mystical Meaning</t>
  </si>
  <si>
    <t>SUN</t>
  </si>
  <si>
    <t>Vowels</t>
  </si>
  <si>
    <t>Guttural Short</t>
  </si>
  <si>
    <t>अ a</t>
  </si>
  <si>
    <r>
      <rPr>
        <i/>
        <sz val="8"/>
        <rFont val="Verdana"/>
        <family val="2"/>
        <charset val="1"/>
      </rPr>
      <t>Raksha</t>
    </r>
    <r>
      <rPr>
        <sz val="8"/>
        <rFont val="Verdana"/>
        <family val="2"/>
        <charset val="1"/>
      </rPr>
      <t xml:space="preserve"> Beeja for protection; Imperishable; unity of mind and soul; Symbolizes Omniscient Brahma. Initiator of Pranava (AUM)</t>
    </r>
  </si>
  <si>
    <t>Guttural Long</t>
  </si>
  <si>
    <t>आ ā</t>
  </si>
  <si>
    <r>
      <rPr>
        <sz val="8"/>
        <rFont val="Verdana"/>
        <family val="2"/>
        <charset val="1"/>
      </rPr>
      <t xml:space="preserve">Supreme power, brilliance, creator of </t>
    </r>
    <r>
      <rPr>
        <i/>
        <sz val="8"/>
        <rFont val="Verdana"/>
        <family val="2"/>
        <charset val="1"/>
      </rPr>
      <t>Vagdevi</t>
    </r>
    <r>
      <rPr>
        <sz val="8"/>
        <rFont val="Verdana"/>
        <family val="2"/>
        <charset val="1"/>
      </rPr>
      <t xml:space="preserve"> Beeja (enhances speech).</t>
    </r>
  </si>
  <si>
    <t>Palatal Short</t>
  </si>
  <si>
    <t>इ i</t>
  </si>
  <si>
    <r>
      <rPr>
        <sz val="8"/>
        <rFont val="Verdana"/>
        <family val="2"/>
        <charset val="1"/>
      </rPr>
      <t xml:space="preserve">Bestows Nectar; imparts knowledge; </t>
    </r>
    <r>
      <rPr>
        <i/>
        <sz val="8"/>
        <rFont val="Verdana"/>
        <family val="2"/>
        <charset val="1"/>
      </rPr>
      <t>Sthambhak</t>
    </r>
    <r>
      <rPr>
        <sz val="8"/>
        <rFont val="Verdana"/>
        <family val="2"/>
        <charset val="1"/>
      </rPr>
      <t xml:space="preserve"> (arresting evils); infatuating, Armed for eradicating black magic etc. </t>
    </r>
  </si>
  <si>
    <t>Palatal Long</t>
  </si>
  <si>
    <t>ई ī</t>
  </si>
  <si>
    <t>Labial Short</t>
  </si>
  <si>
    <t>उ u</t>
  </si>
  <si>
    <r>
      <rPr>
        <sz val="8"/>
        <rFont val="Verdana"/>
        <family val="2"/>
        <charset val="1"/>
      </rPr>
      <t xml:space="preserve">The seed of </t>
    </r>
    <r>
      <rPr>
        <i/>
        <sz val="8"/>
        <rFont val="Verdana"/>
        <family val="2"/>
        <charset val="1"/>
      </rPr>
      <t xml:space="preserve">Uccahatan </t>
    </r>
    <r>
      <rPr>
        <sz val="8"/>
        <rFont val="Verdana"/>
        <family val="2"/>
        <charset val="1"/>
      </rPr>
      <t>(infatuation) bestows supreme power to attain any desire. Symbolizes Omnipresent Viñëu and the middle of the Pranava.</t>
    </r>
  </si>
  <si>
    <t>Labial Long</t>
  </si>
  <si>
    <t>ऊ ū</t>
  </si>
  <si>
    <t xml:space="preserve">Retroflex Short </t>
  </si>
  <si>
    <t>ऋ ṛ</t>
  </si>
  <si>
    <t>Bestows Mantra Siddhi as it refers to the Seer or Rishi, Success in all good and righteous works.</t>
  </si>
  <si>
    <t>Retroflex Long</t>
  </si>
  <si>
    <t>ॠ ṝ</t>
  </si>
  <si>
    <t>Dental Short</t>
  </si>
  <si>
    <t>ऌ ḷ</t>
  </si>
  <si>
    <t>Preaches truth, inventor of speech, cause for the origin of Lakshmi Beeja; responsible for salvation.</t>
  </si>
  <si>
    <t>Dental Long</t>
  </si>
  <si>
    <t>ॡ ḹ</t>
  </si>
  <si>
    <t>Diphthongs</t>
  </si>
  <si>
    <t>ए e</t>
  </si>
  <si>
    <t>Saraswati Beeja; The origin of Jala Beeja (Seed of water); Giver of Vidya (Knowledge) &amp; Siddhi (Success in good actions); Ends enmity and court cases i.e. establishes justice</t>
  </si>
  <si>
    <t>ऐ ai</t>
  </si>
  <si>
    <t>ओ o</t>
  </si>
  <si>
    <t>Sublime, Worships Viñëu &amp; Lakshmi; youthful; Used for other Beeja with specific objective attainment.</t>
  </si>
  <si>
    <t>औ au</t>
  </si>
  <si>
    <r>
      <rPr>
        <sz val="8"/>
        <rFont val="Verdana"/>
        <family val="2"/>
        <charset val="1"/>
      </rPr>
      <t xml:space="preserve">Powerful </t>
    </r>
    <r>
      <rPr>
        <i/>
        <sz val="8"/>
        <rFont val="Verdana"/>
        <family val="2"/>
        <charset val="1"/>
      </rPr>
      <t>Maran</t>
    </r>
    <r>
      <rPr>
        <sz val="8"/>
        <rFont val="Verdana"/>
        <family val="2"/>
        <charset val="1"/>
      </rPr>
      <t xml:space="preserve"> (destructions) and </t>
    </r>
    <r>
      <rPr>
        <i/>
        <sz val="8"/>
        <rFont val="Verdana"/>
        <family val="2"/>
        <charset val="1"/>
      </rPr>
      <t>Ucchhatan</t>
    </r>
    <r>
      <rPr>
        <sz val="8"/>
        <rFont val="Verdana"/>
        <family val="2"/>
        <charset val="1"/>
      </rPr>
      <t xml:space="preserve"> (infatuation) Beeja, bestows of auspicious results quickly;</t>
    </r>
  </si>
  <si>
    <t>Consonants</t>
  </si>
  <si>
    <t>Anuswara</t>
  </si>
  <si>
    <t>अं aṁ</t>
  </si>
  <si>
    <t>Bestows faith-the natural Guru Mantra; creates peace, knowledge and represents Godhead.</t>
  </si>
  <si>
    <t>Visarga</t>
  </si>
  <si>
    <t>अः aḥ</t>
  </si>
  <si>
    <t xml:space="preserve">Shanti Beeja, Grants boons </t>
  </si>
  <si>
    <t>MARS</t>
  </si>
  <si>
    <t>Guttural Consonants</t>
  </si>
  <si>
    <t>Unvoiced</t>
  </si>
  <si>
    <t>क ka</t>
  </si>
  <si>
    <r>
      <rPr>
        <sz val="8"/>
        <rFont val="Verdana"/>
        <family val="2"/>
        <charset val="1"/>
      </rPr>
      <t xml:space="preserve">Brahma Akshara; grants fame &amp; unparalleled knowledge; Fulfiller of all desires as </t>
    </r>
    <r>
      <rPr>
        <i/>
        <sz val="8"/>
        <rFont val="Verdana"/>
        <family val="2"/>
        <charset val="1"/>
      </rPr>
      <t>Kama</t>
    </r>
    <r>
      <rPr>
        <sz val="8"/>
        <rFont val="Verdana"/>
        <family val="2"/>
        <charset val="1"/>
      </rPr>
      <t xml:space="preserve"> or Krishna Beeja (</t>
    </r>
    <r>
      <rPr>
        <i/>
        <sz val="8"/>
        <rFont val="Verdana"/>
        <family val="2"/>
        <charset val="1"/>
      </rPr>
      <t>Kleem</t>
    </r>
    <r>
      <rPr>
        <sz val="8"/>
        <rFont val="Verdana"/>
        <family val="2"/>
        <charset val="1"/>
      </rPr>
      <t>).</t>
    </r>
  </si>
  <si>
    <t>Unvoiced aspirate</t>
  </si>
  <si>
    <t xml:space="preserve">ख kha </t>
  </si>
  <si>
    <t>Aakasha Beeja; Gives success &amp; mastery of Tantra; considered akin to Kalp Vriksha i.e. the wish fulfilling tree.</t>
  </si>
  <si>
    <t>Voiced</t>
  </si>
  <si>
    <t xml:space="preserve">ग ga </t>
  </si>
  <si>
    <t>Works towards Pranava and Maya Beeja and is the Ganesha Beeja.</t>
  </si>
  <si>
    <t>Voiced aspirate</t>
  </si>
  <si>
    <t>घ gha</t>
  </si>
  <si>
    <r>
      <rPr>
        <i/>
        <sz val="8"/>
        <rFont val="Verdana"/>
        <family val="2"/>
        <charset val="1"/>
      </rPr>
      <t>Sthamban</t>
    </r>
    <r>
      <rPr>
        <sz val="8"/>
        <rFont val="Verdana"/>
        <family val="2"/>
        <charset val="1"/>
      </rPr>
      <t xml:space="preserve"> Beeja; remover of impediments, creator of Mohan Beeja.</t>
    </r>
  </si>
  <si>
    <t>Nasal</t>
  </si>
  <si>
    <t>ङ ṅa</t>
  </si>
  <si>
    <r>
      <rPr>
        <sz val="8"/>
        <rFont val="Verdana"/>
        <family val="2"/>
        <charset val="1"/>
      </rPr>
      <t xml:space="preserve">Destroyer of enemies. Creator of </t>
    </r>
    <r>
      <rPr>
        <i/>
        <sz val="8"/>
        <rFont val="Verdana"/>
        <family val="2"/>
        <charset val="1"/>
      </rPr>
      <t>Vidveshan</t>
    </r>
    <r>
      <rPr>
        <sz val="8"/>
        <rFont val="Verdana"/>
        <family val="2"/>
        <charset val="1"/>
      </rPr>
      <t xml:space="preserve"> (Causing differences) Beeja. Used for worshipping Narada.</t>
    </r>
  </si>
  <si>
    <t>VENUS</t>
  </si>
  <si>
    <t>Palatal Consonants</t>
  </si>
  <si>
    <t>च ca</t>
  </si>
  <si>
    <t>Manasa Siddhi; Creator of Uccahhatan Beeja,</t>
  </si>
  <si>
    <t>छ cha</t>
  </si>
  <si>
    <r>
      <rPr>
        <sz val="8"/>
        <rFont val="Verdana"/>
        <family val="2"/>
        <charset val="1"/>
      </rPr>
      <t xml:space="preserve">Creator of Aap Beeja, cause of death, </t>
    </r>
    <r>
      <rPr>
        <i/>
        <sz val="8"/>
        <rFont val="Verdana"/>
        <family val="2"/>
        <charset val="1"/>
      </rPr>
      <t>Chhaya</t>
    </r>
    <r>
      <rPr>
        <sz val="8"/>
        <rFont val="Verdana"/>
        <family val="2"/>
        <charset val="1"/>
      </rPr>
      <t xml:space="preserve"> the shadowy wife of the Sun God.</t>
    </r>
  </si>
  <si>
    <t>ज ja</t>
  </si>
  <si>
    <t>Invokes inner protection; destroyer of mental and physical sufferings, Mritunjaya Beeja (Jum).</t>
  </si>
  <si>
    <t>झ jha</t>
  </si>
  <si>
    <t xml:space="preserve">Instantly removes black magic and evils. </t>
  </si>
  <si>
    <t>ञ ña</t>
  </si>
  <si>
    <t>Used in Infatuation</t>
  </si>
  <si>
    <t>MERCURY</t>
  </si>
  <si>
    <t>Retroflex Consonants</t>
  </si>
  <si>
    <t>ट ṭa</t>
  </si>
  <si>
    <r>
      <rPr>
        <sz val="8"/>
        <rFont val="Verdana"/>
        <family val="2"/>
        <charset val="1"/>
      </rPr>
      <t xml:space="preserve">Bahri Beeja, </t>
    </r>
    <r>
      <rPr>
        <i/>
        <sz val="8"/>
        <rFont val="Verdana"/>
        <family val="2"/>
        <charset val="1"/>
      </rPr>
      <t>Beeja</t>
    </r>
    <r>
      <rPr>
        <sz val="8"/>
        <rFont val="Verdana"/>
        <family val="2"/>
        <charset val="1"/>
      </rPr>
      <t xml:space="preserve"> for fire sacrifice. Used in Ucchatan Tantra for Hanuman.</t>
    </r>
  </si>
  <si>
    <t>ठ ṭha</t>
  </si>
  <si>
    <t xml:space="preserve">Used in Dhoomavati Beeja, doer of cruel and evil deeds; violent, </t>
  </si>
  <si>
    <t>ड ḍa</t>
  </si>
  <si>
    <t>Judicious &amp; auspicious</t>
  </si>
  <si>
    <t>ढ ḍha</t>
  </si>
  <si>
    <t>Maran Beeja, creates disturbances.</t>
  </si>
  <si>
    <t>ण ṇa</t>
  </si>
  <si>
    <t>Bestows peace &amp; all Siddhi’s.</t>
  </si>
  <si>
    <t>JUPITER</t>
  </si>
  <si>
    <t>Dental Consonants</t>
  </si>
  <si>
    <t>त ta</t>
  </si>
  <si>
    <t>Attractive, innovator of power, accomplisher of things capable of achieving Sarva Siddhi in combination with Saraswatha Beeja.</t>
  </si>
  <si>
    <t>थ tha</t>
  </si>
  <si>
    <t>Accomplisher of good task, friend of Lakshmi Beeja capable of infatuation in combination with other Beeja.</t>
  </si>
  <si>
    <t>द da</t>
  </si>
  <si>
    <r>
      <rPr>
        <sz val="8"/>
        <rFont val="Verdana"/>
        <family val="2"/>
        <charset val="1"/>
      </rPr>
      <t>Destroys Karma Yoga and self control</t>
    </r>
    <r>
      <rPr>
        <sz val="8"/>
        <rFont val="URW Palladio IT"/>
        <charset val="1"/>
      </rPr>
      <t xml:space="preserve"> The three important lessons of Brahma for the three types of Nakshatra based on which the planets get their </t>
    </r>
    <r>
      <rPr>
        <i/>
        <sz val="8"/>
        <rFont val="URW Palladio IT"/>
        <charset val="1"/>
      </rPr>
      <t>Gana</t>
    </r>
    <r>
      <rPr>
        <sz val="8"/>
        <rFont val="URW Palladio IT"/>
        <charset val="1"/>
      </rPr>
      <t xml:space="preserve"> (i.e. Deva, Nara and Rakshas Gana) are with DA Akshara as </t>
    </r>
    <r>
      <rPr>
        <b/>
        <sz val="8"/>
        <rFont val="URW Palladio IT"/>
        <charset val="1"/>
      </rPr>
      <t>Damaya</t>
    </r>
    <r>
      <rPr>
        <sz val="8"/>
        <rFont val="URW Palladio IT"/>
        <charset val="1"/>
      </rPr>
      <t xml:space="preserve"> (Self Control as the Deva Gana are always enjoying in gay abandon) </t>
    </r>
    <r>
      <rPr>
        <b/>
        <sz val="8"/>
        <rFont val="URW Palladio IT"/>
        <charset val="1"/>
      </rPr>
      <t>Daana</t>
    </r>
    <r>
      <rPr>
        <sz val="8"/>
        <rFont val="URW Palladio IT"/>
        <charset val="1"/>
      </rPr>
      <t xml:space="preserve"> (Donate/ Give as </t>
    </r>
    <r>
      <rPr>
        <i/>
        <sz val="8"/>
        <rFont val="URW Palladio IT"/>
        <charset val="1"/>
      </rPr>
      <t>Manusya or Nara Gana</t>
    </r>
    <r>
      <rPr>
        <sz val="8"/>
        <rFont val="URW Palladio IT"/>
        <charset val="1"/>
      </rPr>
      <t xml:space="preserve"> are Greedy) and </t>
    </r>
    <r>
      <rPr>
        <b/>
        <sz val="8"/>
        <rFont val="URW Palladio IT"/>
        <charset val="1"/>
      </rPr>
      <t>Daya</t>
    </r>
    <r>
      <rPr>
        <sz val="8"/>
        <rFont val="URW Palladio IT"/>
        <charset val="1"/>
      </rPr>
      <t xml:space="preserve"> (Be Merciful as the Rakshas Gana are cruel by nature).</t>
    </r>
    <r>
      <rPr>
        <sz val="8"/>
        <rFont val="Verdana"/>
        <family val="2"/>
        <charset val="1"/>
      </rPr>
      <t xml:space="preserve">, </t>
    </r>
    <r>
      <rPr>
        <i/>
        <sz val="8"/>
        <rFont val="Verdana"/>
        <family val="2"/>
        <charset val="1"/>
      </rPr>
      <t>Sukra</t>
    </r>
    <r>
      <rPr>
        <sz val="8"/>
        <rFont val="Verdana"/>
        <family val="2"/>
        <charset val="1"/>
      </rPr>
      <t xml:space="preserve"> (Desire) Beeja.</t>
    </r>
  </si>
  <si>
    <t>ध dha</t>
  </si>
  <si>
    <t>Helper of Shreem and Kleem Beeja; a friend indeed; producer of Maaya Beeja.</t>
  </si>
  <si>
    <t>न na</t>
  </si>
  <si>
    <t>Indicator of will – power, mind purifier, creator of five elements (Tathwas).</t>
  </si>
  <si>
    <t>SATURN</t>
  </si>
  <si>
    <t>Labial Consonants</t>
  </si>
  <si>
    <t>प pa</t>
  </si>
  <si>
    <t>A friend coming for the help of the mind to reach salvation.</t>
  </si>
  <si>
    <t>फ pha</t>
  </si>
  <si>
    <r>
      <rPr>
        <sz val="8"/>
        <rFont val="Verdana"/>
        <family val="2"/>
        <charset val="1"/>
      </rPr>
      <t xml:space="preserve">Kartaveeryarjuna Beeja; Agni Astra (Weapon of Fire); used in </t>
    </r>
    <r>
      <rPr>
        <i/>
        <sz val="8"/>
        <rFont val="Verdana"/>
        <family val="2"/>
        <charset val="1"/>
      </rPr>
      <t>Ucchatan</t>
    </r>
    <r>
      <rPr>
        <sz val="8"/>
        <rFont val="Verdana"/>
        <family val="2"/>
        <charset val="1"/>
      </rPr>
      <t xml:space="preserve"> as FHAT.</t>
    </r>
  </si>
  <si>
    <t>ब ba</t>
  </si>
  <si>
    <t>Helping to play according to the circumstances.</t>
  </si>
  <si>
    <t>भ bha</t>
  </si>
  <si>
    <r>
      <rPr>
        <sz val="8"/>
        <rFont val="Verdana"/>
        <family val="2"/>
        <charset val="1"/>
      </rPr>
      <t xml:space="preserve">Used for </t>
    </r>
    <r>
      <rPr>
        <i/>
        <sz val="8"/>
        <rFont val="Verdana"/>
        <family val="2"/>
        <charset val="1"/>
      </rPr>
      <t>Maran</t>
    </r>
    <r>
      <rPr>
        <sz val="8"/>
        <rFont val="Verdana"/>
        <family val="2"/>
        <charset val="1"/>
      </rPr>
      <t xml:space="preserve"> and </t>
    </r>
    <r>
      <rPr>
        <i/>
        <sz val="8"/>
        <rFont val="Verdana"/>
        <family val="2"/>
        <charset val="1"/>
      </rPr>
      <t>Ucchatan</t>
    </r>
    <r>
      <rPr>
        <sz val="8"/>
        <rFont val="Verdana"/>
        <family val="2"/>
        <charset val="1"/>
      </rPr>
      <t>.</t>
    </r>
  </si>
  <si>
    <t>म ma</t>
  </si>
  <si>
    <t xml:space="preserve">Natural Mother (Ma) used in the Mantras for begetting children. </t>
  </si>
  <si>
    <t>MOON</t>
  </si>
  <si>
    <t xml:space="preserve">Consonants Semivowel </t>
  </si>
  <si>
    <t>Palatal</t>
  </si>
  <si>
    <t>य ya</t>
  </si>
  <si>
    <t>Peace giver; Prostration; Vayu (Air) Beeja</t>
  </si>
  <si>
    <t>Retroflex</t>
  </si>
  <si>
    <t>र ra</t>
  </si>
  <si>
    <t>Vahni/Agni (fire) Beeja; Carries the mantra to the Gods and is used in most Beejakshara e.g. Hraam, Hreem, , Kreem etc. contain RA.</t>
  </si>
  <si>
    <t>Dental</t>
  </si>
  <si>
    <t>ल la</t>
  </si>
  <si>
    <r>
      <rPr>
        <sz val="8"/>
        <rFont val="Verdana"/>
        <family val="2"/>
        <charset val="1"/>
      </rPr>
      <t xml:space="preserve">Prithvi (Earth) Beeja; Lakshmi: Used for wealth &amp; prosperity. Causes </t>
    </r>
    <r>
      <rPr>
        <i/>
        <sz val="8"/>
        <rFont val="Verdana"/>
        <family val="2"/>
        <charset val="1"/>
      </rPr>
      <t>Agni sthambana</t>
    </r>
    <r>
      <rPr>
        <sz val="8"/>
        <rFont val="Verdana"/>
        <family val="2"/>
        <charset val="1"/>
      </rPr>
      <t xml:space="preserve"> (extinguishes the fire of RA Beeja and replaces it with the happy LA Beeja) and carries the prayers to the Gods e.g.  Hleem, Kleem etc.</t>
    </r>
  </si>
  <si>
    <t>Labial</t>
  </si>
  <si>
    <t>व va</t>
  </si>
  <si>
    <t>Jala (Water) Beeja.</t>
  </si>
  <si>
    <t>Consonants: Sibilants</t>
  </si>
  <si>
    <t>श śa</t>
  </si>
  <si>
    <t>Shanti (Peace) Beeja.</t>
  </si>
  <si>
    <t>ष ṣa</t>
  </si>
  <si>
    <t>Agni Stambhana (Fire extinguisher). Used in black magic etc.</t>
  </si>
  <si>
    <t>स sa</t>
  </si>
  <si>
    <t>Satya Karma Yoga. When used in Mantra, all works are accomplished.</t>
  </si>
  <si>
    <t>Consonants: Aspiration</t>
  </si>
  <si>
    <t>ह ha</t>
  </si>
  <si>
    <t>Gagana (Sky) or Akasha Beeja. It represents Çiva/Hanuman and can remove all evils.</t>
  </si>
  <si>
    <t>क्ष kṣa</t>
  </si>
  <si>
    <t>Poison Destroyer Garuda Beeja. Used with all mantra that destroy the evil connected with the Nivritti Direction ruled by Rakshas</t>
  </si>
  <si>
    <t>Tithi Lords</t>
  </si>
  <si>
    <t>KetuR</t>
  </si>
  <si>
    <t>VenusR</t>
  </si>
  <si>
    <t>SunR</t>
  </si>
  <si>
    <t>MoonR</t>
  </si>
  <si>
    <t>MarsR</t>
  </si>
  <si>
    <t>RahuR</t>
  </si>
  <si>
    <t>JupiterR</t>
  </si>
  <si>
    <t>SaturnR</t>
  </si>
  <si>
    <t>MercuryR</t>
  </si>
  <si>
    <t>Mandi Position</t>
  </si>
  <si>
    <t>Night</t>
  </si>
  <si>
    <t>Table 1.20 : Planetary Placement &amp; Friendship for Finance</t>
  </si>
  <si>
    <t>Exaltation/
Debilitation</t>
  </si>
  <si>
    <t>Own
Sign</t>
  </si>
  <si>
    <t>Friendly Sign</t>
  </si>
  <si>
    <t>Aries/Libra</t>
  </si>
  <si>
    <t>Taurus/
Scorpio</t>
  </si>
  <si>
    <t>Mercury &amp;
Jupiter</t>
  </si>
  <si>
    <t>Virgo, Gemini
Sagittarius, Pisces</t>
  </si>
  <si>
    <t>Capricorn/
Cancer</t>
  </si>
  <si>
    <t>Aries
Scorpio</t>
  </si>
  <si>
    <t>Mercury &amp;
Venus</t>
  </si>
  <si>
    <t>Virgo, Gemini
Taurus, Libra</t>
  </si>
  <si>
    <t>Virgo/
Pisces</t>
  </si>
  <si>
    <t>Gemini,
Virgo</t>
  </si>
  <si>
    <t>All planets
excluding Sun</t>
  </si>
  <si>
    <t>All signs except
Leo</t>
  </si>
  <si>
    <t xml:space="preserve">Jupiter </t>
  </si>
  <si>
    <t>Cancer/
Capricorn</t>
  </si>
  <si>
    <t>Sagittarius,
Pisces</t>
  </si>
  <si>
    <t>All planets
excluding
Mars</t>
  </si>
  <si>
    <t>All signs except
Aries &amp; Scorpio</t>
  </si>
  <si>
    <t xml:space="preserve">Venus </t>
  </si>
  <si>
    <t>Pisces/
Virgo</t>
  </si>
  <si>
    <t>Taurus,
Libra</t>
  </si>
  <si>
    <t>All planets
excluding
Sun &amp; Moon</t>
  </si>
  <si>
    <t>All signs except
Leo &amp; Cancer</t>
  </si>
  <si>
    <t>Libra/
Aries</t>
  </si>
  <si>
    <t>Capricorn,
Aquarius</t>
  </si>
  <si>
    <t>Mercury
Jupiter
Venus</t>
  </si>
  <si>
    <t>Taurus, Libra,
Gemini, Virgo,
Pisces, Sagittarius</t>
  </si>
  <si>
    <t>Gemini/
Sagittarius</t>
  </si>
  <si>
    <t>Venus, Saturn
Jupiter, Mercury</t>
  </si>
  <si>
    <t>Libra, Capricorn
Virgo, Gemini,
Pisces, Sagittarius</t>
  </si>
  <si>
    <t>Sun, Moon</t>
  </si>
  <si>
    <t>Leo, Cancer, Aries,</t>
  </si>
  <si>
    <t>Divisional Weightage/Varga Vishwa</t>
  </si>
  <si>
    <t>VargaVishwa</t>
  </si>
  <si>
    <t>Shadvarga Vimshopaka</t>
  </si>
  <si>
    <t>Saptavarga Vimshopaka</t>
  </si>
  <si>
    <t>DasaVarga Vimshopaka</t>
  </si>
  <si>
    <t>ShodasaVarga Vimshopaka</t>
  </si>
  <si>
    <t>Divisor</t>
  </si>
  <si>
    <t>House Equivalent</t>
  </si>
  <si>
    <t>6/7 Names</t>
  </si>
  <si>
    <t>10 Names</t>
  </si>
  <si>
    <t>16 Names</t>
  </si>
  <si>
    <t>kiṁśuka</t>
  </si>
  <si>
    <t>pārijātaṁ</t>
  </si>
  <si>
    <t>bhedakaṁ</t>
  </si>
  <si>
    <t>vyañjana</t>
  </si>
  <si>
    <t>uttama</t>
  </si>
  <si>
    <t>kusum</t>
  </si>
  <si>
    <t>cāmarā</t>
  </si>
  <si>
    <t>gopura</t>
  </si>
  <si>
    <t>nāgapuṣpaṁ</t>
  </si>
  <si>
    <t>chatraṁ</t>
  </si>
  <si>
    <t>siṁhāsanaṁ</t>
  </si>
  <si>
    <t>kandukā</t>
  </si>
  <si>
    <t>kuṇḍala</t>
  </si>
  <si>
    <t>pārāvataṁ</t>
  </si>
  <si>
    <t>keralā</t>
  </si>
  <si>
    <t>mukuṭā</t>
  </si>
  <si>
    <t>devalokaṁ</t>
  </si>
  <si>
    <t>kalpavṛkṣa</t>
  </si>
  <si>
    <t>brahmalokā</t>
  </si>
  <si>
    <t>candanavana</t>
  </si>
  <si>
    <t>D16</t>
  </si>
  <si>
    <t>śakravāhana</t>
  </si>
  <si>
    <t>pūrṇacandra</t>
  </si>
  <si>
    <t>D60</t>
  </si>
  <si>
    <t>śrīdhāma</t>
  </si>
  <si>
    <t>uccaiḥśravā</t>
  </si>
  <si>
    <t>D20</t>
  </si>
  <si>
    <t>dhanvantari</t>
  </si>
  <si>
    <t>D24</t>
  </si>
  <si>
    <t>sūryakāntaṁ</t>
  </si>
  <si>
    <t>D27</t>
  </si>
  <si>
    <t>vidrumā</t>
  </si>
  <si>
    <t xml:space="preserve">śakrasiṁhāsanaṁ </t>
  </si>
  <si>
    <t>D40</t>
  </si>
  <si>
    <t>golokaṁ</t>
  </si>
  <si>
    <t>D45</t>
  </si>
  <si>
    <t>srīvallabhā</t>
  </si>
  <si>
    <t>Varga Names</t>
  </si>
  <si>
    <r>
      <rPr>
        <sz val="11"/>
        <color rgb="FF000000"/>
        <rFont val="Mangal"/>
        <family val="1"/>
        <charset val="1"/>
      </rPr>
      <t>पाचक</t>
    </r>
    <r>
      <rPr>
        <sz val="11"/>
        <color rgb="FF000000"/>
        <rFont val="Trebuchet MS"/>
        <family val="2"/>
        <charset val="1"/>
      </rPr>
      <t>/pācaka</t>
    </r>
  </si>
  <si>
    <r>
      <rPr>
        <sz val="11"/>
        <color rgb="FF000000"/>
        <rFont val="Mangal"/>
        <family val="1"/>
        <charset val="1"/>
      </rPr>
      <t>बोधक</t>
    </r>
    <r>
      <rPr>
        <sz val="11"/>
        <color rgb="FF000000"/>
        <rFont val="Trebuchet MS"/>
        <family val="2"/>
        <charset val="1"/>
      </rPr>
      <t>/bodhaka</t>
    </r>
  </si>
  <si>
    <r>
      <rPr>
        <sz val="11"/>
        <color rgb="FF000000"/>
        <rFont val="Mangal"/>
        <family val="1"/>
        <charset val="1"/>
      </rPr>
      <t>कारक</t>
    </r>
    <r>
      <rPr>
        <sz val="11"/>
        <color rgb="FF000000"/>
        <rFont val="Trebuchet MS"/>
        <family val="2"/>
        <charset val="1"/>
      </rPr>
      <t>/kāraka</t>
    </r>
  </si>
  <si>
    <r>
      <rPr>
        <sz val="11"/>
        <color rgb="FF000000"/>
        <rFont val="Mangal"/>
        <family val="1"/>
        <charset val="1"/>
      </rPr>
      <t>वेधक</t>
    </r>
    <r>
      <rPr>
        <sz val="11"/>
        <color rgb="FF000000"/>
        <rFont val="Trebuchet MS"/>
        <family val="2"/>
        <charset val="1"/>
      </rPr>
      <t>/vedhaka</t>
    </r>
  </si>
  <si>
    <t>Missing</t>
  </si>
  <si>
    <t>Moon,Merc</t>
  </si>
  <si>
    <t>Jup, Merc</t>
  </si>
  <si>
    <t>Jup,Ven</t>
  </si>
  <si>
    <t>Sun,Sat</t>
  </si>
  <si>
    <t>Merc,Venus</t>
  </si>
  <si>
    <t>Jup,</t>
  </si>
  <si>
    <t>saumya(soma?)=moon, induputra= mercury ,arka=sun,dineshaputra=Saturn</t>
  </si>
  <si>
    <t>The table given in page 22 CoVA is(Reformated)</t>
  </si>
  <si>
    <t>planet-&gt;pachak,bodhak,Karak,Vedhak (number in bracket are the houses)</t>
  </si>
  <si>
    <t>Sun-&gt;Sat(6),Mars(7),Jup(9),Ven(11)</t>
  </si>
  <si>
    <t>Moon-&gt;Venus(7),Mars(9),Sat(11),Sun(3)</t>
  </si>
  <si>
    <t>Mars-&gt;Sun(2),Moon(6),Sat(11),Merc(12)</t>
  </si>
  <si>
    <t>Merc-&gt;Moon(2),Jup(4),Ven(5),Mars(3)</t>
  </si>
  <si>
    <t>Jup-&gt;Sat(6),Mars(5),Moon(7),Sun(12)</t>
  </si>
  <si>
    <t>Venus-&gt;Moon(2),Merc(6),Sun(12),Sat(4) [sun and Sat interchanged in ND]</t>
  </si>
  <si>
    <t>Saturn-&gt;Venus(3),Moon(11),Jup(6),Mars(7)</t>
  </si>
  <si>
    <t>kramaadgrahaH paacakavodhakashca sakaarako vedhakasa.nj~nakashca .</t>
  </si>
  <si>
    <t>ma.nd ara jiiv amarashatrupuujyaaH shukra ara suuryaatmaja vaasareshaaH ..119..</t>
  </si>
  <si>
    <t>raviindusuuryaatmajacandraputraaH shashaa.nkajiivaacChadharaasuta shca .</t>
  </si>
  <si>
    <t>suryaatmajaare.ndudinaadhinaathaaH saum ye.nduputra arka dineshaputraaH ..120..</t>
  </si>
  <si>
    <t>shukre.ndudevejyadharaasutaashca bhava.nti tatpaakamukhaa grahe.ndraaH ..121..</t>
  </si>
  <si>
    <t>sthaanani vakshye kramasho grahaaNaa.n SaTsaptadharmaayagataaH krameNa .</t>
  </si>
  <si>
    <t>bhaanoH shashaa.nkaanmadabhaagyalaabhayukktatastR^itiiyena dharaasutaacca ..122..</t>
  </si>
  <si>
    <t>dhanaarilaabhaa.ntyagataabjasuunrdvitiiyavadhvaatm ajasodaraashca .</t>
  </si>
  <si>
    <t>gurostuSaSThaatmajakaamaariSphaaH shukraaddhanaarivyayaba.ndhuyuktaaH ..123..</t>
  </si>
  <si>
    <t>tR^itiiyalaabaarikalatagaastu dineshasuunoH pravada.nti tajj~naaH ..124..</t>
  </si>
  <si>
    <t>Primary</t>
  </si>
  <si>
    <t>Secondary</t>
  </si>
  <si>
    <t>21,22</t>
  </si>
  <si>
    <t>48,70</t>
  </si>
  <si>
    <t>23,24</t>
  </si>
  <si>
    <t>5,49</t>
  </si>
  <si>
    <t>27,28</t>
  </si>
  <si>
    <t>10,39</t>
  </si>
  <si>
    <t>31,32</t>
  </si>
  <si>
    <t>20,54</t>
  </si>
  <si>
    <t>33,34</t>
  </si>
  <si>
    <t>24,56</t>
  </si>
  <si>
    <t>25,26</t>
  </si>
  <si>
    <t>6,52</t>
  </si>
  <si>
    <t>35,36</t>
  </si>
  <si>
    <t>39,82</t>
  </si>
  <si>
    <t>RAHU</t>
  </si>
  <si>
    <t>41,42</t>
  </si>
  <si>
    <t>KETU</t>
  </si>
  <si>
    <t>45,46</t>
  </si>
  <si>
    <t>Name (IAST)</t>
  </si>
  <si>
    <t>Current cycle</t>
  </si>
  <si>
    <t>Prior cycle 1</t>
  </si>
  <si>
    <t>Prior cycle 2</t>
  </si>
  <si>
    <t>From Vijaya Count</t>
  </si>
  <si>
    <t>  1.</t>
  </si>
  <si>
    <t>Prabhava</t>
  </si>
  <si>
    <t xml:space="preserve">Pra+Bhava: Creator. </t>
  </si>
  <si>
    <t>1987-1988 AD</t>
  </si>
  <si>
    <t>1927-1928 AD</t>
  </si>
  <si>
    <t>1867-1868 AD</t>
  </si>
  <si>
    <t>  2.</t>
  </si>
  <si>
    <t>Vibhava</t>
  </si>
  <si>
    <t>Vi+Bhava: Evolve,Spread, Grow</t>
  </si>
  <si>
    <t>1988-1989 AD</t>
  </si>
  <si>
    <t>1928-1929 AD</t>
  </si>
  <si>
    <t>1868-1869 AD</t>
  </si>
  <si>
    <t>  3.</t>
  </si>
  <si>
    <t>Śukla</t>
  </si>
  <si>
    <t>White, Pure, Compare with Shukra</t>
  </si>
  <si>
    <t>1989-1990 AD</t>
  </si>
  <si>
    <t>1929-1930 AD</t>
  </si>
  <si>
    <t>1869-1870 AD</t>
  </si>
  <si>
    <t>  4.</t>
  </si>
  <si>
    <t>Pramodadūta</t>
  </si>
  <si>
    <t>Pra+Moda=Excessive Joy</t>
  </si>
  <si>
    <t>1990-1991 AD</t>
  </si>
  <si>
    <t>1930-1931 AD</t>
  </si>
  <si>
    <t>1870-1871 AD</t>
  </si>
  <si>
    <t>  5.</t>
  </si>
  <si>
    <t>Prajāpati</t>
  </si>
  <si>
    <t>Praja+Pati=Lord of Creatures.</t>
  </si>
  <si>
    <t>1991-1992 AD</t>
  </si>
  <si>
    <t>1931-1932 AD</t>
  </si>
  <si>
    <t>1871-1872 AD</t>
  </si>
  <si>
    <t>  6.</t>
  </si>
  <si>
    <t>Āṅgīrasa</t>
  </si>
  <si>
    <t>Son of Angirasa</t>
  </si>
  <si>
    <t>1992-1993 AD</t>
  </si>
  <si>
    <t>1932-1933 AD</t>
  </si>
  <si>
    <t>1872-1873 AD</t>
  </si>
  <si>
    <t>  7.</t>
  </si>
  <si>
    <t>Śrīmukha</t>
  </si>
  <si>
    <t xml:space="preserve">Shree+Mukha=Beautiful face, </t>
  </si>
  <si>
    <t>1993-1994 AD</t>
  </si>
  <si>
    <t>1933-1934 AD</t>
  </si>
  <si>
    <t>1873-1874 AD</t>
  </si>
  <si>
    <t>  8.</t>
  </si>
  <si>
    <t>Bhāva</t>
  </si>
  <si>
    <t>from Bhu: To become, To Appear</t>
  </si>
  <si>
    <t>1994-1995 AD</t>
  </si>
  <si>
    <t>1934-1935 AD</t>
  </si>
  <si>
    <t>1874-1875 AD</t>
  </si>
  <si>
    <t>  9.</t>
  </si>
  <si>
    <t>Yuva</t>
  </si>
  <si>
    <t>Youth, From Yu root to join or marry</t>
  </si>
  <si>
    <t>1995-1996 AD</t>
  </si>
  <si>
    <t>1935-1936 AD</t>
  </si>
  <si>
    <t>1875-1876 AD</t>
  </si>
  <si>
    <t>Dhātṛ</t>
  </si>
  <si>
    <t>Founder</t>
  </si>
  <si>
    <t>1996-1997 AD</t>
  </si>
  <si>
    <t>1936-1937 AD</t>
  </si>
  <si>
    <t>1876-1877 AD</t>
  </si>
  <si>
    <t>Īśvara</t>
  </si>
  <si>
    <t>Master, also for number 11,</t>
  </si>
  <si>
    <t>1997-1998 AD</t>
  </si>
  <si>
    <t>1937-1938 AD</t>
  </si>
  <si>
    <t>1877-1878 AD</t>
  </si>
  <si>
    <t>Bahudhānya</t>
  </si>
  <si>
    <t>Abundance of Corn</t>
  </si>
  <si>
    <t>1998-1999 AD</t>
  </si>
  <si>
    <t>1938-1939 AD</t>
  </si>
  <si>
    <t>1878-1879 AD</t>
  </si>
  <si>
    <t>Pramāthi</t>
  </si>
  <si>
    <t>Look:47,  Kali yuga 3102BC: Destroying/like Manthan.</t>
  </si>
  <si>
    <t>1999-2000 AD</t>
  </si>
  <si>
    <t>1939-1940 AD</t>
  </si>
  <si>
    <t>1879-1880 AD</t>
  </si>
  <si>
    <t>Vikrama</t>
  </si>
  <si>
    <t>Vi+Krama=Proceed, Stride</t>
  </si>
  <si>
    <t>2000-2001 AD</t>
  </si>
  <si>
    <t>1940-1941 AD</t>
  </si>
  <si>
    <t>1880-1881 AD</t>
  </si>
  <si>
    <t>Vṛṣa</t>
  </si>
  <si>
    <t xml:space="preserve">Bull, Leader, </t>
  </si>
  <si>
    <t>2001-2002 AD</t>
  </si>
  <si>
    <t>1941-1942 AD</t>
  </si>
  <si>
    <t>1881-1882 AD</t>
  </si>
  <si>
    <t>Chitrabhānu</t>
  </si>
  <si>
    <t>Mental Fire, Bhairava, Named after same king</t>
  </si>
  <si>
    <t>2002-2003 AD</t>
  </si>
  <si>
    <t>1942-1943 AD</t>
  </si>
  <si>
    <t>1882-1883 AD</t>
  </si>
  <si>
    <t>Subhānu</t>
  </si>
  <si>
    <t xml:space="preserve">shining beautifully or brightly </t>
  </si>
  <si>
    <t>2003-2004 AD</t>
  </si>
  <si>
    <t>1943-1944 AD</t>
  </si>
  <si>
    <t>1883-1884 AD</t>
  </si>
  <si>
    <t>Tāraṇa</t>
  </si>
  <si>
    <t>causing or enabling to cross , helping over a difficulty , liberating , saving</t>
  </si>
  <si>
    <t>2004-2005 AD</t>
  </si>
  <si>
    <t>1944-1945 AD</t>
  </si>
  <si>
    <t>1884-1885 AD</t>
  </si>
  <si>
    <t>Pārthiva</t>
  </si>
  <si>
    <t>King, From Pritvi, Earthly</t>
  </si>
  <si>
    <t>2005-2006 AD</t>
  </si>
  <si>
    <t>1945-1946 AD</t>
  </si>
  <si>
    <t>1885-1886 AD</t>
  </si>
  <si>
    <t>Vyaya</t>
  </si>
  <si>
    <t xml:space="preserve">Loss, Spend, </t>
  </si>
  <si>
    <t>2006-2007 AD</t>
  </si>
  <si>
    <t>1946-1947 AD</t>
  </si>
  <si>
    <t>1886-1887 AD</t>
  </si>
  <si>
    <t>Sarvajit</t>
  </si>
  <si>
    <t>Winner, Sarva+Jit</t>
  </si>
  <si>
    <t>2007-2008 AD</t>
  </si>
  <si>
    <t>1947-1948 AD</t>
  </si>
  <si>
    <t>1887-1888 AD</t>
  </si>
  <si>
    <t>Sarvadhārin</t>
  </si>
  <si>
    <t>Protector: Sarva+Dhari</t>
  </si>
  <si>
    <t>2008-2009 AD</t>
  </si>
  <si>
    <t>1948-1949 AD</t>
  </si>
  <si>
    <t>1888-1889 AD</t>
  </si>
  <si>
    <t>Virodhin</t>
  </si>
  <si>
    <t xml:space="preserve">opposing </t>
  </si>
  <si>
    <t>2009-2010 AD</t>
  </si>
  <si>
    <t>1949-1950 AD</t>
  </si>
  <si>
    <t>1889-1890 AD</t>
  </si>
  <si>
    <t>Vikṛti</t>
  </si>
  <si>
    <t>Deformed, Transformed,</t>
  </si>
  <si>
    <t>2010-2011 AD</t>
  </si>
  <si>
    <t>1950-1951 AD</t>
  </si>
  <si>
    <t>1890-1891 AD</t>
  </si>
  <si>
    <t>Khara</t>
  </si>
  <si>
    <t>Hard, Tough, Sharp (Sharp pointed birds or crying animals)</t>
  </si>
  <si>
    <t>2011-2012 AD</t>
  </si>
  <si>
    <t>1951-1952 AD</t>
  </si>
  <si>
    <t>1891-1892 AD</t>
  </si>
  <si>
    <t>Nandana</t>
  </si>
  <si>
    <t>Rejoicing (From root Nand)</t>
  </si>
  <si>
    <t>2012-2013 AD</t>
  </si>
  <si>
    <t>1952-1953 AD</t>
  </si>
  <si>
    <t>1892-1893 AD</t>
  </si>
  <si>
    <t>Vijaya</t>
  </si>
  <si>
    <t>Victory</t>
  </si>
  <si>
    <t>2013-2014 AD</t>
  </si>
  <si>
    <t>1953-1954 AD</t>
  </si>
  <si>
    <t>1893-1894 AD</t>
  </si>
  <si>
    <t>Winning</t>
  </si>
  <si>
    <t>2014-2015 AD</t>
  </si>
  <si>
    <t>1954-1955 AD</t>
  </si>
  <si>
    <t>1894-1895 AD</t>
  </si>
  <si>
    <t>love or the god of love (விளாம் பழம்)</t>
  </si>
  <si>
    <t>2015-2016 AD</t>
  </si>
  <si>
    <t>1955-1956 AD</t>
  </si>
  <si>
    <t>1895-1896 AD</t>
  </si>
  <si>
    <t>Durmukha</t>
  </si>
  <si>
    <t xml:space="preserve">bad face, abusive </t>
  </si>
  <si>
    <t>2016-2017 AD</t>
  </si>
  <si>
    <t>1956-1957 AD</t>
  </si>
  <si>
    <t>1896-1897 AD</t>
  </si>
  <si>
    <t>Hemalambin</t>
  </si>
  <si>
    <t>hema+lamba(Golden Pendant?)</t>
  </si>
  <si>
    <t>2017-2018 AD</t>
  </si>
  <si>
    <t>1957-1958 AD</t>
  </si>
  <si>
    <t>1897-1898 AD</t>
  </si>
  <si>
    <t>Vilambin</t>
  </si>
  <si>
    <t>Slow, Delay,</t>
  </si>
  <si>
    <t>2018-2019 AD</t>
  </si>
  <si>
    <t>1958-1959 AD</t>
  </si>
  <si>
    <t>1898-1899 AD</t>
  </si>
  <si>
    <t>Vikārin</t>
  </si>
  <si>
    <t>Bad change, Changing, (Vi+Kaar)</t>
  </si>
  <si>
    <t>2019-2020 AD</t>
  </si>
  <si>
    <t>1959-1960 AD</t>
  </si>
  <si>
    <t>1899-1900 AD</t>
  </si>
  <si>
    <t>Śārvarin</t>
  </si>
  <si>
    <t>Lord Shiva (Sharva to kill) The moon (Sharva dark)</t>
  </si>
  <si>
    <t>2020-2021 AD</t>
  </si>
  <si>
    <t>1960-1961 AD</t>
  </si>
  <si>
    <t>1900-1901 AD</t>
  </si>
  <si>
    <t>Plava</t>
  </si>
  <si>
    <t>Refer 41, Float, Boat</t>
  </si>
  <si>
    <t>2021-2022 AD</t>
  </si>
  <si>
    <t>1961-1962 AD</t>
  </si>
  <si>
    <t>1901-1902 AD</t>
  </si>
  <si>
    <t>Śubhakṛt</t>
  </si>
  <si>
    <t>Fortunate, Good Deed</t>
  </si>
  <si>
    <t>2022-2023 AD</t>
  </si>
  <si>
    <t>1962-1963 AD</t>
  </si>
  <si>
    <t>1902-1903 AD</t>
  </si>
  <si>
    <t>Śobhana</t>
  </si>
  <si>
    <t xml:space="preserve">beautiful ,auspicious </t>
  </si>
  <si>
    <t>2023-2024 AD</t>
  </si>
  <si>
    <t>1963-1964 AD</t>
  </si>
  <si>
    <t>1903-1904 AD</t>
  </si>
  <si>
    <t>Krodhin</t>
  </si>
  <si>
    <t>Angry, Passionate,</t>
  </si>
  <si>
    <t>2024-2025 AD</t>
  </si>
  <si>
    <t>1964-1965 AD</t>
  </si>
  <si>
    <t>1904-1905 AD</t>
  </si>
  <si>
    <t>Viśvāvasu</t>
  </si>
  <si>
    <t>All Kinds of Wealth</t>
  </si>
  <si>
    <t>2025-2026 AD</t>
  </si>
  <si>
    <t>1965-1966 AD</t>
  </si>
  <si>
    <t>1905-1906 AD</t>
  </si>
  <si>
    <t>Parābhava</t>
  </si>
  <si>
    <t>Defeating</t>
  </si>
  <si>
    <t>2026-2027 AD</t>
  </si>
  <si>
    <t>1966-1967 AD</t>
  </si>
  <si>
    <t>1906-1907 AD</t>
  </si>
  <si>
    <t>Plavaṅga</t>
  </si>
  <si>
    <t>Refer 35: Jumping, Monkey, Deer</t>
  </si>
  <si>
    <t>2027-2028 AD</t>
  </si>
  <si>
    <t>1967-1968 AD</t>
  </si>
  <si>
    <t>1907-1908 AD</t>
  </si>
  <si>
    <t>Kīlaka</t>
  </si>
  <si>
    <t xml:space="preserve">a pin , bolt </t>
  </si>
  <si>
    <t>2028-2029 AD</t>
  </si>
  <si>
    <t>1968-1969 AD</t>
  </si>
  <si>
    <t>1908-1909 AD</t>
  </si>
  <si>
    <t>Saumya</t>
  </si>
  <si>
    <t>belonging to Soma(Moon), Soft</t>
  </si>
  <si>
    <t>2029-2030 AD</t>
  </si>
  <si>
    <t>1969-1970 AD</t>
  </si>
  <si>
    <t>1909-1910 AD</t>
  </si>
  <si>
    <t>Sādhāraṇa</t>
  </si>
  <si>
    <t>Equal to All, Common</t>
  </si>
  <si>
    <t>2030-2031 AD</t>
  </si>
  <si>
    <t>1970-1971 AD</t>
  </si>
  <si>
    <t>1910-1911 AD</t>
  </si>
  <si>
    <t>Virodhakṛt</t>
  </si>
  <si>
    <t>causing dissension or revolt</t>
  </si>
  <si>
    <t>2031-2032 AD</t>
  </si>
  <si>
    <t>1971-1972 AD</t>
  </si>
  <si>
    <t>1911-1912 AD</t>
  </si>
  <si>
    <t>Paridhāvin</t>
  </si>
  <si>
    <t>Pari+Dhaava: running round</t>
  </si>
  <si>
    <t>2032-2033 AD</t>
  </si>
  <si>
    <t>1972-1973 AD</t>
  </si>
  <si>
    <t>1912-1913 AD</t>
  </si>
  <si>
    <t>Pramādin</t>
  </si>
  <si>
    <t xml:space="preserve">Ref:13, intoxication madness </t>
  </si>
  <si>
    <t>2033-2034 AD</t>
  </si>
  <si>
    <t>1973-1974 AD</t>
  </si>
  <si>
    <t>1913-1914 AD</t>
  </si>
  <si>
    <t>Ānanda</t>
  </si>
  <si>
    <t>pure happiness</t>
  </si>
  <si>
    <t>2034-2035 AD</t>
  </si>
  <si>
    <t>1974-1975 AD</t>
  </si>
  <si>
    <t>1914-1915 AD</t>
  </si>
  <si>
    <t>Rākṣasa</t>
  </si>
  <si>
    <t xml:space="preserve">From Rakshasa, Demons, </t>
  </si>
  <si>
    <t>2035-2036 AD</t>
  </si>
  <si>
    <t>1975-1976 AD</t>
  </si>
  <si>
    <t>1915-1916 AD</t>
  </si>
  <si>
    <t>Nala/Anala</t>
  </si>
  <si>
    <t xml:space="preserve">Anala=Fire, </t>
  </si>
  <si>
    <t>2036-2037 AD</t>
  </si>
  <si>
    <t>1976-1977 AD</t>
  </si>
  <si>
    <t>1916-1917 AD</t>
  </si>
  <si>
    <t>Piṅgala</t>
  </si>
  <si>
    <t>Reddish Brown</t>
  </si>
  <si>
    <t>2037-2038 AD</t>
  </si>
  <si>
    <t>1977-1978 AD</t>
  </si>
  <si>
    <t>1917-1918 AD</t>
  </si>
  <si>
    <t>Kālayukta</t>
  </si>
  <si>
    <t xml:space="preserve">fit for the (present) time, seasonable </t>
  </si>
  <si>
    <t>2038-2039 AD</t>
  </si>
  <si>
    <t>1978-1979 AD</t>
  </si>
  <si>
    <t>1918-1919 AD</t>
  </si>
  <si>
    <t>Siddhārthin</t>
  </si>
  <si>
    <t xml:space="preserve">one who has accomplished an aim or object , successful , prosperous </t>
  </si>
  <si>
    <t>2039-2040 AD</t>
  </si>
  <si>
    <t>1979-1980 AD</t>
  </si>
  <si>
    <t>1919-1920 AD</t>
  </si>
  <si>
    <t>Raudra</t>
  </si>
  <si>
    <t xml:space="preserve">Belonging to Rudra, </t>
  </si>
  <si>
    <t>2040-2041 AD</t>
  </si>
  <si>
    <t>1980-1981 AD</t>
  </si>
  <si>
    <t>1920-1921 AD</t>
  </si>
  <si>
    <t>Durmati</t>
  </si>
  <si>
    <t>bad disposition of mind , envy , hatred</t>
  </si>
  <si>
    <t>2041-2042 AD</t>
  </si>
  <si>
    <t>1981-1982 AD</t>
  </si>
  <si>
    <t>1921-1922 AD</t>
  </si>
  <si>
    <t>Dundubhi</t>
  </si>
  <si>
    <t>a drum, A type throw of the dice in gambling</t>
  </si>
  <si>
    <t>2042-2043 AD</t>
  </si>
  <si>
    <t>1982-1983 AD</t>
  </si>
  <si>
    <t>1922-1923 AD</t>
  </si>
  <si>
    <t>Rudhirodgārin</t>
  </si>
  <si>
    <t xml:space="preserve">emitting blood </t>
  </si>
  <si>
    <t>2043-2044 AD</t>
  </si>
  <si>
    <t>1983-1984 AD</t>
  </si>
  <si>
    <t>1923-1924 AD</t>
  </si>
  <si>
    <t>Raktākṣin</t>
  </si>
  <si>
    <t>red-eyed , having red or blood-shot eyes</t>
  </si>
  <si>
    <t>2044-2045 AD</t>
  </si>
  <si>
    <t>1984-1985 AD</t>
  </si>
  <si>
    <t>1924-1925 AD</t>
  </si>
  <si>
    <t>Krodhana/Manyu</t>
  </si>
  <si>
    <t>inclined to wrath , passionate , angry</t>
  </si>
  <si>
    <t>2045-2046 AD</t>
  </si>
  <si>
    <t>1985-1986 AD</t>
  </si>
  <si>
    <t>1925-1926 AD</t>
  </si>
  <si>
    <t>Kṣaya</t>
  </si>
  <si>
    <t>end , termination</t>
  </si>
  <si>
    <t>2046-2047 AD</t>
  </si>
  <si>
    <t>1986-1987 AD</t>
  </si>
  <si>
    <t>1926-1927 AD</t>
  </si>
  <si>
    <t>Numerology</t>
  </si>
  <si>
    <t>4th-Lock</t>
  </si>
  <si>
    <t>Lock Number</t>
  </si>
  <si>
    <t>7th-Unlock</t>
  </si>
  <si>
    <t>Unlock Number</t>
  </si>
  <si>
    <t>கௌரி பாஞ்சாங்க</t>
  </si>
  <si>
    <t>கிழமை </t>
  </si>
  <si>
    <t>காலம் </t>
  </si>
  <si>
    <t>6:00-7:30</t>
  </si>
  <si>
    <t>7:30-9:00</t>
  </si>
  <si>
    <t>9:00-10:30</t>
  </si>
  <si>
    <t>10:30-12:00</t>
  </si>
  <si>
    <t>12:00-1:30</t>
  </si>
  <si>
    <t>1:30-3:00</t>
  </si>
  <si>
    <t>3:00-4:30</t>
  </si>
  <si>
    <t>4:30-6:00</t>
  </si>
  <si>
    <t>ஞாயிறு </t>
  </si>
  <si>
    <t>பகல்○</t>
  </si>
  <si>
    <t>உத்தி(su)</t>
  </si>
  <si>
    <t>அமிர்த(mo)</t>
  </si>
  <si>
    <t>ரோகம்(ma)</t>
  </si>
  <si>
    <t>லாபம்(me)</t>
  </si>
  <si>
    <t>தனம்(ju)</t>
  </si>
  <si>
    <t>சுகம்(ve)</t>
  </si>
  <si>
    <t>சோரம்(sa)</t>
  </si>
  <si>
    <t>விஷம்(Ra)</t>
  </si>
  <si>
    <t>"</t>
  </si>
  <si>
    <t>இரவு●</t>
  </si>
  <si>
    <t>திங்கல்</t>
  </si>
  <si>
    <t>செவ்வாய் </t>
  </si>
  <si>
    <t>புதன் </t>
  </si>
  <si>
    <t>வியாழன் </t>
  </si>
  <si>
    <t>வெள்ளி </t>
  </si>
  <si>
    <t>சானி </t>
  </si>
  <si>
    <t>Day Choghadiya</t>
  </si>
  <si>
    <t>Udvega(Su)</t>
  </si>
  <si>
    <t>Chala(Ve)</t>
  </si>
  <si>
    <t>Labha(Me)</t>
  </si>
  <si>
    <t>Amruta(Mo)</t>
  </si>
  <si>
    <t>Kal(Sa)</t>
  </si>
  <si>
    <t>Shubha(Ju)</t>
  </si>
  <si>
    <t>Roga(Ma)</t>
  </si>
  <si>
    <t>Mon</t>
  </si>
  <si>
    <t>Tue</t>
  </si>
  <si>
    <t>Wed</t>
  </si>
  <si>
    <t>Thu</t>
  </si>
  <si>
    <t>Fri</t>
  </si>
  <si>
    <t xml:space="preserve"> Night Choghadiya</t>
  </si>
  <si>
    <t>triṁśāṁśa phala BPHS 80.9</t>
  </si>
  <si>
    <t>D1/D30-&gt;</t>
  </si>
  <si>
    <t>Guru</t>
  </si>
  <si>
    <t xml:space="preserve">duṣṭā </t>
  </si>
  <si>
    <t xml:space="preserve">kucaritrā </t>
  </si>
  <si>
    <t xml:space="preserve">samāyā </t>
  </si>
  <si>
    <t>sādhvī</t>
  </si>
  <si>
    <t>dāsī</t>
  </si>
  <si>
    <t xml:space="preserve">khyātaguṇā </t>
  </si>
  <si>
    <t xml:space="preserve">kalāsu nipuṇā </t>
  </si>
  <si>
    <t xml:space="preserve">guṇavatī </t>
  </si>
  <si>
    <t>punarbhū</t>
  </si>
  <si>
    <t>chalānvitā</t>
  </si>
  <si>
    <t>prakīrṇakāmā</t>
  </si>
  <si>
    <t xml:space="preserve">guṇānvitā </t>
  </si>
  <si>
    <t>klībā</t>
  </si>
  <si>
    <t xml:space="preserve">svatantrā </t>
  </si>
  <si>
    <t xml:space="preserve">kulapāṁsanā </t>
  </si>
  <si>
    <t xml:space="preserve">śilpakalā'bhijñā </t>
  </si>
  <si>
    <t xml:space="preserve">bahuguṇā </t>
  </si>
  <si>
    <t xml:space="preserve">patighnī </t>
  </si>
  <si>
    <t xml:space="preserve">vācālā </t>
  </si>
  <si>
    <t xml:space="preserve">satī </t>
  </si>
  <si>
    <t xml:space="preserve">puṁśceṣṭitā </t>
  </si>
  <si>
    <t xml:space="preserve">rājñī </t>
  </si>
  <si>
    <t xml:space="preserve">kulacyutā </t>
  </si>
  <si>
    <t>bahuguṇā</t>
  </si>
  <si>
    <t xml:space="preserve">satī matā </t>
  </si>
  <si>
    <t xml:space="preserve">vijñānasaṁyutā </t>
  </si>
  <si>
    <t>anekaguṇānvitā</t>
  </si>
  <si>
    <t>alparatiḥ</t>
  </si>
  <si>
    <t xml:space="preserve">dāsī </t>
  </si>
  <si>
    <t xml:space="preserve">suprajñā </t>
  </si>
  <si>
    <t xml:space="preserve">duḥsthā khalā </t>
  </si>
  <si>
    <t xml:space="preserve">pativratā </t>
  </si>
  <si>
    <t xml:space="preserve">nīcajanānugā </t>
  </si>
  <si>
    <t>Malefics (3,6,11 &amp; Maraka)</t>
  </si>
  <si>
    <t>Benefics (Trines Normally)</t>
  </si>
  <si>
    <t>Marakas</t>
  </si>
  <si>
    <t>RajaYoga(Trine+Kendra)</t>
  </si>
  <si>
    <t>Mesha</t>
  </si>
  <si>
    <t>Sat, Merc,Venus</t>
  </si>
  <si>
    <t>Mars,Jup,Sun</t>
  </si>
  <si>
    <r>
      <rPr>
        <sz val="9"/>
        <color rgb="FF000000"/>
        <rFont val="Arial Unicode MS"/>
        <family val="2"/>
        <charset val="1"/>
      </rPr>
      <t>Venus(2</t>
    </r>
    <r>
      <rPr>
        <vertAlign val="superscript"/>
        <sz val="9"/>
        <color rgb="FF000000"/>
        <rFont val="Arial Unicode MS"/>
        <family val="2"/>
        <charset val="1"/>
      </rPr>
      <t>nd</t>
    </r>
    <r>
      <rPr>
        <sz val="9"/>
        <color rgb="FF000000"/>
        <rFont val="Arial Unicode MS"/>
        <family val="2"/>
        <charset val="1"/>
      </rPr>
      <t>), Sat (11</t>
    </r>
    <r>
      <rPr>
        <vertAlign val="superscript"/>
        <sz val="9"/>
        <color rgb="FF000000"/>
        <rFont val="Arial Unicode MS"/>
        <family val="2"/>
        <charset val="1"/>
      </rPr>
      <t>th</t>
    </r>
    <r>
      <rPr>
        <sz val="9"/>
        <color rgb="FF000000"/>
        <rFont val="Arial Unicode MS"/>
        <family val="2"/>
        <charset val="1"/>
      </rPr>
      <t>)</t>
    </r>
  </si>
  <si>
    <t>Jup+Sat no Raaja Yoga</t>
  </si>
  <si>
    <t>Jup,Venus,Moon, Merc(somewhat) ( Has 4 Malefics!)</t>
  </si>
  <si>
    <r>
      <rPr>
        <sz val="9"/>
        <color rgb="FF000000"/>
        <rFont val="Arial Unicode MS"/>
        <family val="2"/>
        <charset val="1"/>
      </rPr>
      <t>Saturn,</t>
    </r>
    <r>
      <rPr>
        <b/>
        <sz val="9"/>
        <color rgb="FF000000"/>
        <rFont val="Arial Unicode MS"/>
        <family val="2"/>
        <charset val="1"/>
      </rPr>
      <t>Sun</t>
    </r>
  </si>
  <si>
    <r>
      <rPr>
        <sz val="9"/>
        <color rgb="FF000000"/>
        <rFont val="Arial Unicode MS"/>
        <family val="2"/>
        <charset val="1"/>
      </rPr>
      <t>Jup(11</t>
    </r>
    <r>
      <rPr>
        <vertAlign val="superscript"/>
        <sz val="9"/>
        <color rgb="FF000000"/>
        <rFont val="Arial Unicode MS"/>
        <family val="2"/>
        <charset val="1"/>
      </rPr>
      <t>th</t>
    </r>
    <r>
      <rPr>
        <sz val="9"/>
        <color rgb="FF000000"/>
        <rFont val="Arial Unicode MS"/>
        <family val="2"/>
        <charset val="1"/>
      </rPr>
      <t>) group (,Venus 6</t>
    </r>
    <r>
      <rPr>
        <vertAlign val="superscript"/>
        <sz val="9"/>
        <color rgb="FF000000"/>
        <rFont val="Arial Unicode MS"/>
        <family val="2"/>
        <charset val="1"/>
      </rPr>
      <t>th</t>
    </r>
    <r>
      <rPr>
        <sz val="9"/>
        <color rgb="FF000000"/>
        <rFont val="Arial Unicode MS"/>
        <family val="2"/>
        <charset val="1"/>
      </rPr>
      <t xml:space="preserve"> ,Moon 3</t>
    </r>
    <r>
      <rPr>
        <vertAlign val="superscript"/>
        <sz val="9"/>
        <color rgb="FF000000"/>
        <rFont val="Arial Unicode MS"/>
        <family val="2"/>
        <charset val="1"/>
      </rPr>
      <t>rd</t>
    </r>
    <r>
      <rPr>
        <sz val="9"/>
        <color rgb="FF000000"/>
        <rFont val="Arial Unicode MS"/>
        <family val="2"/>
        <charset val="1"/>
      </rPr>
      <t xml:space="preserve"> ),Mars(12</t>
    </r>
    <r>
      <rPr>
        <vertAlign val="superscript"/>
        <sz val="9"/>
        <color rgb="FF000000"/>
        <rFont val="Arial Unicode MS"/>
        <family val="2"/>
        <charset val="1"/>
      </rPr>
      <t>th</t>
    </r>
    <r>
      <rPr>
        <sz val="9"/>
        <color rgb="FF000000"/>
        <rFont val="Arial Unicode MS"/>
        <family val="2"/>
        <charset val="1"/>
      </rPr>
      <t>)</t>
    </r>
  </si>
  <si>
    <t>Saturn gives Raja yoga</t>
  </si>
  <si>
    <t>No Venus as he is KPD. But,Sun is not Trinal! The only case where non-trine becomes benefic.</t>
  </si>
  <si>
    <t>Mars,Jupiter,Sun</t>
  </si>
  <si>
    <r>
      <rPr>
        <sz val="9"/>
        <color rgb="FF000000"/>
        <rFont val="Arial Unicode MS"/>
        <family val="2"/>
        <charset val="1"/>
      </rPr>
      <t>Moon(2</t>
    </r>
    <r>
      <rPr>
        <vertAlign val="superscript"/>
        <sz val="9"/>
        <color rgb="FF000000"/>
        <rFont val="Arial Unicode MS"/>
        <family val="2"/>
        <charset val="1"/>
      </rPr>
      <t>nd</t>
    </r>
    <r>
      <rPr>
        <sz val="9"/>
        <color rgb="FF000000"/>
        <rFont val="Arial Unicode MS"/>
        <family val="2"/>
        <charset val="1"/>
      </rPr>
      <t>)</t>
    </r>
  </si>
  <si>
    <t xml:space="preserve"> No: Sat though Aq is moolatrikona! Why?, Merc for Shubha has KPD</t>
  </si>
  <si>
    <t>Venus, Merc</t>
  </si>
  <si>
    <t>Mars,Jupiter, Moon</t>
  </si>
  <si>
    <r>
      <rPr>
        <sz val="9"/>
        <color rgb="FF000000"/>
        <rFont val="Arial Unicode MS"/>
        <family val="2"/>
        <charset val="1"/>
      </rPr>
      <t>Saturn(8</t>
    </r>
    <r>
      <rPr>
        <vertAlign val="superscript"/>
        <sz val="9"/>
        <color rgb="FF000000"/>
        <rFont val="Arial Unicode MS"/>
        <family val="2"/>
        <charset val="1"/>
      </rPr>
      <t>th</t>
    </r>
    <r>
      <rPr>
        <sz val="9"/>
        <color rgb="FF000000"/>
        <rFont val="Arial Unicode MS"/>
        <family val="2"/>
        <charset val="1"/>
      </rPr>
      <t>), (Sun 2</t>
    </r>
    <r>
      <rPr>
        <vertAlign val="superscript"/>
        <sz val="9"/>
        <color rgb="FF000000"/>
        <rFont val="Arial Unicode MS"/>
        <family val="2"/>
        <charset val="1"/>
      </rPr>
      <t>nd</t>
    </r>
    <r>
      <rPr>
        <sz val="9"/>
        <color rgb="FF000000"/>
        <rFont val="Arial Unicode MS"/>
        <family val="2"/>
        <charset val="1"/>
      </rPr>
      <t>)</t>
    </r>
  </si>
  <si>
    <t>Mars Raja Yoga</t>
  </si>
  <si>
    <t>Merc,Venus,Saturn</t>
  </si>
  <si>
    <t>Jupiter, Mars,Sun</t>
  </si>
  <si>
    <r>
      <rPr>
        <sz val="9"/>
        <color rgb="FF000000"/>
        <rFont val="Arial Unicode MS"/>
        <family val="2"/>
        <charset val="1"/>
      </rPr>
      <t>Saturn(6</t>
    </r>
    <r>
      <rPr>
        <vertAlign val="superscript"/>
        <sz val="9"/>
        <color rgb="FF000000"/>
        <rFont val="Arial Unicode MS"/>
        <family val="2"/>
        <charset val="1"/>
      </rPr>
      <t>th</t>
    </r>
    <r>
      <rPr>
        <sz val="9"/>
        <color rgb="FF000000"/>
        <rFont val="Arial Unicode MS"/>
        <family val="2"/>
        <charset val="1"/>
      </rPr>
      <t xml:space="preserve"> ), Moon(12</t>
    </r>
    <r>
      <rPr>
        <vertAlign val="superscript"/>
        <sz val="9"/>
        <color rgb="FF000000"/>
        <rFont val="Arial Unicode MS"/>
        <family val="2"/>
        <charset val="1"/>
      </rPr>
      <t>th</t>
    </r>
    <r>
      <rPr>
        <sz val="9"/>
        <color rgb="FF000000"/>
        <rFont val="Arial Unicode MS"/>
        <family val="2"/>
        <charset val="1"/>
      </rPr>
      <t>)</t>
    </r>
  </si>
  <si>
    <t>Jup+Venu no raja yoga</t>
  </si>
  <si>
    <t>Mars,Jup, Moon</t>
  </si>
  <si>
    <t>Mercury,Venus</t>
  </si>
  <si>
    <r>
      <rPr>
        <sz val="9"/>
        <color rgb="FF000000"/>
        <rFont val="Arial Unicode MS"/>
        <family val="2"/>
        <charset val="1"/>
      </rPr>
      <t>Venus(2</t>
    </r>
    <r>
      <rPr>
        <vertAlign val="superscript"/>
        <sz val="9"/>
        <color rgb="FF000000"/>
        <rFont val="Arial Unicode MS"/>
        <family val="2"/>
        <charset val="1"/>
      </rPr>
      <t>nd</t>
    </r>
    <r>
      <rPr>
        <sz val="9"/>
        <color rgb="FF000000"/>
        <rFont val="Arial Unicode MS"/>
        <family val="2"/>
        <charset val="1"/>
      </rPr>
      <t>)</t>
    </r>
  </si>
  <si>
    <t>Venus+Merc Good Yoga</t>
  </si>
  <si>
    <t>No Saturn for Shubha, Mercury has no KPD?! Only case where Benefic Lagna lord does not have KPD</t>
  </si>
  <si>
    <t xml:space="preserve">Jup,Sun,Mars </t>
  </si>
  <si>
    <t>Saturn,Mercury</t>
  </si>
  <si>
    <r>
      <rPr>
        <sz val="9"/>
        <color rgb="FF000000"/>
        <rFont val="Arial Unicode MS"/>
        <family val="2"/>
        <charset val="1"/>
      </rPr>
      <t>Mars(2</t>
    </r>
    <r>
      <rPr>
        <vertAlign val="superscript"/>
        <sz val="9"/>
        <color rgb="FF000000"/>
        <rFont val="Arial Unicode MS"/>
        <family val="2"/>
        <charset val="1"/>
      </rPr>
      <t>nd</t>
    </r>
    <r>
      <rPr>
        <sz val="9"/>
        <color rgb="FF000000"/>
        <rFont val="Arial Unicode MS"/>
        <family val="2"/>
        <charset val="1"/>
      </rPr>
      <t>/7</t>
    </r>
    <r>
      <rPr>
        <vertAlign val="superscript"/>
        <sz val="9"/>
        <color rgb="FF000000"/>
        <rFont val="Arial Unicode MS"/>
        <family val="2"/>
        <charset val="1"/>
      </rPr>
      <t>th</t>
    </r>
    <r>
      <rPr>
        <sz val="9"/>
        <color rgb="FF000000"/>
        <rFont val="Arial Unicode MS"/>
        <family val="2"/>
        <charset val="1"/>
      </rPr>
      <t>), Jupiter,Sun(11</t>
    </r>
    <r>
      <rPr>
        <vertAlign val="superscript"/>
        <sz val="9"/>
        <color rgb="FF000000"/>
        <rFont val="Arial Unicode MS"/>
        <family val="2"/>
        <charset val="1"/>
      </rPr>
      <t>th</t>
    </r>
    <r>
      <rPr>
        <sz val="9"/>
        <color rgb="FF000000"/>
        <rFont val="Arial Unicode MS"/>
        <family val="2"/>
        <charset val="1"/>
      </rPr>
      <t>)</t>
    </r>
  </si>
  <si>
    <t>Moon+Merc Raja Yoga, Venus Neutral</t>
  </si>
  <si>
    <t>No Venus for Shubha he is Sama. Venus has KPD (Kendraadipati Dosha),</t>
  </si>
  <si>
    <t>Venus,Merc,Saturn</t>
  </si>
  <si>
    <t>Jupiter,Moon</t>
  </si>
  <si>
    <r>
      <rPr>
        <sz val="9"/>
        <color rgb="FF000000"/>
        <rFont val="Arial Unicode MS"/>
        <family val="2"/>
        <charset val="1"/>
      </rPr>
      <t>Venus(12</t>
    </r>
    <r>
      <rPr>
        <vertAlign val="superscript"/>
        <sz val="9"/>
        <color rgb="FF000000"/>
        <rFont val="Arial Unicode MS"/>
        <family val="2"/>
        <charset val="1"/>
      </rPr>
      <t>th</t>
    </r>
    <r>
      <rPr>
        <sz val="9"/>
        <color rgb="FF000000"/>
        <rFont val="Arial Unicode MS"/>
        <family val="2"/>
        <charset val="1"/>
      </rPr>
      <t>/7</t>
    </r>
    <r>
      <rPr>
        <vertAlign val="superscript"/>
        <sz val="9"/>
        <color rgb="FF000000"/>
        <rFont val="Arial Unicode MS"/>
        <family val="2"/>
        <charset val="1"/>
      </rPr>
      <t>th</t>
    </r>
    <r>
      <rPr>
        <sz val="9"/>
        <color rgb="FF000000"/>
        <rFont val="Arial Unicode MS"/>
        <family val="2"/>
        <charset val="1"/>
      </rPr>
      <t>)</t>
    </r>
  </si>
  <si>
    <t>Sun,Moon Yoga Kaaraka, Mars Neutral</t>
  </si>
  <si>
    <t>No Mars he is neutral</t>
  </si>
  <si>
    <t>Saggittarius</t>
  </si>
  <si>
    <t>Venus (Only one malefic Venus)</t>
  </si>
  <si>
    <t>Mars,Sun</t>
  </si>
  <si>
    <r>
      <rPr>
        <sz val="9"/>
        <color rgb="FF000000"/>
        <rFont val="Arial Unicode MS"/>
        <family val="2"/>
        <charset val="1"/>
      </rPr>
      <t>Saturn(2</t>
    </r>
    <r>
      <rPr>
        <vertAlign val="superscript"/>
        <sz val="9"/>
        <color rgb="FF000000"/>
        <rFont val="Arial Unicode MS"/>
        <family val="2"/>
        <charset val="1"/>
      </rPr>
      <t>nd</t>
    </r>
    <r>
      <rPr>
        <sz val="9"/>
        <color rgb="FF000000"/>
        <rFont val="Arial Unicode MS"/>
        <family val="2"/>
        <charset val="1"/>
      </rPr>
      <t>)</t>
    </r>
  </si>
  <si>
    <t>Jupiter is Neutral, Sun+Merc = Raja Yoga</t>
  </si>
  <si>
    <t>Jupiter afflicted by KPD</t>
  </si>
  <si>
    <t>Mars,Jupiter,Moon</t>
  </si>
  <si>
    <t>Venus,Mercury</t>
  </si>
  <si>
    <r>
      <rPr>
        <sz val="9"/>
        <color rgb="FF000000"/>
        <rFont val="Arial Unicode MS"/>
        <family val="2"/>
        <charset val="1"/>
      </rPr>
      <t>Mars (11</t>
    </r>
    <r>
      <rPr>
        <vertAlign val="superscript"/>
        <sz val="9"/>
        <color rgb="FF000000"/>
        <rFont val="Arial Unicode MS"/>
        <family val="2"/>
        <charset val="1"/>
      </rPr>
      <t>th</t>
    </r>
    <r>
      <rPr>
        <sz val="9"/>
        <color rgb="FF000000"/>
        <rFont val="Arial Unicode MS"/>
        <family val="2"/>
        <charset val="1"/>
      </rPr>
      <t>)</t>
    </r>
  </si>
  <si>
    <t>Sun is neutral, Venus is yoga karaka</t>
  </si>
  <si>
    <t>No Saturn for Shubha though he is lagna Lord</t>
  </si>
  <si>
    <t>Jupiter,Moon, Mars</t>
  </si>
  <si>
    <t>Venus, Saturn</t>
  </si>
  <si>
    <r>
      <rPr>
        <sz val="9"/>
        <color rgb="FF000000"/>
        <rFont val="Arial Unicode MS"/>
        <family val="2"/>
        <charset val="1"/>
      </rPr>
      <t>Jupiter(2</t>
    </r>
    <r>
      <rPr>
        <vertAlign val="superscript"/>
        <sz val="9"/>
        <color rgb="FF000000"/>
        <rFont val="Arial Unicode MS"/>
        <family val="2"/>
        <charset val="1"/>
      </rPr>
      <t>nd</t>
    </r>
    <r>
      <rPr>
        <sz val="9"/>
        <color rgb="FF000000"/>
        <rFont val="Arial Unicode MS"/>
        <family val="2"/>
        <charset val="1"/>
      </rPr>
      <t>/11</t>
    </r>
    <r>
      <rPr>
        <vertAlign val="superscript"/>
        <sz val="9"/>
        <color rgb="FF000000"/>
        <rFont val="Arial Unicode MS"/>
        <family val="2"/>
        <charset val="1"/>
      </rPr>
      <t>th</t>
    </r>
    <r>
      <rPr>
        <sz val="9"/>
        <color rgb="FF000000"/>
        <rFont val="Arial Unicode MS"/>
        <family val="2"/>
        <charset val="1"/>
      </rPr>
      <t>), Mars (3</t>
    </r>
    <r>
      <rPr>
        <vertAlign val="superscript"/>
        <sz val="9"/>
        <color rgb="FF000000"/>
        <rFont val="Arial Unicode MS"/>
        <family val="2"/>
        <charset val="1"/>
      </rPr>
      <t>rd</t>
    </r>
    <r>
      <rPr>
        <sz val="9"/>
        <color rgb="FF000000"/>
        <rFont val="Arial Unicode MS"/>
        <family val="2"/>
        <charset val="1"/>
      </rPr>
      <t>),Sun(7</t>
    </r>
    <r>
      <rPr>
        <vertAlign val="superscript"/>
        <sz val="9"/>
        <color rgb="FF000000"/>
        <rFont val="Arial Unicode MS"/>
        <family val="2"/>
        <charset val="1"/>
      </rPr>
      <t>th</t>
    </r>
    <r>
      <rPr>
        <sz val="9"/>
        <color rgb="FF000000"/>
        <rFont val="Arial Unicode MS"/>
        <family val="2"/>
        <charset val="1"/>
      </rPr>
      <t>)</t>
    </r>
  </si>
  <si>
    <t>Venus Raja yoga karaka,Mercury Neutral</t>
  </si>
  <si>
    <t>No Mercury for shubha he is neutral</t>
  </si>
  <si>
    <t>Meena</t>
  </si>
  <si>
    <t>Saturn,Venus,Sun, Venus (Has 4 Malefics!)</t>
  </si>
  <si>
    <t>Mars,Moon</t>
  </si>
  <si>
    <r>
      <rPr>
        <sz val="9"/>
        <color rgb="FF000000"/>
        <rFont val="Arial Unicode MS"/>
        <family val="2"/>
        <charset val="1"/>
      </rPr>
      <t>Mars(2</t>
    </r>
    <r>
      <rPr>
        <vertAlign val="superscript"/>
        <sz val="9"/>
        <color rgb="FF000000"/>
        <rFont val="Arial Unicode MS"/>
        <family val="2"/>
        <charset val="1"/>
      </rPr>
      <t>nd</t>
    </r>
    <r>
      <rPr>
        <sz val="9"/>
        <color rgb="FF000000"/>
        <rFont val="Arial Unicode MS"/>
        <family val="2"/>
        <charset val="1"/>
      </rPr>
      <t>) (conjoined), Saturn(12</t>
    </r>
    <r>
      <rPr>
        <vertAlign val="superscript"/>
        <sz val="9"/>
        <color rgb="FF000000"/>
        <rFont val="Arial Unicode MS"/>
        <family val="2"/>
        <charset val="1"/>
      </rPr>
      <t>th</t>
    </r>
    <r>
      <rPr>
        <sz val="9"/>
        <color rgb="FF000000"/>
        <rFont val="Arial Unicode MS"/>
        <family val="2"/>
        <charset val="1"/>
      </rPr>
      <t>), Mercury(7</t>
    </r>
    <r>
      <rPr>
        <vertAlign val="superscript"/>
        <sz val="9"/>
        <color rgb="FF000000"/>
        <rFont val="Arial Unicode MS"/>
        <family val="2"/>
        <charset val="1"/>
      </rPr>
      <t>th</t>
    </r>
    <r>
      <rPr>
        <sz val="9"/>
        <color rgb="FF000000"/>
        <rFont val="Arial Unicode MS"/>
        <family val="2"/>
        <charset val="1"/>
      </rPr>
      <t>)</t>
    </r>
  </si>
  <si>
    <t>Mars+Moon=Raja Yoga</t>
  </si>
  <si>
    <t>Sign</t>
  </si>
  <si>
    <t>VaidyanaathaDx</t>
  </si>
  <si>
    <t>Varaahamihira</t>
  </si>
  <si>
    <t>Malefic</t>
  </si>
  <si>
    <t xml:space="preserve">Man with white dhoti, dark complexion, protecting with axe, red eyes </t>
  </si>
  <si>
    <t>Benefic</t>
  </si>
  <si>
    <t>Woman wearing Red, fond of ornaments and food, pot shapped, horse faced,thirsty,(eka paden/one legged?)</t>
  </si>
  <si>
    <t>Count - VaidyanaathaDx*</t>
  </si>
  <si>
    <t>Mixed</t>
  </si>
  <si>
    <t>Man Cruel,Artist, Yellow(Kapila), Task Minded, Unprincipled, Holding Baton, Red cloth, Agressive (Chanda)</t>
  </si>
  <si>
    <t>Vrishabha</t>
  </si>
  <si>
    <t>Women curled/dishealve/cut hair, pot shapped, burnt cloths, thirsty, fond of food and ornaments</t>
  </si>
  <si>
    <t xml:space="preserve">Man knowing Agriculture and animals with carts, ox like shoulders, </t>
  </si>
  <si>
    <t>WaterBearing</t>
  </si>
  <si>
    <t>Man with Elephant features, white teeth,legs like sharabha (like tiger), yellowish, catches of sheep and deer.</t>
  </si>
  <si>
    <t>Mithuna</t>
  </si>
  <si>
    <t>Women fond of needle work,goodlooking and fond of ornaments, less children, raised hand?</t>
  </si>
  <si>
    <t>Man in Garden with armour, bow. Brave, Face like Garuda,Playful,with children,ornaments and wealth</t>
  </si>
  <si>
    <t>Man decorated, like varuna, many jewels,armoured with quiver and bow, skilled in dancing,arts and poetry.</t>
  </si>
  <si>
    <t>Karka</t>
  </si>
  <si>
    <t>Man holding leaves fruits and roots, with elephant features,(forest resident?), feet like sharabha(like tiger?), horse necked</t>
  </si>
  <si>
    <t>Female having lotus on head?,with bhogi, between branches of phalaasha, crying?</t>
  </si>
  <si>
    <t>Man with Wife,jewels, travelling ocean, with ships,wearing snakes(like dress?), in search of wealth.</t>
  </si>
  <si>
    <t>Simha</t>
  </si>
  <si>
    <t>Man wearing dirty clother and on shaalmali tree a vulture,a jackal, dog, crying parents, brahmans?,</t>
  </si>
  <si>
    <t>Man with horse like body, wearing white garlands, wearing black blanket, fierce like lion with bow in hand and bent nose.</t>
  </si>
  <si>
    <t>Man with bears face, behaves like monkey, holds a baton, has fruits and meats, rough/curled hair?</t>
  </si>
  <si>
    <t>Kanya</t>
  </si>
  <si>
    <t>Tula</t>
  </si>
  <si>
    <t>Vrishchika</t>
  </si>
  <si>
    <t>Dhanura</t>
  </si>
  <si>
    <t>Makara</t>
  </si>
  <si>
    <t>Kumbha</t>
  </si>
  <si>
    <t>Selected Hora</t>
  </si>
  <si>
    <t>Sunrise</t>
  </si>
  <si>
    <t>Hours</t>
  </si>
  <si>
    <t>*Bold is Rahu Kaalam</t>
  </si>
  <si>
    <t>Border</t>
  </si>
  <si>
    <t>Nakshatra-Rashi</t>
  </si>
  <si>
    <t>Ashvini/Aries/Mesha</t>
  </si>
  <si>
    <t>Taurus/Rishabha</t>
  </si>
  <si>
    <t>Gemini/Mithuna</t>
  </si>
  <si>
    <t>Cancer/Karka</t>
  </si>
  <si>
    <t>Magha/Leo/Simha</t>
  </si>
  <si>
    <t>Virgo/Kanya</t>
  </si>
  <si>
    <t>Libra/Tula</t>
  </si>
  <si>
    <t>Scorpio/Vrischika</t>
  </si>
  <si>
    <t>Mula/Saggittarius/Dhanush</t>
  </si>
  <si>
    <t>Capricorn/Makara</t>
  </si>
  <si>
    <t>Aquarius/Kumbha</t>
  </si>
  <si>
    <t>Pisces/Meena</t>
  </si>
  <si>
    <t>L-&gt;H</t>
  </si>
  <si>
    <t>1H</t>
  </si>
  <si>
    <t>2H</t>
  </si>
  <si>
    <t>3H</t>
  </si>
  <si>
    <t>4H</t>
  </si>
  <si>
    <t>5H</t>
  </si>
  <si>
    <t>6H</t>
  </si>
  <si>
    <t>7H</t>
  </si>
  <si>
    <t>8H</t>
  </si>
  <si>
    <t>9H</t>
  </si>
  <si>
    <t>10H</t>
  </si>
  <si>
    <t>11H</t>
  </si>
  <si>
    <t>12H</t>
  </si>
  <si>
    <t>1L</t>
  </si>
  <si>
    <t>2L</t>
  </si>
  <si>
    <t>3L</t>
  </si>
  <si>
    <t>4L</t>
  </si>
  <si>
    <t>5L</t>
  </si>
  <si>
    <t>6L</t>
  </si>
  <si>
    <t>7L</t>
  </si>
  <si>
    <t>8L</t>
  </si>
  <si>
    <t>9L</t>
  </si>
  <si>
    <t>10L</t>
  </si>
  <si>
    <t>11L</t>
  </si>
  <si>
    <t>12L</t>
  </si>
  <si>
    <t>Jeeva</t>
  </si>
  <si>
    <t>Ashwini-1</t>
  </si>
  <si>
    <t>Dhanur</t>
  </si>
  <si>
    <t>Ashwini-2</t>
  </si>
  <si>
    <t>DayDuration</t>
  </si>
  <si>
    <t>Start Yama/Kaala</t>
  </si>
  <si>
    <t>Maandi</t>
  </si>
  <si>
    <t>Position in day</t>
  </si>
  <si>
    <t>Position in Night</t>
  </si>
  <si>
    <t>Gulika Position</t>
  </si>
  <si>
    <t>NightDuration</t>
  </si>
  <si>
    <t>Starting Tattva</t>
  </si>
  <si>
    <t>Kaala#</t>
  </si>
  <si>
    <t>15thPart</t>
  </si>
  <si>
    <t>Gu-Start</t>
  </si>
  <si>
    <t>Gu-End</t>
  </si>
  <si>
    <t>Balance</t>
  </si>
  <si>
    <t xml:space="preserve">Table 1: Tattva periods </t>
  </si>
  <si>
    <t>BirthGhatika</t>
  </si>
  <si>
    <t>Kaala Duration</t>
  </si>
  <si>
    <t>BirthKalaIndex</t>
  </si>
  <si>
    <t>Tattva Duration</t>
  </si>
  <si>
    <t>Tattva Period</t>
  </si>
  <si>
    <t>BirthTattvaIndex</t>
  </si>
  <si>
    <t>'</t>
  </si>
  <si>
    <t>Nite</t>
  </si>
  <si>
    <t>Påthvé 1</t>
  </si>
  <si>
    <t>Day Birth</t>
  </si>
  <si>
    <t>Thur</t>
  </si>
  <si>
    <t>Jala 2</t>
  </si>
  <si>
    <t>Agni 3</t>
  </si>
  <si>
    <t>Vayu 4</t>
  </si>
  <si>
    <t>Akasha 5</t>
  </si>
  <si>
    <t xml:space="preserve">Akasha 5 </t>
  </si>
  <si>
    <t xml:space="preserve">Vayu 4 </t>
  </si>
  <si>
    <t xml:space="preserve">Agni 3 </t>
  </si>
  <si>
    <t xml:space="preserve">Jala 2 </t>
  </si>
  <si>
    <t>NIGHT</t>
  </si>
  <si>
    <t>Rasi</t>
  </si>
  <si>
    <t>Sym</t>
  </si>
  <si>
    <t>Count Order</t>
  </si>
  <si>
    <t>Sequence Order</t>
  </si>
  <si>
    <t>F</t>
  </si>
  <si>
    <t>r</t>
  </si>
  <si>
    <t>R</t>
  </si>
  <si>
    <t>t</t>
  </si>
  <si>
    <t>Dob=</t>
  </si>
  <si>
    <t>D-Charts</t>
  </si>
  <si>
    <t>Optional</t>
  </si>
  <si>
    <t>AqLord</t>
  </si>
  <si>
    <t>ScLord</t>
  </si>
  <si>
    <t>-- Copy from this Row till indicated Below</t>
  </si>
  <si>
    <t>Narayana Dasa Rasi</t>
  </si>
  <si>
    <t>Divisional=</t>
  </si>
  <si>
    <t>Use Dasa Sesha?</t>
  </si>
  <si>
    <t>Sesha</t>
  </si>
  <si>
    <t>Dasa Start Sign =</t>
  </si>
  <si>
    <t>Av/Aroha</t>
  </si>
  <si>
    <t>Ex/Db</t>
  </si>
  <si>
    <t>Lord Distance</t>
  </si>
  <si>
    <t>Duration
Adjusted for Aroha</t>
  </si>
  <si>
    <t>AntarDasa</t>
  </si>
  <si>
    <t xml:space="preserve">--Till HEREto make Another Narayana Dasa and copy,paste the rows </t>
  </si>
  <si>
    <t>Narayana Dasa Chaturthamsa</t>
  </si>
  <si>
    <t>Narayana Dasa Shodasamsa</t>
  </si>
  <si>
    <t>SuDasa</t>
  </si>
  <si>
    <t>Aroha</t>
  </si>
  <si>
    <t>EAST</t>
  </si>
  <si>
    <t>NORTH</t>
  </si>
  <si>
    <t>अ/a</t>
  </si>
  <si>
    <t>Krithika</t>
  </si>
  <si>
    <t>Mrigashirisa</t>
  </si>
  <si>
    <t>Pusya</t>
  </si>
  <si>
    <t>Aslesha</t>
  </si>
  <si>
    <t>आ/ā</t>
  </si>
  <si>
    <t>SOUTH</t>
  </si>
  <si>
    <t>उ/u</t>
  </si>
  <si>
    <t>व/va (+ब ba)</t>
  </si>
  <si>
    <r>
      <rPr>
        <sz val="12"/>
        <rFont val="Arial Unicode MS"/>
        <family val="2"/>
        <charset val="1"/>
      </rPr>
      <t xml:space="preserve">क/ka
</t>
    </r>
    <r>
      <rPr>
        <sz val="10"/>
        <rFont val="Arial Unicode MS"/>
        <family val="2"/>
        <charset val="1"/>
      </rPr>
      <t>कु घ ङ च</t>
    </r>
  </si>
  <si>
    <t>ह/ha</t>
  </si>
  <si>
    <t>ड/ḍa</t>
  </si>
  <si>
    <t>ऊ/ū</t>
  </si>
  <si>
    <t>Makha</t>
  </si>
  <si>
    <t>Ash,Push,Has,Abhi</t>
  </si>
  <si>
    <t>ल/la</t>
  </si>
  <si>
    <t>ऌ/ḷ</t>
  </si>
  <si>
    <t>Vrishab</t>
  </si>
  <si>
    <t>Mithun</t>
  </si>
  <si>
    <t>Kark</t>
  </si>
  <si>
    <t>ऌ/ḷi</t>
  </si>
  <si>
    <t>म/ma</t>
  </si>
  <si>
    <t>Poorva phalguni</t>
  </si>
  <si>
    <t>3Pu,,Yama,Pitru</t>
  </si>
  <si>
    <t>च/ca</t>
  </si>
  <si>
    <t>Mesh</t>
  </si>
  <si>
    <t>ओ/o</t>
  </si>
  <si>
    <r>
      <rPr>
        <sz val="10"/>
        <rFont val="Arial Unicode MS"/>
        <family val="2"/>
        <charset val="1"/>
      </rPr>
      <t xml:space="preserve">Nanda </t>
    </r>
    <r>
      <rPr>
        <b/>
        <sz val="10"/>
        <rFont val="Arial Unicode MS"/>
        <family val="2"/>
        <charset val="1"/>
      </rPr>
      <t>Sunday Tuesday</t>
    </r>
  </si>
  <si>
    <t>औ/au</t>
  </si>
  <si>
    <t>ट/ṭa</t>
  </si>
  <si>
    <t>Uttara phalguni</t>
  </si>
  <si>
    <t>Kri,Visha</t>
  </si>
  <si>
    <t>Uttara bhadrapada</t>
  </si>
  <si>
    <r>
      <rPr>
        <sz val="12"/>
        <rFont val="Arial Unicode MS"/>
        <family val="2"/>
        <charset val="1"/>
      </rPr>
      <t xml:space="preserve">द/da
दु थ झ </t>
    </r>
    <r>
      <rPr>
        <sz val="16"/>
        <color rgb="FF000000"/>
        <rFont val="Sanskrit 2003"/>
        <charset val="1"/>
      </rPr>
      <t>ञ</t>
    </r>
  </si>
  <si>
    <r>
      <rPr>
        <sz val="10"/>
        <rFont val="Arial Unicode MS"/>
        <family val="2"/>
        <charset val="1"/>
      </rPr>
      <t xml:space="preserve">Rikta
</t>
    </r>
    <r>
      <rPr>
        <b/>
        <sz val="10"/>
        <rFont val="Arial Unicode MS"/>
        <family val="2"/>
        <charset val="1"/>
      </rPr>
      <t>Friday</t>
    </r>
  </si>
  <si>
    <r>
      <rPr>
        <sz val="10"/>
        <rFont val="Arial Unicode MS"/>
        <family val="2"/>
        <charset val="1"/>
      </rPr>
      <t xml:space="preserve">Poorna </t>
    </r>
    <r>
      <rPr>
        <b/>
        <sz val="10"/>
        <rFont val="Arial Unicode MS"/>
        <family val="2"/>
        <charset val="1"/>
      </rPr>
      <t>Saturday</t>
    </r>
  </si>
  <si>
    <r>
      <rPr>
        <sz val="10"/>
        <rFont val="Arial Unicode MS"/>
        <family val="2"/>
        <charset val="1"/>
      </rPr>
      <t xml:space="preserve">Bhadra
</t>
    </r>
    <r>
      <rPr>
        <b/>
        <sz val="10"/>
        <rFont val="Arial Unicode MS"/>
        <family val="2"/>
        <charset val="1"/>
      </rPr>
      <t>Monday Wednesday</t>
    </r>
  </si>
  <si>
    <t>प/pa
 पु ष ण ठ</t>
  </si>
  <si>
    <t>3 Ut, Ro,</t>
  </si>
  <si>
    <t>Poorva bhadrapada</t>
  </si>
  <si>
    <t>स/sa (+श śa)</t>
  </si>
  <si>
    <t>Kumbh</t>
  </si>
  <si>
    <t>अः/aḥ</t>
  </si>
  <si>
    <r>
      <rPr>
        <sz val="10"/>
        <rFont val="Arial Unicode MS"/>
        <family val="2"/>
        <charset val="1"/>
      </rPr>
      <t xml:space="preserve">Jaya
</t>
    </r>
    <r>
      <rPr>
        <b/>
        <sz val="10"/>
        <rFont val="Arial Unicode MS"/>
        <family val="2"/>
        <charset val="1"/>
      </rPr>
      <t>Thursday</t>
    </r>
  </si>
  <si>
    <t>अं/aṁ</t>
  </si>
  <si>
    <t>र/ra</t>
  </si>
  <si>
    <t>Anu,,Mrig,Chit,Reva</t>
  </si>
  <si>
    <t>Satabhisak</t>
  </si>
  <si>
    <t>ग/ga</t>
  </si>
  <si>
    <t>ऐ/ai</t>
  </si>
  <si>
    <t>Makar</t>
  </si>
  <si>
    <t>Dhanus</t>
  </si>
  <si>
    <t>Vrischik</t>
  </si>
  <si>
    <t>ए/e</t>
  </si>
  <si>
    <t>त/ta</t>
  </si>
  <si>
    <t>Sarp,Raksha,Indra,Rudra</t>
  </si>
  <si>
    <t>Dhanista</t>
  </si>
  <si>
    <t>ऋ/ṛi</t>
  </si>
  <si>
    <t>ख/kha (+षṣa)</t>
  </si>
  <si>
    <t>ज/ja</t>
  </si>
  <si>
    <r>
      <rPr>
        <sz val="12"/>
        <rFont val="Arial Unicode MS"/>
        <family val="2"/>
        <charset val="1"/>
      </rPr>
      <t xml:space="preserve">भ/bha
</t>
    </r>
    <r>
      <rPr>
        <sz val="10"/>
        <rFont val="Arial Unicode MS"/>
        <family val="2"/>
        <charset val="1"/>
      </rPr>
      <t>भु ध फ ट</t>
    </r>
  </si>
  <si>
    <t>य/ya</t>
  </si>
  <si>
    <t>न/na</t>
  </si>
  <si>
    <t>ऋ/ṛ</t>
  </si>
  <si>
    <t>Visakha</t>
  </si>
  <si>
    <t>Vasu,PuVasu,,Varuna,Vishnu,Vayu,</t>
  </si>
  <si>
    <t>ई/ī</t>
  </si>
  <si>
    <t>Uttar Ashada</t>
  </si>
  <si>
    <t>Poorva Ashada</t>
  </si>
  <si>
    <t>इ/i</t>
  </si>
  <si>
    <t>WEST</t>
  </si>
  <si>
    <t>Unicode Fonts</t>
  </si>
  <si>
    <t>Sahama</t>
  </si>
  <si>
    <t>Formula (Shodhaka-Shodhya)+Kshepak</t>
  </si>
  <si>
    <t>Tithi Part</t>
  </si>
  <si>
    <t>Opposite Correction</t>
  </si>
  <si>
    <t>Day/Night Correction2</t>
  </si>
  <si>
    <t>Mod360</t>
  </si>
  <si>
    <t>Correction IF(Not(Kshepak between Shodhak and Shodya Add 30deg</t>
  </si>
  <si>
    <t>LL</t>
  </si>
  <si>
    <t>1A</t>
  </si>
  <si>
    <t>Punya</t>
  </si>
  <si>
    <t>Fortune/good deeds</t>
  </si>
  <si>
    <t>Moon-Sun+Lagna</t>
  </si>
  <si>
    <t>Uses Tithi</t>
  </si>
  <si>
    <t>1B</t>
  </si>
  <si>
    <t>Vidya/Guru</t>
  </si>
  <si>
    <t>Education</t>
  </si>
  <si>
    <t>Sun-Moon+Lagna</t>
  </si>
  <si>
    <t>Yasas</t>
  </si>
  <si>
    <t>Fame</t>
  </si>
  <si>
    <t>Jupiter-PunyaSaham+Lagna</t>
  </si>
  <si>
    <t>Friend</t>
  </si>
  <si>
    <t>Jupiter-PunyaSaham+Venus</t>
  </si>
  <si>
    <t>Mahatmya</t>
  </si>
  <si>
    <t>Greatness</t>
  </si>
  <si>
    <t>PunyaSaham-Mars+Lagna</t>
  </si>
  <si>
    <t>Asha</t>
  </si>
  <si>
    <t>Desires</t>
  </si>
  <si>
    <t>Saturn-Mars+Lagna</t>
  </si>
  <si>
    <t>Samartha</t>
  </si>
  <si>
    <t>Enterprise/ability</t>
  </si>
  <si>
    <t>Mars-LagnaLord+Lagna</t>
  </si>
  <si>
    <t>Jupiter - Mars + Lagna, if Mars owns lagna)</t>
  </si>
  <si>
    <t>Bhratri</t>
  </si>
  <si>
    <t>Brothers</t>
  </si>
  <si>
    <t>Jupiter-Saturn+Lagna</t>
  </si>
  <si>
    <t>same for day &amp; night)</t>
  </si>
  <si>
    <t>Gaurava</t>
  </si>
  <si>
    <t>Respect/regard</t>
  </si>
  <si>
    <t>Jupiter-Moon+Sun</t>
  </si>
  <si>
    <t>Pitri</t>
  </si>
  <si>
    <t>Father</t>
  </si>
  <si>
    <t>Saturn-Sun+Lagna</t>
  </si>
  <si>
    <t>Rajya</t>
  </si>
  <si>
    <t>Kingdom</t>
  </si>
  <si>
    <t>Matri</t>
  </si>
  <si>
    <t>Mother</t>
  </si>
  <si>
    <t>Moon-Venus+Lagna</t>
  </si>
  <si>
    <t>Putra</t>
  </si>
  <si>
    <t>Children</t>
  </si>
  <si>
    <t>Jupiter-Moon+Lagna</t>
  </si>
  <si>
    <t>Life</t>
  </si>
  <si>
    <t>Saturn-Jupiter+Lagna</t>
  </si>
  <si>
    <t>Action /Work</t>
  </si>
  <si>
    <t>Mars-Mercury+Lagna</t>
  </si>
  <si>
    <t>Roga</t>
  </si>
  <si>
    <t>Disease</t>
  </si>
  <si>
    <t>Lagna-Moon+Lagna</t>
  </si>
  <si>
    <t>Great misfortune</t>
  </si>
  <si>
    <t>Jupiter-Mars+Lagna</t>
  </si>
  <si>
    <t>Sastra</t>
  </si>
  <si>
    <t>Sciences</t>
  </si>
  <si>
    <t>Jupiter-Saturn+Mercury</t>
  </si>
  <si>
    <t>Bandhu</t>
  </si>
  <si>
    <t>Relatives</t>
  </si>
  <si>
    <t>Mercury-Moon+Lagna</t>
  </si>
  <si>
    <t>Death</t>
  </si>
  <si>
    <t>8thhouse-Moon+Lagna</t>
  </si>
  <si>
    <t>Paradesa</t>
  </si>
  <si>
    <t>Foreign countries</t>
  </si>
  <si>
    <t>9thhouse-9thlord+Lagna</t>
  </si>
  <si>
    <t>Money</t>
  </si>
  <si>
    <t>2ndhouse-2ndlord+Lagna</t>
  </si>
  <si>
    <t>Paradara</t>
  </si>
  <si>
    <t>Adultery</t>
  </si>
  <si>
    <t>Venus-Sun+Lagna</t>
  </si>
  <si>
    <t>Vanik</t>
  </si>
  <si>
    <t>Commerce</t>
  </si>
  <si>
    <t>Moon-Mercury+Lagna</t>
  </si>
  <si>
    <t>Karyasiddhi</t>
  </si>
  <si>
    <t>Success in endeavours</t>
  </si>
  <si>
    <t>Saturn-Sun+Lordofsunsign</t>
  </si>
  <si>
    <t>Night: Saturn - Moon + Lord of Moonsign)</t>
  </si>
  <si>
    <t>Vivaha</t>
  </si>
  <si>
    <t>Marriage</t>
  </si>
  <si>
    <t>Venus-Saturn+Lagna</t>
  </si>
  <si>
    <t>Santapa</t>
  </si>
  <si>
    <t>Sadness</t>
  </si>
  <si>
    <t>Saturn-Moon+6thhouse</t>
  </si>
  <si>
    <t>Sraddha</t>
  </si>
  <si>
    <t>Devotion/sincerity</t>
  </si>
  <si>
    <t>Venus-Mars+Lagna</t>
  </si>
  <si>
    <t>Preeti</t>
  </si>
  <si>
    <t>Love/attachment</t>
  </si>
  <si>
    <t>SastraSaham-PunyaSaham+Lagna</t>
  </si>
  <si>
    <t>Jadya</t>
  </si>
  <si>
    <t>Chronic disease</t>
  </si>
  <si>
    <t>Mars-Saturn+Mercury</t>
  </si>
  <si>
    <t>Vyapara</t>
  </si>
  <si>
    <t>Mars-Saturn+Lagna</t>
  </si>
  <si>
    <t>Satru</t>
  </si>
  <si>
    <t>Enemy</t>
  </si>
  <si>
    <t>Jalapatana</t>
  </si>
  <si>
    <t>Crossing an ocean</t>
  </si>
  <si>
    <t>Cancer15º-Saturn+Lagna</t>
  </si>
  <si>
    <t>Bandhana</t>
  </si>
  <si>
    <t>Imprisonment</t>
  </si>
  <si>
    <t>PunyaSaham-Saturn+Lagna</t>
  </si>
  <si>
    <t>Apamrityu</t>
  </si>
  <si>
    <t>Bad death</t>
  </si>
  <si>
    <t>8thhouse-Mars+Lagna</t>
  </si>
  <si>
    <t>Labha</t>
  </si>
  <si>
    <t>Material gains</t>
  </si>
  <si>
    <t>11thhouse-11thlord+Lagna</t>
  </si>
  <si>
    <t>Infatuations/Love</t>
  </si>
  <si>
    <t>moon-LagnaLord+lagna</t>
  </si>
  <si>
    <t>from KS Charak book</t>
  </si>
  <si>
    <t>Sun+Moon+Jupiter</t>
  </si>
  <si>
    <t>5*moon-5*Sun</t>
  </si>
  <si>
    <t>Santhana Tithi Sphuta</t>
  </si>
  <si>
    <t>Santhana Tithi</t>
  </si>
  <si>
    <t>शत पथ चक्र</t>
  </si>
  <si>
    <t>इन्द्र</t>
  </si>
  <si>
    <t>कुबेर</t>
  </si>
  <si>
    <t>मि</t>
  </si>
  <si>
    <t>मु</t>
  </si>
  <si>
    <t>मे</t>
  </si>
  <si>
    <t>मो</t>
  </si>
  <si>
    <t>यम</t>
  </si>
  <si>
    <t>वि</t>
  </si>
  <si>
    <t>वु</t>
  </si>
  <si>
    <t>वे</t>
  </si>
  <si>
    <t>वो</t>
  </si>
  <si>
    <t>टि</t>
  </si>
  <si>
    <t>टु</t>
  </si>
  <si>
    <t>टे</t>
  </si>
  <si>
    <t>टो</t>
  </si>
  <si>
    <t>कि</t>
  </si>
  <si>
    <t>कु घ ङ च</t>
  </si>
  <si>
    <t>के</t>
  </si>
  <si>
    <t>को</t>
  </si>
  <si>
    <t>पि</t>
  </si>
  <si>
    <t xml:space="preserve"> पु ष ण ठ</t>
  </si>
  <si>
    <t>पे</t>
  </si>
  <si>
    <t>पो</t>
  </si>
  <si>
    <t>हि</t>
  </si>
  <si>
    <t>हु</t>
  </si>
  <si>
    <t>हे</t>
  </si>
  <si>
    <t>हो</t>
  </si>
  <si>
    <t>रि</t>
  </si>
  <si>
    <t>रु</t>
  </si>
  <si>
    <t>रे</t>
  </si>
  <si>
    <t>रो</t>
  </si>
  <si>
    <t>डि</t>
  </si>
  <si>
    <t>डु</t>
  </si>
  <si>
    <t>डे</t>
  </si>
  <si>
    <t>डो</t>
  </si>
  <si>
    <t>ति</t>
  </si>
  <si>
    <t>तु</t>
  </si>
  <si>
    <t>ते</t>
  </si>
  <si>
    <t>तो</t>
  </si>
  <si>
    <t>गि</t>
  </si>
  <si>
    <t>गु</t>
  </si>
  <si>
    <t>गे</t>
  </si>
  <si>
    <t>गो</t>
  </si>
  <si>
    <t>नि</t>
  </si>
  <si>
    <t>नु</t>
  </si>
  <si>
    <t>ने</t>
  </si>
  <si>
    <t>नो</t>
  </si>
  <si>
    <t>सि</t>
  </si>
  <si>
    <t>सु</t>
  </si>
  <si>
    <t>से</t>
  </si>
  <si>
    <t>सो</t>
  </si>
  <si>
    <t>यि</t>
  </si>
  <si>
    <t>यु</t>
  </si>
  <si>
    <t>ये</t>
  </si>
  <si>
    <t>यो</t>
  </si>
  <si>
    <t>दि</t>
  </si>
  <si>
    <t>दु थ झ म</t>
  </si>
  <si>
    <t>दे</t>
  </si>
  <si>
    <t>दो</t>
  </si>
  <si>
    <t>भि</t>
  </si>
  <si>
    <t>भु ध फ ट</t>
  </si>
  <si>
    <t>भे</t>
  </si>
  <si>
    <t>भो</t>
  </si>
  <si>
    <t>चि</t>
  </si>
  <si>
    <t>चु</t>
  </si>
  <si>
    <t>चे</t>
  </si>
  <si>
    <t>चो</t>
  </si>
  <si>
    <t>जि</t>
  </si>
  <si>
    <t>जु</t>
  </si>
  <si>
    <t>जे</t>
  </si>
  <si>
    <t>जो</t>
  </si>
  <si>
    <t>लि</t>
  </si>
  <si>
    <t>लु</t>
  </si>
  <si>
    <t>ले</t>
  </si>
  <si>
    <t>लो</t>
  </si>
  <si>
    <t>खि</t>
  </si>
  <si>
    <t>खु</t>
  </si>
  <si>
    <t>खे</t>
  </si>
  <si>
    <t>खो</t>
  </si>
  <si>
    <t>वरुण</t>
  </si>
  <si>
    <t xml:space="preserve">śata patha cakra </t>
  </si>
  <si>
    <t>mi</t>
  </si>
  <si>
    <t>mu</t>
  </si>
  <si>
    <t>me</t>
  </si>
  <si>
    <t>mo</t>
  </si>
  <si>
    <t>vi</t>
  </si>
  <si>
    <t>vu</t>
  </si>
  <si>
    <t>ve</t>
  </si>
  <si>
    <t>vo</t>
  </si>
  <si>
    <t>ṭi</t>
  </si>
  <si>
    <t>ṭu</t>
  </si>
  <si>
    <t>ṭe</t>
  </si>
  <si>
    <t>ṭo</t>
  </si>
  <si>
    <t>ki</t>
  </si>
  <si>
    <t>ku gha ṅa ca</t>
  </si>
  <si>
    <t>ke</t>
  </si>
  <si>
    <t>ko</t>
  </si>
  <si>
    <t>pi</t>
  </si>
  <si>
    <t>pu ṣa ṇa ṭha</t>
  </si>
  <si>
    <t>pe</t>
  </si>
  <si>
    <t>po</t>
  </si>
  <si>
    <t>hi</t>
  </si>
  <si>
    <t>hu</t>
  </si>
  <si>
    <t>he</t>
  </si>
  <si>
    <t>ho</t>
  </si>
  <si>
    <t>ri</t>
  </si>
  <si>
    <t>ru</t>
  </si>
  <si>
    <t>re</t>
  </si>
  <si>
    <t>ro</t>
  </si>
  <si>
    <t>ḍi</t>
  </si>
  <si>
    <t>ḍu</t>
  </si>
  <si>
    <t>ḍe</t>
  </si>
  <si>
    <t>ḍo</t>
  </si>
  <si>
    <t>ti</t>
  </si>
  <si>
    <t>tu</t>
  </si>
  <si>
    <t>te</t>
  </si>
  <si>
    <t>to</t>
  </si>
  <si>
    <t>gi</t>
  </si>
  <si>
    <t>gu</t>
  </si>
  <si>
    <t>ge</t>
  </si>
  <si>
    <t>go</t>
  </si>
  <si>
    <t>ni</t>
  </si>
  <si>
    <t>nu</t>
  </si>
  <si>
    <t>ne</t>
  </si>
  <si>
    <t>no</t>
  </si>
  <si>
    <t>si</t>
  </si>
  <si>
    <t>su</t>
  </si>
  <si>
    <t>se</t>
  </si>
  <si>
    <t>so</t>
  </si>
  <si>
    <t>yi</t>
  </si>
  <si>
    <t>yu</t>
  </si>
  <si>
    <t>ye</t>
  </si>
  <si>
    <t>yo</t>
  </si>
  <si>
    <t>di</t>
  </si>
  <si>
    <t>du tha jha ma</t>
  </si>
  <si>
    <t>de</t>
  </si>
  <si>
    <t>do</t>
  </si>
  <si>
    <t>bhi</t>
  </si>
  <si>
    <t>bhu dha pha ṭa</t>
  </si>
  <si>
    <t>bhe</t>
  </si>
  <si>
    <t>bho</t>
  </si>
  <si>
    <t>ci</t>
  </si>
  <si>
    <t>cu</t>
  </si>
  <si>
    <t>ce</t>
  </si>
  <si>
    <t>co</t>
  </si>
  <si>
    <t>ji</t>
  </si>
  <si>
    <t>ju</t>
  </si>
  <si>
    <t>je</t>
  </si>
  <si>
    <t>jo</t>
  </si>
  <si>
    <t>li</t>
  </si>
  <si>
    <t>lu</t>
  </si>
  <si>
    <t>le</t>
  </si>
  <si>
    <t>lo</t>
  </si>
  <si>
    <t>khi</t>
  </si>
  <si>
    <t>khu</t>
  </si>
  <si>
    <t>khe</t>
  </si>
  <si>
    <t>kho</t>
  </si>
  <si>
    <t xml:space="preserve">shata patha cakra </t>
  </si>
  <si>
    <t>Ti</t>
  </si>
  <si>
    <t>Tu</t>
  </si>
  <si>
    <t>Te</t>
  </si>
  <si>
    <t>To</t>
  </si>
  <si>
    <t>kugha~Naca</t>
  </si>
  <si>
    <t>puShaNaTha</t>
  </si>
  <si>
    <t>Da</t>
  </si>
  <si>
    <t>Di</t>
  </si>
  <si>
    <t>Du</t>
  </si>
  <si>
    <t>De</t>
  </si>
  <si>
    <t>Do</t>
  </si>
  <si>
    <t>duthajhama</t>
  </si>
  <si>
    <t>bhudhaphaTa</t>
  </si>
  <si>
    <t>Hundred Paths Chakra</t>
  </si>
  <si>
    <t>Krittika 1</t>
  </si>
  <si>
    <t>Krittika 2</t>
  </si>
  <si>
    <t>Krittika 3</t>
  </si>
  <si>
    <t>Krittika 4</t>
  </si>
  <si>
    <t>Rohini 1</t>
  </si>
  <si>
    <t>Magha 1</t>
  </si>
  <si>
    <t>Magha 2</t>
  </si>
  <si>
    <t>Magha 3</t>
  </si>
  <si>
    <t>Magha 4</t>
  </si>
  <si>
    <t>P.Phaluguni 1</t>
  </si>
  <si>
    <t>Rohini 2</t>
  </si>
  <si>
    <t>Rohini 3</t>
  </si>
  <si>
    <t>Rohini 4</t>
  </si>
  <si>
    <t>Mrigashir 1</t>
  </si>
  <si>
    <t>Mrigashir 2</t>
  </si>
  <si>
    <t>P.Phalguni 2</t>
  </si>
  <si>
    <t>P.Phalguni 3</t>
  </si>
  <si>
    <t>P.Phalguni 4</t>
  </si>
  <si>
    <t>U.Phalguni 1</t>
  </si>
  <si>
    <t>U.Phalguni 2</t>
  </si>
  <si>
    <t>Mrigashir 3</t>
  </si>
  <si>
    <t>Mrigashir 4</t>
  </si>
  <si>
    <t>Ardra 1-4</t>
  </si>
  <si>
    <t>Punarvasu 1</t>
  </si>
  <si>
    <t>Punarvasu 2</t>
  </si>
  <si>
    <t>U.Phalguni 3</t>
  </si>
  <si>
    <t>U.Phalguni 4</t>
  </si>
  <si>
    <t>Hasta 1-4</t>
  </si>
  <si>
    <t>Chitra 1</t>
  </si>
  <si>
    <t>Chitra 2</t>
  </si>
  <si>
    <t>Punarvasu 3</t>
  </si>
  <si>
    <t>Punarvasu 4</t>
  </si>
  <si>
    <t>Pushya 1</t>
  </si>
  <si>
    <t>Pushya 2</t>
  </si>
  <si>
    <t>Pushya 3</t>
  </si>
  <si>
    <t>Chitra 3</t>
  </si>
  <si>
    <t>Chitra 4</t>
  </si>
  <si>
    <t>Swati 1</t>
  </si>
  <si>
    <t>Swati 2</t>
  </si>
  <si>
    <t>Swati 3</t>
  </si>
  <si>
    <t>Pushya 4</t>
  </si>
  <si>
    <t>Ashlesha 1</t>
  </si>
  <si>
    <t>Ashlesha 2</t>
  </si>
  <si>
    <t>Ashlesha 3</t>
  </si>
  <si>
    <t>Ashlesha 4</t>
  </si>
  <si>
    <t>Swati 4</t>
  </si>
  <si>
    <t>Vishaka 1</t>
  </si>
  <si>
    <t>Vishaka 2</t>
  </si>
  <si>
    <t>Vishaka 3</t>
  </si>
  <si>
    <t>Vishaka 4</t>
  </si>
  <si>
    <t>Dhanishta 1</t>
  </si>
  <si>
    <t>Dhanishta 2</t>
  </si>
  <si>
    <t>Dhanishta 3</t>
  </si>
  <si>
    <t>Dhanishta 4</t>
  </si>
  <si>
    <t>Shatbhishaj 1</t>
  </si>
  <si>
    <t>Anuradha 1</t>
  </si>
  <si>
    <t>Anuradha 2</t>
  </si>
  <si>
    <t>Anuradha 3</t>
  </si>
  <si>
    <t>Anuradha 4</t>
  </si>
  <si>
    <t>Jyeshta 1</t>
  </si>
  <si>
    <t>Shatabhishaj 2</t>
  </si>
  <si>
    <t>Shatabhishaj 3</t>
  </si>
  <si>
    <t>Shatabhishaj 4</t>
  </si>
  <si>
    <t>P.Bhadra 1</t>
  </si>
  <si>
    <t>P.Bhadra 2</t>
  </si>
  <si>
    <t>Jyeshta 2</t>
  </si>
  <si>
    <t>Jyeshta 3</t>
  </si>
  <si>
    <t>Jyestha 4</t>
  </si>
  <si>
    <t>Moola 1</t>
  </si>
  <si>
    <t>Moola 2</t>
  </si>
  <si>
    <t>P.Bhadra 3</t>
  </si>
  <si>
    <t>P.Bhadra 4</t>
  </si>
  <si>
    <t>U.Bhadra 1-4</t>
  </si>
  <si>
    <t>Revati 1</t>
  </si>
  <si>
    <t>Revati 2</t>
  </si>
  <si>
    <t>Moola 3</t>
  </si>
  <si>
    <t>Moola 4</t>
  </si>
  <si>
    <t>P.Ashada 1-4</t>
  </si>
  <si>
    <t>U.Ashada 1</t>
  </si>
  <si>
    <t>U.Ashada 2</t>
  </si>
  <si>
    <t>Revati 3</t>
  </si>
  <si>
    <t>Revati 4</t>
  </si>
  <si>
    <t>Ashvini 1</t>
  </si>
  <si>
    <t>Ashvini 2</t>
  </si>
  <si>
    <t>Ashvini 3</t>
  </si>
  <si>
    <t>U.Ashada 3</t>
  </si>
  <si>
    <t>U.Ashada 4</t>
  </si>
  <si>
    <t>Abhijit 1</t>
  </si>
  <si>
    <t>Abhijit 2</t>
  </si>
  <si>
    <t>Abhijit 3</t>
  </si>
  <si>
    <t>Ashvini 4</t>
  </si>
  <si>
    <t>Bharani 1</t>
  </si>
  <si>
    <t>Bharani 2</t>
  </si>
  <si>
    <t>Bharani 3</t>
  </si>
  <si>
    <t>Bharini 4</t>
  </si>
  <si>
    <t>Sravana 1</t>
  </si>
  <si>
    <t>Sravana 2</t>
  </si>
  <si>
    <t>Sravana 3</t>
  </si>
  <si>
    <t>Sravana 4</t>
  </si>
  <si>
    <t>©Sanjay Prabhakaran</t>
  </si>
  <si>
    <t>Dig</t>
  </si>
  <si>
    <t>Ge,
Rahu,Ether,
T00, T8, Hare, Crow</t>
  </si>
  <si>
    <t>Ar,Ta
Su, Pritvi
T1,T9, Animal:Garuda, Yoni:Dwaja</t>
  </si>
  <si>
    <t>Vi
Ma,Agni
T3,T11,Cat,Dhuma</t>
  </si>
  <si>
    <t>Point</t>
  </si>
  <si>
    <t>Shiva Gana Mantra</t>
  </si>
  <si>
    <t>Shiva Gana Mantra2</t>
  </si>
  <si>
    <t>Ashta Siddhi</t>
  </si>
  <si>
    <t>(E)</t>
  </si>
  <si>
    <t>ॐ नन्दिने नमः।</t>
  </si>
  <si>
    <t>om nandine namaḥ | (E)</t>
  </si>
  <si>
    <t>ॐ अणिमायै नमः।</t>
  </si>
  <si>
    <t>(SE)</t>
  </si>
  <si>
    <t>ॐ महाकालाय नमः।</t>
  </si>
  <si>
    <t>om mahākālāya namaḥ | (SE)</t>
  </si>
  <si>
    <t>ॐ महिमायै नमः।</t>
  </si>
  <si>
    <t>(S)</t>
  </si>
  <si>
    <t>ॐ गणेशाय नमः।</t>
  </si>
  <si>
    <t>om gaṇeśāya namaḥ | (S)</t>
  </si>
  <si>
    <t>ॐ लघिमायै नमः।</t>
  </si>
  <si>
    <t>(SW)</t>
  </si>
  <si>
    <t>ॐ वृषभाय नमः।</t>
  </si>
  <si>
    <t>om vṛṣabhāya namaḥ | (SW)</t>
  </si>
  <si>
    <t>ॐ गरिमायै नमः।</t>
  </si>
  <si>
    <t>Cp,Aq,
Mo,Jala,
T2,T10, Matanga, elephant</t>
  </si>
  <si>
    <t>OM</t>
  </si>
  <si>
    <t>Ca,Le,
Ju,Pritvi
T5,T13,Lion,Simha</t>
  </si>
  <si>
    <t>(W)</t>
  </si>
  <si>
    <t>ॐ भृङ्गीरिटिणे नमः।</t>
  </si>
  <si>
    <t>om bhṛṅgīriṭiṇe namaḥ | (W)</t>
  </si>
  <si>
    <t>ॐ प्राप्त्यै नमः।</t>
  </si>
  <si>
    <t>(NW)</t>
  </si>
  <si>
    <t>ॐ स्कन्दाय नमः।</t>
  </si>
  <si>
    <t>om skandāya namaḥ | (NW)</t>
  </si>
  <si>
    <t>ॐ प्राकाम्यायै नमः।</t>
  </si>
  <si>
    <t>(N)</t>
  </si>
  <si>
    <t>ॐ उमायै नमः।</t>
  </si>
  <si>
    <t>om umāyai namaḥ | (N)</t>
  </si>
  <si>
    <t>ॐ ईशितायै नमः।</t>
  </si>
  <si>
    <t>(NE)</t>
  </si>
  <si>
    <t>ॐ चण्डीश्वराय नमः।</t>
  </si>
  <si>
    <t>om caṇḍīśvarāya namaḥ | (NE)</t>
  </si>
  <si>
    <t>ॐ वशितायै नमः।</t>
  </si>
  <si>
    <t>Pi,
Saturn,Vayu
T7,T15,Mouse, Khara(Donkey)</t>
  </si>
  <si>
    <t>Li,Sc,
Venus,Jala,
T6,T14,Sarpa, Ox</t>
  </si>
  <si>
    <t>Sg,
Mercury,Ether,
T4,T12,Dog,Dog</t>
  </si>
  <si>
    <t>DateTime</t>
  </si>
  <si>
    <t>Julian</t>
  </si>
  <si>
    <t>(Formula Given in BPHS and example from http://vedicastro.com/vedic-system-of-calculating-ascendant/)</t>
  </si>
  <si>
    <t>TZ</t>
  </si>
  <si>
    <t>Latitude</t>
  </si>
  <si>
    <r>
      <rPr>
        <sz val="11"/>
        <color rgb="FF000000"/>
        <rFont val="Calibri"/>
        <family val="2"/>
        <charset val="1"/>
      </rPr>
      <t>Palbhaa/</t>
    </r>
    <r>
      <rPr>
        <sz val="11"/>
        <color rgb="FF000000"/>
        <rFont val="Lohit Devanagari"/>
        <family val="2"/>
        <charset val="1"/>
      </rPr>
      <t>पलभा</t>
    </r>
  </si>
  <si>
    <t>TimeZoneE/W</t>
  </si>
  <si>
    <t>Val1</t>
  </si>
  <si>
    <t>asus</t>
  </si>
  <si>
    <t>TimeZone</t>
  </si>
  <si>
    <t>Val2</t>
  </si>
  <si>
    <t>Time=hr</t>
  </si>
  <si>
    <t>Val3</t>
  </si>
  <si>
    <t>ay=</t>
  </si>
  <si>
    <t>f=Universal Time</t>
  </si>
  <si>
    <t>Signs</t>
  </si>
  <si>
    <t>Lankodaya</t>
  </si>
  <si>
    <t>Asus(4 Secs)</t>
  </si>
  <si>
    <t>H:M:S</t>
  </si>
  <si>
    <t>Pala</t>
  </si>
  <si>
    <t>%</t>
  </si>
  <si>
    <t>t=</t>
  </si>
  <si>
    <t>I</t>
  </si>
  <si>
    <t>ln=longitude=</t>
  </si>
  <si>
    <t>II</t>
  </si>
  <si>
    <t>A1</t>
  </si>
  <si>
    <t>la=latitude=</t>
  </si>
  <si>
    <t>III</t>
  </si>
  <si>
    <t>A2</t>
  </si>
  <si>
    <t>ra=</t>
  </si>
  <si>
    <t>A3</t>
  </si>
  <si>
    <t>ob=</t>
  </si>
  <si>
    <t>T1</t>
  </si>
  <si>
    <t>mc=</t>
  </si>
  <si>
    <t>T2</t>
  </si>
  <si>
    <t>mc'=</t>
  </si>
  <si>
    <t>Jhora</t>
  </si>
  <si>
    <t>T3</t>
  </si>
  <si>
    <t>mc''=</t>
  </si>
  <si>
    <t>Rashimana in</t>
  </si>
  <si>
    <t>Asus</t>
  </si>
  <si>
    <t>hr-mn-sc</t>
  </si>
  <si>
    <t>Asus2</t>
  </si>
  <si>
    <t>Vigh or Pala</t>
  </si>
  <si>
    <t>Corrected</t>
  </si>
  <si>
    <t>ViGh</t>
  </si>
  <si>
    <t>Asus3</t>
  </si>
  <si>
    <t>Time</t>
  </si>
  <si>
    <t>Dec</t>
  </si>
  <si>
    <t>sin</t>
  </si>
  <si>
    <t>G1</t>
  </si>
  <si>
    <t>mc'''=Midheaven=</t>
  </si>
  <si>
    <t>Short Ascension</t>
  </si>
  <si>
    <t>G2</t>
  </si>
  <si>
    <t>as=</t>
  </si>
  <si>
    <t>G3</t>
  </si>
  <si>
    <t>as'=</t>
  </si>
  <si>
    <t>as''=</t>
  </si>
  <si>
    <t>Long Ascension</t>
  </si>
  <si>
    <t>as'''=</t>
  </si>
  <si>
    <t>as''''=Ascendant</t>
  </si>
  <si>
    <t>Jhora Lagna</t>
  </si>
  <si>
    <t>Difference</t>
  </si>
  <si>
    <t>Past</t>
  </si>
  <si>
    <t>Sign Start Time</t>
  </si>
  <si>
    <t>Sign/Rashi</t>
  </si>
  <si>
    <t>Boy(Groom) Rashi&gt;</t>
  </si>
  <si>
    <t>Taurus/Vrishabha</t>
  </si>
  <si>
    <t>Leo/Simha</t>
  </si>
  <si>
    <t>Scorpio/Vrishchika</t>
  </si>
  <si>
    <t>Saggittarius/Dhanur</t>
  </si>
  <si>
    <t>Bride (girl) Rashi Below</t>
  </si>
  <si>
    <t>Nakshatra (Pada)</t>
  </si>
  <si>
    <t>Krittika 3-4</t>
  </si>
  <si>
    <t>Mrigashira 1-2</t>
  </si>
  <si>
    <t>Mrigashira 3-4</t>
  </si>
  <si>
    <t>Punarvasu 1-3</t>
  </si>
  <si>
    <t>Uttara Phalguni 1</t>
  </si>
  <si>
    <t>Uttara Phalguni 2-3</t>
  </si>
  <si>
    <t>Chitra 1-2</t>
  </si>
  <si>
    <t>Chitra 2-4</t>
  </si>
  <si>
    <t>Swathi</t>
  </si>
  <si>
    <t>Vishaka 1-3</t>
  </si>
  <si>
    <t>Purva Ashada</t>
  </si>
  <si>
    <t>Uttara Ashada 1</t>
  </si>
  <si>
    <t>Uttara Ashada 2-4</t>
  </si>
  <si>
    <t xml:space="preserve">Shravana </t>
  </si>
  <si>
    <t>Dhanishta 1-2</t>
  </si>
  <si>
    <t>Dhanishta 2-4</t>
  </si>
  <si>
    <t>Purva Bhadrapad 1-3</t>
  </si>
  <si>
    <t>Purva Bhadrapada 4</t>
  </si>
  <si>
    <t>Uttara Bhadrapada</t>
  </si>
  <si>
    <t>Suitable Boys with Score &gt;26</t>
  </si>
  <si>
    <r>
      <rPr>
        <sz val="12"/>
        <color rgb="FF000000"/>
        <rFont val="Calibri"/>
        <family val="2"/>
        <charset val="1"/>
      </rPr>
      <t xml:space="preserve">Aries/Mesha
</t>
    </r>
    <r>
      <rPr>
        <sz val="12"/>
        <color rgb="FFFF0000"/>
        <rFont val="Calibri"/>
        <family val="2"/>
        <charset val="1"/>
      </rPr>
      <t>(Nanda)</t>
    </r>
  </si>
  <si>
    <t>Ashwini, Bharani, Krittika, Pushya,Ashlesha, Swaati, Shraavana, Revati</t>
  </si>
  <si>
    <t>Aswini,Rohini,Punarvasu(4-Karka),Swaati,Uttara Aashaada(2-4-Makara), Shraavana</t>
  </si>
  <si>
    <t xml:space="preserve">Ashwini, Bharani, Krittika(1-Mesha), Pushya, Chitra(2-4 Tula), </t>
  </si>
  <si>
    <r>
      <rPr>
        <sz val="12"/>
        <color rgb="FF000000"/>
        <rFont val="Calibri"/>
        <family val="2"/>
        <charset val="1"/>
      </rPr>
      <t xml:space="preserve">Taurus/Vrishabha
</t>
    </r>
    <r>
      <rPr>
        <sz val="12"/>
        <color rgb="FFFF0000"/>
        <rFont val="Calibri"/>
        <family val="2"/>
        <charset val="1"/>
      </rPr>
      <t>(Purna)</t>
    </r>
  </si>
  <si>
    <t>Krittika(3-4 Vrishabha), Mrigashira(1-2 Vrishabha),Jyeshta, Dhanishta(Kumbha),Shatabhishak</t>
  </si>
  <si>
    <t xml:space="preserve">Rohini, Mrigashira(Both Rashi),Punarvasu(Karka),Pushya, Uttara Phalguni(Simha), Anuradha, Purva Bhadrapad(Both Rashi), Uttara Bhadrapad </t>
  </si>
  <si>
    <t xml:space="preserve">Krittika(Vrishabha), Rohini(Vrishabha),  Punarvasu(Karka), Shraavana, Shatabhishak, PurvaBhadrapad(Both Rashi), UttaraBhadrapad, Revati </t>
  </si>
  <si>
    <r>
      <rPr>
        <sz val="12"/>
        <color rgb="FF000000"/>
        <rFont val="Calibri"/>
        <family val="2"/>
        <charset val="1"/>
      </rPr>
      <t xml:space="preserve">Gemini/Mithuna
</t>
    </r>
    <r>
      <rPr>
        <sz val="12"/>
        <color rgb="FFFF0000"/>
        <rFont val="Calibri"/>
        <family val="2"/>
        <charset val="1"/>
      </rPr>
      <t>(Bhadra)</t>
    </r>
  </si>
  <si>
    <t>Ashwini, Rohini,  Ardra, Punarvasu(Mithuna), UttaraPhalguni(Kanya), Hasta, Revati</t>
  </si>
  <si>
    <t>Purva Phalguni,Chitra 1-2,Purva Ashada,Uttara Ashada 1,Uttara Bhadrapada,Revati</t>
  </si>
  <si>
    <t>Chitra 1-2,Purva Ashada,Uttara Bhadrapada,Revati</t>
  </si>
  <si>
    <r>
      <rPr>
        <sz val="12"/>
        <color rgb="FF000000"/>
        <rFont val="Calibri"/>
        <family val="2"/>
        <charset val="1"/>
      </rPr>
      <t xml:space="preserve">Cancer/Karka
</t>
    </r>
    <r>
      <rPr>
        <sz val="12"/>
        <color rgb="FFFF0000"/>
        <rFont val="Calibri"/>
        <family val="2"/>
        <charset val="1"/>
      </rPr>
      <t>(Bhadra)</t>
    </r>
  </si>
  <si>
    <t>Uttara Ashada 2-4,Shravana ,Purva Bhadrapada 4,Revati</t>
  </si>
  <si>
    <t>Dhanishta(1-2 Makara)</t>
  </si>
  <si>
    <r>
      <rPr>
        <sz val="12"/>
        <color rgb="FF000000"/>
        <rFont val="Calibri"/>
        <family val="2"/>
        <charset val="1"/>
      </rPr>
      <t xml:space="preserve">Leo/Simha
</t>
    </r>
    <r>
      <rPr>
        <sz val="12"/>
        <color rgb="FFFF0000"/>
        <rFont val="Calibri"/>
        <family val="2"/>
        <charset val="1"/>
      </rPr>
      <t>(Jaya)</t>
    </r>
  </si>
  <si>
    <t>Purva Phalguni,Uttara Phalguni 1,Jyeshta</t>
  </si>
  <si>
    <t>Purva Phalguni,Uttara Phalguni 1</t>
  </si>
  <si>
    <t>Purva Phalguni,Uttara Phalguni 1,Anuradha,Uttara Bhadrapada</t>
  </si>
  <si>
    <r>
      <rPr>
        <sz val="12"/>
        <color rgb="FF000000"/>
        <rFont val="Calibri"/>
        <family val="2"/>
        <charset val="1"/>
      </rPr>
      <t xml:space="preserve">Virgo/Kanya
</t>
    </r>
    <r>
      <rPr>
        <sz val="12"/>
        <color rgb="FFFF0000"/>
        <rFont val="Calibri"/>
        <family val="2"/>
        <charset val="1"/>
      </rPr>
      <t>(Purna)</t>
    </r>
  </si>
  <si>
    <t>Uttara Phalguni 2-3,Hasta,Anuradha,Purva Ashada,Uttara Ashada 1,Shatabhishaj,Uttara Bhadrapada,Revati</t>
  </si>
  <si>
    <t>Uttara Phalguni 2-3,Hasta,Chitra 1-2,Chitra 2-4,Swathi,Anuradha,Purva Ashada,Uttara Bhadrapada</t>
  </si>
  <si>
    <t>Hasta,Vishaka 4,Mula,Shatabhishaj</t>
  </si>
  <si>
    <r>
      <rPr>
        <sz val="12"/>
        <color rgb="FF000000"/>
        <rFont val="Calibri"/>
        <family val="2"/>
        <charset val="1"/>
      </rPr>
      <t xml:space="preserve">Libra/Tula
</t>
    </r>
    <r>
      <rPr>
        <sz val="12"/>
        <color rgb="FFFF0000"/>
        <rFont val="Calibri"/>
        <family val="2"/>
        <charset val="1"/>
      </rPr>
      <t>(Rikta)</t>
    </r>
  </si>
  <si>
    <t>Uttara Phalguni 2-3,Swathi,Vishaka 1-3,Mula</t>
  </si>
  <si>
    <t>Hasta,Chitra 2-4,Purva Ashada,Dhanishta 1-2</t>
  </si>
  <si>
    <t>Chitra 1-2,Chitra 2-4,Vishaka 1-3,Mula,Dhanishta 1-2</t>
  </si>
  <si>
    <r>
      <rPr>
        <sz val="12"/>
        <color rgb="FF000000"/>
        <rFont val="Calibri"/>
        <family val="2"/>
        <charset val="1"/>
      </rPr>
      <t xml:space="preserve">Scorpio/Vrishchika
</t>
    </r>
    <r>
      <rPr>
        <sz val="12"/>
        <color rgb="FFFF0000"/>
        <rFont val="Calibri"/>
        <family val="2"/>
        <charset val="1"/>
      </rPr>
      <t>(Nanda)</t>
    </r>
  </si>
  <si>
    <t>Chitra 1-2,Vishaka 4,Anuradha,Jyeshta</t>
  </si>
  <si>
    <t>Uttara Phalguni 1,Vishaka 4,Anuradha,Jyeshta,Shravana</t>
  </si>
  <si>
    <t>Vishaka 4,Anuradha</t>
  </si>
  <si>
    <r>
      <rPr>
        <sz val="12"/>
        <color rgb="FF000000"/>
        <rFont val="Calibri"/>
        <family val="2"/>
        <charset val="1"/>
      </rPr>
      <t xml:space="preserve">Saggittarius/Dhanur
</t>
    </r>
    <r>
      <rPr>
        <sz val="12"/>
        <color rgb="FFFF0000"/>
        <rFont val="Calibri"/>
        <family val="2"/>
        <charset val="1"/>
      </rPr>
      <t>(Jaya)</t>
    </r>
  </si>
  <si>
    <t>Chitra 1-2,Chitra 2-4,Vishaka 1-3,Purva Ashada,Dhanishta 2-4,Revati</t>
  </si>
  <si>
    <t>Uttara Phalguni 2-3,Hasta,Swathi,Mula,Purva Ashada,Uttara Ashada 1,Purva Bhadrapad 1-3,Revati</t>
  </si>
  <si>
    <t>Uttara Phalguni 2-3,Hasta,Purva Ashada,Uttara Ashada 1,Purva Bhadrapad 1-3,Uttara Bhadrapad</t>
  </si>
  <si>
    <r>
      <rPr>
        <sz val="12"/>
        <color rgb="FF000000"/>
        <rFont val="Calibri"/>
        <family val="2"/>
        <charset val="1"/>
      </rPr>
      <t xml:space="preserve">Capricorn/Makara
</t>
    </r>
    <r>
      <rPr>
        <sz val="12"/>
        <color rgb="FFFF0000"/>
        <rFont val="Calibri"/>
        <family val="2"/>
        <charset val="1"/>
      </rPr>
      <t>(Rikta)</t>
    </r>
  </si>
  <si>
    <t>Swathi,Anuradha,Uttara Ashada 2-4,Shravana ,Purva Bhadrapada 4,Uttara Bhadrapada</t>
  </si>
  <si>
    <t>Anuradha,Uttara Ashada 2-4,Shravana ,Dhanishta 1-2,Purva Bhadrapada 4,Uttara Bhadrapada</t>
  </si>
  <si>
    <t>Vishaka 1-3,Vishaka 4,Jyeshta,Shravana</t>
  </si>
  <si>
    <r>
      <rPr>
        <sz val="12"/>
        <color rgb="FF000000"/>
        <rFont val="Calibri"/>
        <family val="2"/>
        <charset val="1"/>
      </rPr>
      <t xml:space="preserve">Aquarius/Kumbha
</t>
    </r>
    <r>
      <rPr>
        <sz val="12"/>
        <color rgb="FFFF0000"/>
        <rFont val="Calibri"/>
        <family val="2"/>
        <charset val="1"/>
      </rPr>
      <t>(Jaya)</t>
    </r>
  </si>
  <si>
    <t>Shatabhishaj,Purva Bhadrapad 1-3</t>
  </si>
  <si>
    <t>Vishaka 1-3,Vishaka 4,Dhanishta 2-4,Purva Bhadrapad 1-3</t>
  </si>
  <si>
    <t>Purva Bhadrapad  1-3</t>
  </si>
  <si>
    <t>Purva Phalguni,Swathi,Anuradha,Purva Ashada,Uttara Ashada 1,Dhanishta 1-2,Dhanishta 2-4</t>
  </si>
  <si>
    <r>
      <rPr>
        <sz val="12"/>
        <color rgb="FF000000"/>
        <rFont val="Calibri"/>
        <family val="2"/>
        <charset val="1"/>
      </rPr>
      <t xml:space="preserve">Pisces/Meena
</t>
    </r>
    <r>
      <rPr>
        <sz val="12"/>
        <color rgb="FFFF0000"/>
        <rFont val="Calibri"/>
        <family val="2"/>
        <charset val="1"/>
      </rPr>
      <t>(Purna)</t>
    </r>
  </si>
  <si>
    <t>Purva Ashada,Uttara Ashada 1,Uttara Ashada 2-4,Shravana ,Uttara Bhadrapada,Revati</t>
  </si>
  <si>
    <t>,Uttara Phalguni 2-3,Hasta,Uttara Ashada 1,Uttara Ashada 2-4,Shravana ,Purva Bhadrapada 4,Uttara Bhadrapada,Revati</t>
  </si>
  <si>
    <t>,Mula,Purva Ashada,Purva Bhadrapada 4,Uttara Bhadrapada,Revati</t>
  </si>
  <si>
    <t>Above</t>
  </si>
  <si>
    <t>Bride (girl) Rashi Above</t>
  </si>
  <si>
    <t>Note: Numbers after the nakshatra indicates the padas in rashi, like 1-3 indicate 1st to 3rd pada</t>
  </si>
  <si>
    <t>Reference: Dr. BV Raman's Book on Muhurtha</t>
  </si>
  <si>
    <t>LEGEND for colours and fonts.</t>
  </si>
  <si>
    <t>Lagna and Lagna Lord Rules.</t>
  </si>
  <si>
    <t>Partner's Rashi Moon Positions.</t>
  </si>
  <si>
    <t>Muhurtha Rules.</t>
  </si>
  <si>
    <t>Bold Red=Vedha+Rajju Dosha.</t>
  </si>
  <si>
    <t>Lagna/Lords should NOT be 6-8 or 2-12.</t>
  </si>
  <si>
    <t>Graha in 7th else Lord of 7th  Take it's Navamsa positions.</t>
  </si>
  <si>
    <t>Avoid Sun in Dhanur(Chaitra), Pisces(Pausha), Janma Surya Sign,Chaturmasa</t>
  </si>
  <si>
    <t>Striked Common Nakshatra Dosha .</t>
  </si>
  <si>
    <t>Try To Avoid 5-9 mutual lagna/Lords.</t>
  </si>
  <si>
    <t>Partner's Rashi moon can be in Trines or 7th from Navamsa of Rashi above.</t>
  </si>
  <si>
    <t>Best Months is Sun in Libra and Gemini</t>
  </si>
  <si>
    <t>Double Underline Boy in Ghātaka and Nava/Panchama.</t>
  </si>
  <si>
    <t>Best is 3-11 Mutual Lagna/Lagna Lords and 1-7.</t>
  </si>
  <si>
    <t>Partner's Rashi moon can also be the exaltation sign of 7th Graha.</t>
  </si>
  <si>
    <t>Avoid Rikta Tithi (4,9,14)( Except Saturdays?)</t>
  </si>
  <si>
    <t>Boys Ghataka Tithi for Girl given in bracket like (Nanda)</t>
  </si>
  <si>
    <t>Kendra Mutual Lagna/Lords is also Good.</t>
  </si>
  <si>
    <t>Avoid Debilitation sign's of 7th House Graha</t>
  </si>
  <si>
    <t>Best Nakshatra Rohini, Four Uttaras, Mula,Hasta, Revati.</t>
  </si>
  <si>
    <t xml:space="preserve"> i.e Nanda tithi  Boy should not be for Aries Rashi Girls.</t>
  </si>
  <si>
    <t>There are exceptions like parivartna etc.</t>
  </si>
  <si>
    <t>There are exceptions like parivartna etc</t>
  </si>
  <si>
    <r>
      <rPr>
        <b/>
        <sz val="11"/>
        <color rgb="FFFF0000"/>
        <rFont val="Calibri"/>
        <family val="2"/>
        <charset val="1"/>
      </rPr>
      <t>NO</t>
    </r>
    <r>
      <rPr>
        <sz val="11"/>
        <color rgb="FFFF0000"/>
        <rFont val="Calibri"/>
        <family val="2"/>
        <charset val="1"/>
      </rPr>
      <t xml:space="preserve"> Graha in 8th and 7th.</t>
    </r>
  </si>
  <si>
    <t xml:space="preserve">Muhurta </t>
  </si>
  <si>
    <t xml:space="preserve">Nakshatra </t>
  </si>
  <si>
    <t>StartTime 6AM</t>
  </si>
  <si>
    <t>StartTime</t>
  </si>
  <si>
    <t>DurMuhurtha</t>
  </si>
  <si>
    <t xml:space="preserve">Daily Sun and Moon Progression </t>
  </si>
  <si>
    <t xml:space="preserve">Ahi </t>
  </si>
  <si>
    <t xml:space="preserve">Aslesha </t>
  </si>
  <si>
    <t>12th Lord Moon in</t>
  </si>
  <si>
    <t>Vasu</t>
  </si>
  <si>
    <t>Dhanishtha</t>
  </si>
  <si>
    <t>AS12</t>
  </si>
  <si>
    <t>Ambu</t>
  </si>
  <si>
    <t>Purvashadha</t>
  </si>
  <si>
    <t xml:space="preserve">AS12 Lord </t>
  </si>
  <si>
    <t>Visvadeva</t>
  </si>
  <si>
    <t>Uttarashadha</t>
  </si>
  <si>
    <t>Abhijit/Vidhi</t>
  </si>
  <si>
    <t>Vidhata/Satamuki</t>
  </si>
  <si>
    <t>Birth</t>
  </si>
  <si>
    <t>Today</t>
  </si>
  <si>
    <t>Puruhuta</t>
  </si>
  <si>
    <t xml:space="preserve">Indragni / Vahni </t>
  </si>
  <si>
    <t>Sunset</t>
  </si>
  <si>
    <t xml:space="preserve">Nirriti / Naktancara </t>
  </si>
  <si>
    <t xml:space="preserve">Varuna / Udakanatha </t>
  </si>
  <si>
    <t>Satabhisha</t>
  </si>
  <si>
    <t>DinaMaana</t>
  </si>
  <si>
    <t>Aryaman</t>
  </si>
  <si>
    <t>Uttaraphalguni</t>
  </si>
  <si>
    <t>RatriMaana</t>
  </si>
  <si>
    <t xml:space="preserve">Bhaga </t>
  </si>
  <si>
    <t>Purvaphalguni</t>
  </si>
  <si>
    <t>Hora</t>
  </si>
  <si>
    <t xml:space="preserve">Girisa </t>
  </si>
  <si>
    <t xml:space="preserve">Ajapada </t>
  </si>
  <si>
    <t>Purvabhadrapada</t>
  </si>
  <si>
    <t>Ahirbudhnya</t>
  </si>
  <si>
    <t>Uttarabhadrapada</t>
  </si>
  <si>
    <t>Pushan</t>
  </si>
  <si>
    <t xml:space="preserve">Asvi </t>
  </si>
  <si>
    <t xml:space="preserve">Asvini </t>
  </si>
  <si>
    <t xml:space="preserve">Yama </t>
  </si>
  <si>
    <t>GAP!</t>
  </si>
  <si>
    <t xml:space="preserve">Agni </t>
  </si>
  <si>
    <t>Vidhaatri</t>
  </si>
  <si>
    <t>Chanda</t>
  </si>
  <si>
    <t>Mrigasira</t>
  </si>
  <si>
    <t>Aditi</t>
  </si>
  <si>
    <t>Jiiva</t>
  </si>
  <si>
    <t xml:space="preserve">Arka </t>
  </si>
  <si>
    <t>Tvashtri</t>
  </si>
  <si>
    <t xml:space="preserve">Maruta </t>
  </si>
  <si>
    <t>Svati</t>
  </si>
  <si>
    <t>http://sanjayprabhakaran.blogspot.in/2007/12/muhurtha.html</t>
  </si>
  <si>
    <t>Aryabhaata Sidereal Year</t>
  </si>
  <si>
    <t>Title</t>
  </si>
  <si>
    <t>2000</t>
  </si>
  <si>
    <t>2014</t>
  </si>
  <si>
    <t>2013</t>
  </si>
  <si>
    <t>Pradhaana Mantri</t>
  </si>
  <si>
    <t>Mantri</t>
  </si>
  <si>
    <t>Argha adhi pati</t>
  </si>
  <si>
    <t>Megha adhi pati</t>
  </si>
  <si>
    <t>Sasya naayaka</t>
  </si>
  <si>
    <t>Sena pati</t>
  </si>
  <si>
    <t>Rasa adhipati</t>
  </si>
  <si>
    <t>Dhaanya adhipati</t>
  </si>
  <si>
    <t>Nirasa adhipati</t>
  </si>
  <si>
    <t>vasanta</t>
  </si>
  <si>
    <t>griṣma</t>
  </si>
  <si>
    <t xml:space="preserve">King
viṣṇu
</t>
  </si>
  <si>
    <t xml:space="preserve">dhātā
</t>
  </si>
  <si>
    <t xml:space="preserve">
ayamā
pradhana-mantri</t>
  </si>
  <si>
    <t>mitra
arghādhipa</t>
  </si>
  <si>
    <t>śiśira</t>
  </si>
  <si>
    <t xml:space="preserve">tvaṣṭā </t>
  </si>
  <si>
    <t>Samvatsara Portfolio</t>
  </si>
  <si>
    <t>varuṇa
sasyanāyaka</t>
  </si>
  <si>
    <t>vārṣa</t>
  </si>
  <si>
    <t>bhaga
nīrasādhipa</t>
  </si>
  <si>
    <t>Indra
senāpati</t>
  </si>
  <si>
    <t>aṃśu
dhānyādhipa</t>
  </si>
  <si>
    <t>pūṣā 
rasādhipa</t>
  </si>
  <si>
    <t>hemanta</t>
  </si>
  <si>
    <t>śārada</t>
  </si>
  <si>
    <t>Date of Birth</t>
  </si>
  <si>
    <t>Add Year</t>
  </si>
  <si>
    <t>Add Months</t>
  </si>
  <si>
    <t>Add Days</t>
  </si>
  <si>
    <t>Progressed date</t>
  </si>
  <si>
    <t>Age</t>
  </si>
  <si>
    <t>Sun in Divisional</t>
  </si>
  <si>
    <t>Sn</t>
  </si>
  <si>
    <t>Minutes</t>
  </si>
  <si>
    <t>Birth Sun</t>
  </si>
  <si>
    <t>On Given Date</t>
  </si>
  <si>
    <t>Dasamsa</t>
  </si>
  <si>
    <t>Position</t>
  </si>
  <si>
    <t>Vidya</t>
  </si>
  <si>
    <t>Yasa</t>
  </si>
  <si>
    <t>Bhratru</t>
  </si>
  <si>
    <t>Pitru</t>
  </si>
  <si>
    <t>Matru</t>
  </si>
  <si>
    <t>Moola Dasa (dasa showing the root of events - past karma):</t>
  </si>
  <si>
    <t xml:space="preserve"> Maha Dasas:</t>
  </si>
  <si>
    <t>Ak</t>
  </si>
  <si>
    <t>Ahamkaara, Bandana, One who has to do, karmic king, Why u are taking the birth, Should do the dharma, Karmic Attachments to soul</t>
  </si>
  <si>
    <t>Amk</t>
  </si>
  <si>
    <t>Karma attached, Will do what the King</t>
  </si>
  <si>
    <t xml:space="preserve"> Merc:</t>
  </si>
  <si>
    <t xml:space="preserve">  -</t>
  </si>
  <si>
    <t xml:space="preserve">Bk </t>
  </si>
  <si>
    <t>Teacher, Guide, Guru, Knowledge, Siblings, Attachment to Paramatma, Attachment due to knowledge.</t>
  </si>
  <si>
    <t xml:space="preserve"> Ket:</t>
  </si>
  <si>
    <t xml:space="preserve"> -</t>
  </si>
  <si>
    <t>PiK</t>
  </si>
  <si>
    <t>power to protect,Dharma, Duty Bound, What areas we are weak/unprotected.</t>
  </si>
  <si>
    <t xml:space="preserve"> Sun:</t>
  </si>
  <si>
    <t>Mk</t>
  </si>
  <si>
    <t>Healing, Bhakti,Unconditional Love, Like Mother,Happiness,</t>
  </si>
  <si>
    <t xml:space="preserve"> Mars:</t>
  </si>
  <si>
    <t>PuK</t>
  </si>
  <si>
    <t>Power, Progeny, Will do what the king says,, Will achieve in early life…,Control, Dominations, Overpower,SelfControl.</t>
  </si>
  <si>
    <t xml:space="preserve"> Rah:</t>
  </si>
  <si>
    <t>Gk</t>
  </si>
  <si>
    <t>Enemies, Group, Group-Dynamics,</t>
  </si>
  <si>
    <t xml:space="preserve"> Ven:</t>
  </si>
  <si>
    <t xml:space="preserve">Dārakāraka </t>
  </si>
  <si>
    <t>Shree, Siddhi, Dk should aspect D1, D3, Money, Professionsl Skills,Sakshi?,Friend,Sustains (2-7 House)</t>
  </si>
  <si>
    <t xml:space="preserve"> Moon:</t>
  </si>
  <si>
    <t xml:space="preserve"> Sat:</t>
  </si>
  <si>
    <t>1-5 Jupiter D9</t>
  </si>
  <si>
    <t xml:space="preserve"> Karma Yoga </t>
  </si>
  <si>
    <t xml:space="preserve"> Jup:</t>
  </si>
  <si>
    <t>Dik Chakra</t>
  </si>
  <si>
    <t>Ishaanaya</t>
  </si>
  <si>
    <t>Knowledge</t>
  </si>
  <si>
    <t>Mahadevaaya</t>
  </si>
  <si>
    <t>Cycle 1 Duration</t>
  </si>
  <si>
    <t>Cycle 2 Duration</t>
  </si>
  <si>
    <t>Sum Duration</t>
  </si>
  <si>
    <t>Pratyantardasa for</t>
  </si>
  <si>
    <t>Sukshma for</t>
  </si>
  <si>
    <t>Vara Order</t>
  </si>
  <si>
    <t>3rd Upaya</t>
  </si>
  <si>
    <t>4th Block</t>
  </si>
  <si>
    <t>5th Kavacha</t>
  </si>
  <si>
    <t>6th Stambana</t>
  </si>
  <si>
    <t>8th Grahana</t>
  </si>
  <si>
    <t>9th Oppose</t>
  </si>
  <si>
    <t>4th+9th Dhatu Hit
3rd is Upāya</t>
  </si>
  <si>
    <t xml:space="preserve">5th+8th = Issue
</t>
  </si>
  <si>
    <t>Jupi</t>
  </si>
  <si>
    <t>Ex Block Parkinsons Mars,Unlock Venus in 6th</t>
  </si>
  <si>
    <t>Lock</t>
  </si>
  <si>
    <t>Rah</t>
  </si>
  <si>
    <t>Venu</t>
  </si>
  <si>
    <t>Ex Block Jupiter-Cancer</t>
  </si>
  <si>
    <t>Unlock</t>
  </si>
  <si>
    <t>Ex Unblock Neecha Moon</t>
  </si>
  <si>
    <t>रुद्र</t>
  </si>
  <si>
    <t>Shloka (|| Number From Namakam ||)</t>
  </si>
  <si>
    <t>कपाली</t>
  </si>
  <si>
    <t>kapālī</t>
  </si>
  <si>
    <t>नम॑स्ते रुद्रम॒न्यव॑ उ॒तोत॒ इष॑वे॒ नमः॑ ।
नम॑स्ते अस्तु॒ धन्व॑ने बा॒हुभ्या॑-मु॒त ते॒ नमः॑ ॥ १.१॥
namaste rudramanyava utota iṣave namaḥ ।
namaste astu dhanvane bāhubhyā-muta te namaḥ ॥ 1-1॥</t>
  </si>
  <si>
    <r>
      <rPr>
        <sz val="14"/>
        <color rgb="FF000000"/>
        <rFont val="Mangal"/>
        <family val="1"/>
        <charset val="1"/>
      </rPr>
      <t>ॐ</t>
    </r>
    <r>
      <rPr>
        <sz val="12"/>
        <color rgb="FF000000"/>
        <rFont val="Shusha"/>
        <charset val="1"/>
      </rPr>
      <t xml:space="preserve"> </t>
    </r>
    <r>
      <rPr>
        <sz val="12"/>
        <color rgb="FF000000"/>
        <rFont val="Mangal"/>
        <family val="1"/>
        <charset val="1"/>
      </rPr>
      <t>हुँ</t>
    </r>
    <r>
      <rPr>
        <sz val="12"/>
        <color rgb="FF000000"/>
        <rFont val="Shusha"/>
        <charset val="1"/>
      </rPr>
      <t xml:space="preserve"> </t>
    </r>
    <r>
      <rPr>
        <sz val="12"/>
        <color rgb="FF000000"/>
        <rFont val="Mangal"/>
        <family val="1"/>
        <charset val="1"/>
      </rPr>
      <t>हुँ</t>
    </r>
    <r>
      <rPr>
        <sz val="12"/>
        <color rgb="FF000000"/>
        <rFont val="Shusha"/>
        <charset val="1"/>
      </rPr>
      <t xml:space="preserve"> </t>
    </r>
    <r>
      <rPr>
        <sz val="12"/>
        <color rgb="FF000000"/>
        <rFont val="Mangal"/>
        <family val="1"/>
        <charset val="1"/>
      </rPr>
      <t>शत्रुस्तम्भनाय</t>
    </r>
    <r>
      <rPr>
        <sz val="12"/>
        <color rgb="FF000000"/>
        <rFont val="Shusha"/>
        <charset val="1"/>
      </rPr>
      <t xml:space="preserve"> </t>
    </r>
    <r>
      <rPr>
        <sz val="12"/>
        <color rgb="FF000000"/>
        <rFont val="Mangal"/>
        <family val="1"/>
        <charset val="1"/>
      </rPr>
      <t>हुँ</t>
    </r>
    <r>
      <rPr>
        <sz val="12"/>
        <color rgb="FF000000"/>
        <rFont val="Shusha"/>
        <charset val="1"/>
      </rPr>
      <t xml:space="preserve"> </t>
    </r>
    <r>
      <rPr>
        <sz val="12"/>
        <color rgb="FF000000"/>
        <rFont val="Mangal"/>
        <family val="1"/>
        <charset val="1"/>
      </rPr>
      <t>हुँ</t>
    </r>
    <r>
      <rPr>
        <sz val="12"/>
        <color rgb="FF000000"/>
        <rFont val="Shusha"/>
        <charset val="1"/>
      </rPr>
      <t xml:space="preserve"> </t>
    </r>
    <r>
      <rPr>
        <sz val="12"/>
        <color rgb="FF000000"/>
        <rFont val="Mangal"/>
        <family val="1"/>
        <charset val="1"/>
      </rPr>
      <t>ॐ</t>
    </r>
    <r>
      <rPr>
        <sz val="12"/>
        <color rgb="FF000000"/>
        <rFont val="Shusha"/>
        <charset val="1"/>
      </rPr>
      <t xml:space="preserve"> </t>
    </r>
    <r>
      <rPr>
        <sz val="12"/>
        <color rgb="FF000000"/>
        <rFont val="Mangal"/>
        <family val="1"/>
        <charset val="1"/>
      </rPr>
      <t>फट्</t>
    </r>
    <r>
      <rPr>
        <sz val="12"/>
        <color rgb="FF000000"/>
        <rFont val="Shusha"/>
        <charset val="1"/>
      </rPr>
      <t xml:space="preserve"> </t>
    </r>
    <r>
      <rPr>
        <sz val="12"/>
        <color rgb="FF000000"/>
        <rFont val="Mangal"/>
        <family val="1"/>
        <charset val="1"/>
      </rPr>
      <t>।</t>
    </r>
  </si>
  <si>
    <t>पिंगल</t>
  </si>
  <si>
    <t>piṁgala</t>
  </si>
  <si>
    <t>यामिषुं॑ गिरिशंत॒ हस्ते॒ बिभ॒र्ष्यस्त॑वे ।
शि॒वां गि॑रित्र॒ तां कु॑रु॒ मा हिसीः॒ पुरु॑षं॒ जग॑त् ॥ १.४॥
yāmiṣuṁ giriśaṁta haste bibharṣyastave |
śivāṁ giritra tāṁ kuru mā higsīḥ puruṣaṁ jagat || 1-4||</t>
  </si>
  <si>
    <t xml:space="preserve">ॐ श्रीं ह्रीं श्रीं सर्व मंगलाय पिंगलाय ॐ नमः </t>
  </si>
  <si>
    <t>भीम</t>
  </si>
  <si>
    <t>शि॒वेन॒ वच॑सा त्वा॒ गिरि॒शाच्छा॑ वदामसि ।
यथा॑ नः॒ सर्व॒मिज्जग॑दय॒क्ष्मसु॒मना॒ अस॑त् ॥ १.५॥
śivena vacasā tvā giriśācchā vadāmasi ।
yathā naḥ sarvamijjagadayakṣmasumanā asat ॥ 1-5॥</t>
  </si>
  <si>
    <t>ॐ एैं एैं मनोवाञ्चित सिद्द्यये ऐं ऐं ॐ ।।</t>
  </si>
  <si>
    <t>विरूपाक्ष</t>
  </si>
  <si>
    <t>virūpākṣa</t>
  </si>
  <si>
    <t>अध्य॑वोचदधि व॒क्ता प्र॑थ॒मो दैव्यो॑ भि॒षक् ।
अही॑श्च॒ सर्वा॓ञ्जं॒भय॒न्त्सर्वा॓श्च यातुधा॒न्यः॑ ॥ १.६॥
adhyavocadadhi vaktā prathamo daivyo bhiṣak ।
ahīśca sarvāñjambhayantsarvāśca yātudhānyaḥ ॥ 1-6॥</t>
  </si>
  <si>
    <t>मत्रः ॐ रूद्राय रोगनाशाय आगच्छ रं ॐ नमः ।</t>
  </si>
  <si>
    <t>विलोहितः</t>
  </si>
  <si>
    <t>vilohitaḥ</t>
  </si>
  <si>
    <t>अ॒सौ यो॑ऽव॒सर्प॑ति॒ नील॑ग्रीवो॒ विलो॑हितः ।
उ॒तैनं॑ गो॒पा अ॑दृश॒न्नदृ॑शन्नुदहा॒र्यः॑ ।
उ॒तैनं॒ विश्वा॑ भू॒तानि॒ स दृ॒ष्टो मृ॑डयाति नः ॥ १.८॥
asau yo'vasarpati nīlagrīvo vilohitaḥ ।
utainaṃ gopā adṛśannadṛśannudahāryaḥ ।
utainaṃ viśvā bhūtāni sa dṛṣṭo mṛḍayāti naḥ ॥ 1-8॥</t>
  </si>
  <si>
    <t>मंत्रः ॐ श्रीं ह्रीं सं सं ह्रीं श्रीं संकर्षणाय ॐ</t>
  </si>
  <si>
    <t>अ॒सौ यस्ता॒म्रो अ॑रु॒ण उ॒त ब॒भ्रुः सु॑मं॒गलः॑ ।
ये चे॒माóèरु॒द्रा अ॒भितो॑ दि॒क्षु ।
श्रि॒ताः स॑हस्र॒शोऽवै॑षा॒óè॒हेड॑ ईमहे ॥ १.७॥</t>
  </si>
  <si>
    <t>http://sanskritdocuments.org/doc_shiva/rudram.html?lang=sa</t>
  </si>
  <si>
    <t>http://www.shaivam.org/sanskrit/ssk-sk-rudra-chamaka.htm</t>
  </si>
  <si>
    <t>http://sanskritdocuments.org/doc_shiva/rudram.html?lang=iast</t>
  </si>
  <si>
    <t>Day Yama</t>
  </si>
  <si>
    <t>Night Yama</t>
  </si>
  <si>
    <t>Shuklapaksha Day</t>
  </si>
  <si>
    <t>Shuklapaksha Night</t>
  </si>
  <si>
    <t>Krishna paksha Day</t>
  </si>
  <si>
    <t>Krishna paksha Night</t>
  </si>
  <si>
    <t>DaySP</t>
  </si>
  <si>
    <t>Bird</t>
  </si>
  <si>
    <t>DayKP</t>
  </si>
  <si>
    <t>Sunday
Tuesday</t>
  </si>
  <si>
    <t>Eagle</t>
  </si>
  <si>
    <t>Eat</t>
  </si>
  <si>
    <t>Walk</t>
  </si>
  <si>
    <t>Rule</t>
  </si>
  <si>
    <t>Sleep</t>
  </si>
  <si>
    <t>Monday  Wednesday</t>
  </si>
  <si>
    <t>Monday
Saturday</t>
  </si>
  <si>
    <t xml:space="preserve">Thursday </t>
  </si>
  <si>
    <t xml:space="preserve">Friday </t>
  </si>
  <si>
    <t>Shukla Paksha</t>
  </si>
  <si>
    <t>Both</t>
  </si>
  <si>
    <t>Krisha Paksha</t>
  </si>
  <si>
    <t>Vowel</t>
  </si>
  <si>
    <r>
      <rPr>
        <sz val="11"/>
        <color rgb="FF000000"/>
        <rFont val="Calibri"/>
        <family val="2"/>
        <charset val="1"/>
      </rPr>
      <t>Anti(</t>
    </r>
    <r>
      <rPr>
        <sz val="11"/>
        <color rgb="FF000000"/>
        <rFont val="Lohit Devanagari"/>
        <family val="2"/>
        <charset val="1"/>
      </rPr>
      <t>படு</t>
    </r>
    <r>
      <rPr>
        <sz val="11"/>
        <color rgb="FF000000"/>
        <rFont val="Calibri"/>
        <family val="2"/>
        <charset val="1"/>
      </rPr>
      <t>) Pakshi Vaara</t>
    </r>
  </si>
  <si>
    <t>Friend1</t>
  </si>
  <si>
    <t>Friend2</t>
  </si>
  <si>
    <t>Enemy2</t>
  </si>
  <si>
    <t>deity</t>
  </si>
  <si>
    <t>Vowel2</t>
  </si>
  <si>
    <r>
      <rPr>
        <sz val="11"/>
        <color rgb="FF000000"/>
        <rFont val="Calibri"/>
        <family val="2"/>
        <charset val="1"/>
      </rPr>
      <t>Pakshi becomes Anti(</t>
    </r>
    <r>
      <rPr>
        <sz val="11"/>
        <color rgb="FF000000"/>
        <rFont val="Lohit Devanagari"/>
        <family val="2"/>
        <charset val="1"/>
      </rPr>
      <t>படு</t>
    </r>
    <r>
      <rPr>
        <sz val="11"/>
        <color rgb="FF000000"/>
        <rFont val="Calibri"/>
        <family val="2"/>
        <charset val="1"/>
      </rPr>
      <t>) on</t>
    </r>
  </si>
  <si>
    <t>Friend12</t>
  </si>
  <si>
    <t>Friend23</t>
  </si>
  <si>
    <t>Enemy4</t>
  </si>
  <si>
    <t>Enemy25</t>
  </si>
  <si>
    <t>Column16</t>
  </si>
  <si>
    <t>Column17</t>
  </si>
  <si>
    <t>அ</t>
  </si>
  <si>
    <t>Sun,Tue</t>
  </si>
  <si>
    <t>saraswathi and bramma</t>
  </si>
  <si>
    <t>இ</t>
  </si>
  <si>
    <t>Mon, Wed</t>
  </si>
  <si>
    <t>lakshmi and vishnu</t>
  </si>
  <si>
    <t>உ</t>
  </si>
  <si>
    <t>parvathi and ruthiran</t>
  </si>
  <si>
    <t>ஒ</t>
  </si>
  <si>
    <t>Wed,Fri</t>
  </si>
  <si>
    <t>எ</t>
  </si>
  <si>
    <t>mageswari and mageswaran</t>
  </si>
  <si>
    <t>manonmani  and sathasivam</t>
  </si>
  <si>
    <t>Thu,Sat</t>
  </si>
  <si>
    <t xml:space="preserve">Sequence </t>
  </si>
  <si>
    <t>Wt</t>
  </si>
  <si>
    <t>Activites</t>
  </si>
  <si>
    <t>SP day Sukshma Job</t>
  </si>
  <si>
    <t>SP Night</t>
  </si>
  <si>
    <t>KP Day</t>
  </si>
  <si>
    <t>KP Night</t>
  </si>
  <si>
    <t xml:space="preserve">black magical works </t>
  </si>
  <si>
    <t>Shi</t>
  </si>
  <si>
    <t>Vaa</t>
  </si>
  <si>
    <t>Ya</t>
  </si>
  <si>
    <t>Na</t>
  </si>
  <si>
    <t>Ard</t>
  </si>
  <si>
    <t>Pisces/ Meena</t>
  </si>
  <si>
    <t>Gemini/ Mithuna</t>
  </si>
  <si>
    <t>Aquarius/ Kumbha</t>
  </si>
  <si>
    <t>Cancer/ Karka</t>
  </si>
  <si>
    <t>Capricorn/ Makara</t>
  </si>
  <si>
    <t>Leo/ Simha</t>
  </si>
  <si>
    <t>Saggittarius /Dhanush</t>
  </si>
  <si>
    <t>Scorpio/ Vrishchika</t>
  </si>
  <si>
    <t>Libra/ Tula</t>
  </si>
  <si>
    <t>Virgo/ Kanya</t>
  </si>
  <si>
    <t>Friend 1</t>
  </si>
  <si>
    <t>Friend 2</t>
  </si>
  <si>
    <t>Friend 3</t>
  </si>
  <si>
    <t>Friend 4</t>
  </si>
  <si>
    <t>Friend 5</t>
  </si>
  <si>
    <t>Friend 6</t>
  </si>
  <si>
    <t>Friend 7</t>
  </si>
  <si>
    <t>Mars,Jupiter</t>
  </si>
  <si>
    <t>Merc,Jupiter</t>
  </si>
  <si>
    <t>Merc,Venus,Sat</t>
  </si>
  <si>
    <t>Sat,Jup</t>
  </si>
  <si>
    <t>Merc, Mars</t>
  </si>
  <si>
    <t>Sat, Merc</t>
  </si>
  <si>
    <t>Mars, Jup</t>
  </si>
  <si>
    <t>From Notes/Dhana Yogada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</si>
</sst>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4">
    <numFmt numFmtId="164" formatCode="dd/mm/yyyy"/>
    <numFmt numFmtId="165" formatCode="[$-F800]dddd&quot;, &quot;mmmm\ dd&quot;, &quot;yyyy"/>
    <numFmt numFmtId="166" formatCode="hh:mm\ AM/PM\ mmm\-dd\-yyyy"/>
    <numFmt numFmtId="167" formatCode="mmm\-dd\-yyyy\ ddd\ hh:mm:ss\ AM/PM\ "/>
    <numFmt numFmtId="168" formatCode="d\ mmm\ yyyy"/>
    <numFmt numFmtId="169" formatCode="hh:mm:ss\ AM/PM"/>
    <numFmt numFmtId="170" formatCode="hh:mm"/>
    <numFmt numFmtId="171" formatCode="d\-mmm\-yyyy\ h:mm:ss\ AM/PM"/>
    <numFmt numFmtId="172" formatCode="d\ mmm\ yy"/>
    <numFmt numFmtId="173" formatCode="dd/mmm/yyyy\ hh:mm:ss\ AM/PM"/>
    <numFmt numFmtId="174" formatCode="dddd&quot;, &quot;"/>
    <numFmt numFmtId="175" formatCode="[hh]:mm:ss"/>
    <numFmt numFmtId="176" formatCode="0.00000"/>
    <numFmt numFmtId="177" formatCode="_(* #,##0.00_);_(* \(#,##0.00\);_(* \-??_);_(@_)"/>
    <numFmt numFmtId="178" formatCode="#,##0_ ;\-#,##0\ "/>
    <numFmt numFmtId="179" formatCode="_-* #,##0_-;\-* #,##0_-;_-* \-??_-;_-@_-"/>
    <numFmt numFmtId="180" formatCode="[h]:mm:ss;@"/>
    <numFmt numFmtId="181" formatCode="0.0"/>
    <numFmt numFmtId="182" formatCode="0.000"/>
    <numFmt numFmtId="183" formatCode="[$-F400]h:mm:ss\ AM/PM"/>
    <numFmt numFmtId="184" formatCode="yyyy\-mmm\-d"/>
    <numFmt numFmtId="185" formatCode="d\-mmm\-yyyy;@"/>
    <numFmt numFmtId="186" formatCode="d\-mmm\-yyyy\ h:mm"/>
    <numFmt numFmtId="187" formatCode="0.0000"/>
    <numFmt numFmtId="188" formatCode="[hh]:mm:ss.00"/>
    <numFmt numFmtId="189" formatCode="&quot;Yes&quot;;&quot;Yes&quot;;&quot;No&quot;"/>
    <numFmt numFmtId="190" formatCode="dd\-mmm\-yyyy"/>
    <numFmt numFmtId="191" formatCode="0.000000000"/>
    <numFmt numFmtId="192" formatCode="ddd\ dd\-mmm\-yyyy"/>
    <numFmt numFmtId="193" formatCode="d\-mmm\-yyyy"/>
    <numFmt numFmtId="194" formatCode="#,##0.00000000"/>
    <numFmt numFmtId="195" formatCode="hh:mm:ss"/>
    <numFmt numFmtId="196" formatCode="[DBNum1][$-4009]mm\/dd\/yy"/>
    <numFmt numFmtId="197" formatCode="[$-4000439]0"/>
    <numFmt numFmtId="198" formatCode="m/d/yy;@"/>
    <numFmt numFmtId="199" formatCode="ddd"/>
    <numFmt numFmtId="200" formatCode="yyyy\-mmm"/>
    <numFmt numFmtId="201" formatCode="dd\-mmm\-yyyy\ hh:mmAM/PM"/>
    <numFmt numFmtId="202" formatCode="[hh]:mm:ss\.ss"/>
    <numFmt numFmtId="203" formatCode="dd/mm/yy\ hh:mm"/>
    <numFmt numFmtId="204" formatCode="[h]:mm:ss.000;@"/>
    <numFmt numFmtId="205" formatCode="0.00000000000000"/>
    <numFmt numFmtId="206" formatCode="dd\-mmm\-yyyy\ ddd\ hh:mm:ss"/>
    <numFmt numFmtId="207" formatCode="dd\-mmm\-yyyy\ ddd\ hh:mmAM/PM"/>
  </numFmts>
  <fonts count="177">
    <font>
      <sz val="11"/>
      <color rgb="FF000000"/>
      <name val="Calibri"/>
      <family val="2"/>
      <charset val="1"/>
    </font>
    <font>
      <sz val="11"/>
      <color rgb="FFFFFFFF"/>
      <name val="Calibri"/>
      <family val="2"/>
      <charset val="1"/>
    </font>
    <font>
      <sz val="11"/>
      <color rgb="FF800080"/>
      <name val="Calibri"/>
      <family val="2"/>
      <charset val="1"/>
    </font>
    <font>
      <b/>
      <sz val="11"/>
      <color rgb="FFFF9900"/>
      <name val="Calibri"/>
      <family val="2"/>
      <charset val="1"/>
    </font>
    <font>
      <b/>
      <sz val="11"/>
      <color rgb="FFFFFFFF"/>
      <name val="Calibri"/>
      <family val="2"/>
      <charset val="1"/>
    </font>
    <font>
      <i/>
      <sz val="11"/>
      <color rgb="FF808080"/>
      <name val="Calibri"/>
      <family val="2"/>
      <charset val="1"/>
    </font>
    <font>
      <sz val="11"/>
      <color rgb="FF008000"/>
      <name val="Calibri"/>
      <family val="2"/>
      <charset val="1"/>
    </font>
    <font>
      <b/>
      <sz val="15"/>
      <color rgb="FF003366"/>
      <name val="Calibri"/>
      <family val="2"/>
      <charset val="1"/>
    </font>
    <font>
      <b/>
      <sz val="13"/>
      <color rgb="FF003366"/>
      <name val="Calibri"/>
      <family val="2"/>
      <charset val="1"/>
    </font>
    <font>
      <b/>
      <sz val="11"/>
      <color rgb="FF003366"/>
      <name val="Calibri"/>
      <family val="2"/>
      <charset val="1"/>
    </font>
    <font>
      <sz val="11"/>
      <color rgb="FF333399"/>
      <name val="Calibri"/>
      <family val="2"/>
      <charset val="1"/>
    </font>
    <font>
      <sz val="11"/>
      <color rgb="FFFF9900"/>
      <name val="Calibri"/>
      <family val="2"/>
      <charset val="1"/>
    </font>
    <font>
      <sz val="11"/>
      <color rgb="FF993300"/>
      <name val="Calibri"/>
      <family val="2"/>
      <charset val="1"/>
    </font>
    <font>
      <b/>
      <sz val="11"/>
      <color rgb="FF333333"/>
      <name val="Calibri"/>
      <family val="2"/>
      <charset val="1"/>
    </font>
    <font>
      <b/>
      <sz val="11"/>
      <color rgb="FF000000"/>
      <name val="Calibri"/>
      <family val="2"/>
      <charset val="1"/>
    </font>
    <font>
      <b/>
      <sz val="18"/>
      <color rgb="FF003366"/>
      <name val="Cambria"/>
      <family val="2"/>
      <charset val="1"/>
    </font>
    <font>
      <sz val="11"/>
      <color rgb="FFFF0000"/>
      <name val="Calibri"/>
      <family val="2"/>
      <charset val="1"/>
    </font>
    <font>
      <sz val="10"/>
      <name val="Arial"/>
      <family val="2"/>
      <charset val="1"/>
    </font>
    <font>
      <sz val="10"/>
      <color rgb="FF000000"/>
      <name val="Times New Roman"/>
      <family val="1"/>
      <charset val="1"/>
    </font>
    <font>
      <b/>
      <sz val="10"/>
      <name val="Arial"/>
      <family val="2"/>
      <charset val="1"/>
    </font>
    <font>
      <b/>
      <i/>
      <sz val="10"/>
      <name val="Arial"/>
      <family val="2"/>
      <charset val="1"/>
    </font>
    <font>
      <sz val="10"/>
      <color rgb="FFFF0000"/>
      <name val="Arial"/>
      <family val="2"/>
      <charset val="1"/>
    </font>
    <font>
      <vertAlign val="superscript"/>
      <sz val="10"/>
      <color rgb="FFFF0000"/>
      <name val="Arial"/>
      <family val="2"/>
      <charset val="1"/>
    </font>
    <font>
      <sz val="11"/>
      <color rgb="FF000000"/>
      <name val="Arial"/>
      <family val="2"/>
      <charset val="1"/>
    </font>
    <font>
      <b/>
      <sz val="11"/>
      <color rgb="FF000000"/>
      <name val="Arial"/>
      <family val="2"/>
      <charset val="1"/>
    </font>
    <font>
      <sz val="8"/>
      <name val="Arial"/>
      <family val="2"/>
      <charset val="1"/>
    </font>
    <font>
      <b/>
      <sz val="8"/>
      <name val="Arial"/>
      <family val="2"/>
      <charset val="1"/>
    </font>
    <font>
      <sz val="8"/>
      <color rgb="FF000000"/>
      <name val="Arial"/>
      <family val="2"/>
      <charset val="1"/>
    </font>
    <font>
      <sz val="8"/>
      <color rgb="FF000000"/>
      <name val="Calibri"/>
      <family val="2"/>
      <charset val="1"/>
    </font>
    <font>
      <sz val="11"/>
      <color rgb="FF000000"/>
      <name val="Lucida Console"/>
      <family val="3"/>
      <charset val="1"/>
    </font>
    <font>
      <sz val="8"/>
      <color rgb="FF000000"/>
      <name val="Lucida Console"/>
      <family val="3"/>
      <charset val="1"/>
    </font>
    <font>
      <b/>
      <i/>
      <sz val="14"/>
      <color rgb="FFFFFFFF"/>
      <name val="Times New Roman"/>
      <family val="1"/>
      <charset val="1"/>
    </font>
    <font>
      <i/>
      <sz val="14"/>
      <color rgb="FFFFFFFF"/>
      <name val="Times New Roman"/>
      <family val="1"/>
      <charset val="1"/>
    </font>
    <font>
      <b/>
      <sz val="14"/>
      <color rgb="FF000000"/>
      <name val="Times New Roman"/>
      <family val="1"/>
      <charset val="1"/>
    </font>
    <font>
      <sz val="14"/>
      <color rgb="FF000000"/>
      <name val="Times New Roman"/>
      <family val="1"/>
      <charset val="1"/>
    </font>
    <font>
      <b/>
      <sz val="14"/>
      <color rgb="FF000000"/>
      <name val="Arial"/>
      <family val="2"/>
      <charset val="1"/>
    </font>
    <font>
      <strike/>
      <sz val="14"/>
      <color rgb="FF000000"/>
      <name val="Times New Roman"/>
      <family val="1"/>
      <charset val="1"/>
    </font>
    <font>
      <b/>
      <i/>
      <sz val="12"/>
      <color rgb="FFFFFFFF"/>
      <name val="Times New Roman"/>
      <family val="1"/>
      <charset val="1"/>
    </font>
    <font>
      <b/>
      <sz val="12"/>
      <color rgb="FF000000"/>
      <name val="Times New Roman"/>
      <family val="1"/>
      <charset val="1"/>
    </font>
    <font>
      <sz val="12"/>
      <color rgb="FF000000"/>
      <name val="Times New Roman"/>
      <family val="1"/>
      <charset val="1"/>
    </font>
    <font>
      <sz val="9"/>
      <color rgb="FF000000"/>
      <name val="Tahoma"/>
      <charset val="1"/>
    </font>
    <font>
      <sz val="9"/>
      <color rgb="FF000000"/>
      <name val="Arial Unicode MS"/>
      <family val="2"/>
      <charset val="1"/>
    </font>
    <font>
      <b/>
      <sz val="12"/>
      <name val="Arial"/>
      <family val="2"/>
      <charset val="1"/>
    </font>
    <font>
      <b/>
      <sz val="10"/>
      <color rgb="FFFF0000"/>
      <name val="Arial"/>
      <family val="2"/>
      <charset val="1"/>
    </font>
    <font>
      <sz val="10"/>
      <color rgb="FF0000FF"/>
      <name val="Arial"/>
      <family val="2"/>
      <charset val="1"/>
    </font>
    <font>
      <b/>
      <sz val="10"/>
      <color rgb="FF0000FF"/>
      <name val="Arial"/>
      <family val="2"/>
      <charset val="1"/>
    </font>
    <font>
      <sz val="10"/>
      <color rgb="FF0066CC"/>
      <name val="Arial"/>
      <family val="2"/>
      <charset val="1"/>
    </font>
    <font>
      <b/>
      <sz val="10"/>
      <color rgb="FF0066CC"/>
      <name val="Arial"/>
      <family val="2"/>
      <charset val="1"/>
    </font>
    <font>
      <vertAlign val="superscript"/>
      <sz val="11"/>
      <color rgb="FF000000"/>
      <name val="Calibri"/>
      <family val="2"/>
      <charset val="1"/>
    </font>
    <font>
      <sz val="10"/>
      <color rgb="FF00CCFF"/>
      <name val="Arial"/>
      <family val="2"/>
      <charset val="1"/>
    </font>
    <font>
      <sz val="10"/>
      <color rgb="FFFFFFFF"/>
      <name val="Arial"/>
      <family val="2"/>
      <charset val="1"/>
    </font>
    <font>
      <i/>
      <sz val="11"/>
      <color rgb="FF000000"/>
      <name val="Calibri"/>
      <family val="2"/>
      <charset val="1"/>
    </font>
    <font>
      <i/>
      <sz val="10"/>
      <color rgb="FFFF0000"/>
      <name val="Arial"/>
      <family val="2"/>
      <charset val="1"/>
    </font>
    <font>
      <i/>
      <sz val="10"/>
      <name val="Arial"/>
      <family val="2"/>
      <charset val="1"/>
    </font>
    <font>
      <b/>
      <sz val="10"/>
      <color rgb="FF000000"/>
      <name val="Arial"/>
      <family val="2"/>
      <charset val="1"/>
    </font>
    <font>
      <b/>
      <i/>
      <sz val="10"/>
      <color rgb="FF000000"/>
      <name val="Arial"/>
      <family val="2"/>
      <charset val="1"/>
    </font>
    <font>
      <b/>
      <i/>
      <sz val="10"/>
      <color rgb="FFFFFFFF"/>
      <name val="Arial"/>
      <family val="2"/>
      <charset val="1"/>
    </font>
    <font>
      <b/>
      <sz val="10"/>
      <color rgb="FFFFFFFF"/>
      <name val="Arial"/>
      <family val="2"/>
      <charset val="1"/>
    </font>
    <font>
      <sz val="9"/>
      <color rgb="FFFFFFFF"/>
      <name val="Arial"/>
      <family val="2"/>
      <charset val="1"/>
    </font>
    <font>
      <b/>
      <u/>
      <sz val="10"/>
      <color rgb="FFFF0000"/>
      <name val="Arial"/>
      <family val="2"/>
      <charset val="1"/>
    </font>
    <font>
      <b/>
      <u/>
      <sz val="10"/>
      <name val="Arial"/>
      <family val="2"/>
      <charset val="1"/>
    </font>
    <font>
      <sz val="12"/>
      <name val="Times New Roman"/>
      <family val="1"/>
      <charset val="1"/>
    </font>
    <font>
      <vertAlign val="superscript"/>
      <sz val="12"/>
      <name val="Times New Roman"/>
      <family val="1"/>
      <charset val="1"/>
    </font>
    <font>
      <b/>
      <i/>
      <sz val="10"/>
      <color rgb="FF7F7F7F"/>
      <name val="Arial"/>
      <family val="2"/>
      <charset val="1"/>
    </font>
    <font>
      <b/>
      <u/>
      <sz val="12"/>
      <color rgb="FFFF0000"/>
      <name val="Times New Roman"/>
      <family val="1"/>
      <charset val="1"/>
    </font>
    <font>
      <sz val="11"/>
      <color rgb="FFD9D9D9"/>
      <name val="Calibri"/>
      <family val="2"/>
      <charset val="1"/>
    </font>
    <font>
      <b/>
      <sz val="11"/>
      <color rgb="FFD9D9D9"/>
      <name val="Calibri"/>
      <family val="2"/>
      <charset val="1"/>
    </font>
    <font>
      <sz val="9"/>
      <color rgb="FF000000"/>
      <name val="Tahoma"/>
      <family val="2"/>
      <charset val="1"/>
    </font>
    <font>
      <sz val="11"/>
      <color rgb="FFA6A6A6"/>
      <name val="Calibri"/>
      <family val="2"/>
      <charset val="1"/>
    </font>
    <font>
      <sz val="10"/>
      <color rgb="FF000000"/>
      <name val="Calibri"/>
      <family val="2"/>
      <charset val="1"/>
    </font>
    <font>
      <b/>
      <sz val="8"/>
      <color rgb="FF000000"/>
      <name val="Arial"/>
      <family val="2"/>
      <charset val="1"/>
    </font>
    <font>
      <sz val="10"/>
      <color rgb="FFFFCC99"/>
      <name val="Arial"/>
      <family val="2"/>
      <charset val="1"/>
    </font>
    <font>
      <b/>
      <sz val="10"/>
      <color rgb="FF000000"/>
      <name val="Calibri"/>
      <family val="2"/>
      <charset val="1"/>
    </font>
    <font>
      <sz val="11"/>
      <color rgb="FF000000"/>
      <name val="Lohit Devanagari"/>
      <family val="2"/>
      <charset val="1"/>
    </font>
    <font>
      <sz val="11"/>
      <color rgb="FF000000"/>
      <name val="Tahoma"/>
      <family val="2"/>
      <charset val="1"/>
    </font>
    <font>
      <b/>
      <sz val="11"/>
      <color rgb="FF000000"/>
      <name val="Tahoma"/>
      <family val="2"/>
      <charset val="1"/>
    </font>
    <font>
      <sz val="11"/>
      <color rgb="FF000000"/>
      <name val="Lohit Devanagari"/>
      <family val="2"/>
    </font>
    <font>
      <sz val="9"/>
      <name val="Arial Unicode MS"/>
      <family val="2"/>
      <charset val="1"/>
    </font>
    <font>
      <sz val="10"/>
      <color rgb="FF000000"/>
      <name val="Arial Unicode MS"/>
      <family val="2"/>
      <charset val="1"/>
    </font>
    <font>
      <sz val="10"/>
      <color rgb="FF606060"/>
      <name val="Arial"/>
      <family val="2"/>
      <charset val="1"/>
    </font>
    <font>
      <b/>
      <sz val="10"/>
      <color rgb="FF606060"/>
      <name val="Arial"/>
      <family val="2"/>
      <charset val="1"/>
    </font>
    <font>
      <sz val="9"/>
      <color rgb="FF000000"/>
      <name val="Arial Unicode MS"/>
      <charset val="1"/>
    </font>
    <font>
      <b/>
      <sz val="9"/>
      <color rgb="FF000000"/>
      <name val="Arial Unicode MS"/>
      <family val="2"/>
      <charset val="1"/>
    </font>
    <font>
      <sz val="9"/>
      <color rgb="FFC9211E"/>
      <name val="Arial Unicode MS"/>
      <family val="2"/>
      <charset val="1"/>
    </font>
    <font>
      <sz val="9"/>
      <color rgb="FFC9211E"/>
      <name val="Arial Unicode MS"/>
      <charset val="1"/>
    </font>
    <font>
      <b/>
      <sz val="11"/>
      <color rgb="FF000000"/>
      <name val="Noto Sans Arabic UI"/>
      <family val="2"/>
      <charset val="1"/>
    </font>
    <font>
      <sz val="11"/>
      <color rgb="FF000000"/>
      <name val="Arial Unicode MS"/>
      <family val="2"/>
      <charset val="1"/>
    </font>
    <font>
      <sz val="10.5"/>
      <color rgb="FF606060"/>
      <name val="Arial"/>
      <family val="2"/>
      <charset val="1"/>
    </font>
    <font>
      <sz val="11"/>
      <color rgb="FF000000"/>
      <name val="Noto Sans Arabic UI"/>
      <family val="2"/>
      <charset val="1"/>
    </font>
    <font>
      <sz val="11"/>
      <color rgb="FFC9211E"/>
      <name val="Calibri"/>
      <family val="2"/>
      <charset val="1"/>
    </font>
    <font>
      <sz val="11"/>
      <color rgb="FFC9211E"/>
      <name val="Noto Sans Arabic UI"/>
      <family val="2"/>
      <charset val="1"/>
    </font>
    <font>
      <sz val="11"/>
      <color rgb="FF800000"/>
      <name val="Calibri"/>
      <family val="2"/>
      <charset val="1"/>
    </font>
    <font>
      <sz val="11"/>
      <color rgb="FF800000"/>
      <name val="Lohit Devanagari"/>
      <family val="2"/>
      <charset val="1"/>
    </font>
    <font>
      <b/>
      <sz val="11"/>
      <color rgb="FF800000"/>
      <name val="Calibri"/>
      <family val="2"/>
      <charset val="1"/>
    </font>
    <font>
      <i/>
      <sz val="9"/>
      <color rgb="FF000000"/>
      <name val="Arial Unicode MS"/>
      <family val="2"/>
      <charset val="1"/>
    </font>
    <font>
      <sz val="12"/>
      <color rgb="FF000000"/>
      <name val="Arial"/>
      <family val="2"/>
      <charset val="1"/>
    </font>
    <font>
      <sz val="9"/>
      <color rgb="FFFFFFFF"/>
      <name val="Arial Unicode MS"/>
      <family val="2"/>
      <charset val="1"/>
    </font>
    <font>
      <sz val="14"/>
      <color rgb="FF000000"/>
      <name val="Arial Unicode MS"/>
      <family val="2"/>
      <charset val="1"/>
    </font>
    <font>
      <sz val="12"/>
      <color rgb="FF000000"/>
      <name val="Arial Unicode MS"/>
      <family val="2"/>
      <charset val="1"/>
    </font>
    <font>
      <sz val="12"/>
      <color rgb="FF000000"/>
      <name val="Lohit Devanagari"/>
      <family val="2"/>
      <charset val="1"/>
    </font>
    <font>
      <sz val="8"/>
      <color rgb="FF000000"/>
      <name val="Arial Unicode MS"/>
      <family val="2"/>
      <charset val="1"/>
    </font>
    <font>
      <b/>
      <sz val="9"/>
      <color rgb="FFFFFFFF"/>
      <name val="Arial Unicode MS"/>
      <family val="2"/>
      <charset val="1"/>
    </font>
    <font>
      <b/>
      <i/>
      <sz val="9"/>
      <color rgb="FFFFFFFF"/>
      <name val="Arial Unicode MS"/>
      <family val="2"/>
      <charset val="1"/>
    </font>
    <font>
      <b/>
      <sz val="9"/>
      <name val="Arial Unicode MS"/>
      <family val="2"/>
      <charset val="1"/>
    </font>
    <font>
      <sz val="8"/>
      <color rgb="FF000000"/>
      <name val="Verdana"/>
      <family val="2"/>
      <charset val="1"/>
    </font>
    <font>
      <sz val="11"/>
      <color rgb="FFFF0000"/>
      <name val="Arial"/>
      <family val="2"/>
      <charset val="1"/>
    </font>
    <font>
      <i/>
      <sz val="10"/>
      <color rgb="FFFFFFFF"/>
      <name val="Arial Unicode MS"/>
      <family val="2"/>
      <charset val="1"/>
    </font>
    <font>
      <b/>
      <sz val="11"/>
      <color rgb="FFFFFFFF"/>
      <name val="Lohit Devanagari"/>
      <family val="2"/>
      <charset val="1"/>
    </font>
    <font>
      <sz val="11"/>
      <color rgb="FFFFFFFF"/>
      <name val="Lohit Devanagari"/>
      <family val="2"/>
      <charset val="1"/>
    </font>
    <font>
      <i/>
      <sz val="8"/>
      <name val="Verdana"/>
      <family val="2"/>
      <charset val="1"/>
    </font>
    <font>
      <sz val="8"/>
      <name val="Verdana"/>
      <family val="2"/>
      <charset val="1"/>
    </font>
    <font>
      <sz val="8"/>
      <name val="URW Palladio IT"/>
      <charset val="1"/>
    </font>
    <font>
      <i/>
      <sz val="8"/>
      <name val="URW Palladio IT"/>
      <charset val="1"/>
    </font>
    <font>
      <b/>
      <sz val="8"/>
      <name val="URW Palladio IT"/>
      <charset val="1"/>
    </font>
    <font>
      <b/>
      <sz val="13.5"/>
      <color rgb="FF000000"/>
      <name val="Calibri"/>
      <family val="2"/>
      <charset val="1"/>
    </font>
    <font>
      <sz val="11"/>
      <color rgb="FF000000"/>
      <name val="Trebuchet MS"/>
      <family val="2"/>
      <charset val="1"/>
    </font>
    <font>
      <sz val="11"/>
      <color rgb="FF000000"/>
      <name val="Mangal"/>
      <family val="1"/>
      <charset val="1"/>
    </font>
    <font>
      <sz val="11"/>
      <color rgb="FFFF0000"/>
      <name val="Trebuchet MS"/>
      <family val="2"/>
      <charset val="1"/>
    </font>
    <font>
      <b/>
      <sz val="11"/>
      <color rgb="FFFF0000"/>
      <name val="Arial"/>
      <family val="2"/>
      <charset val="1"/>
    </font>
    <font>
      <sz val="10"/>
      <color rgb="FF333333"/>
      <name val="Tahoma"/>
      <family val="2"/>
      <charset val="1"/>
    </font>
    <font>
      <b/>
      <sz val="9"/>
      <color rgb="FF000000"/>
      <name val="Arial"/>
      <family val="2"/>
      <charset val="1"/>
    </font>
    <font>
      <u/>
      <sz val="8.8000000000000007"/>
      <color rgb="FF0000FF"/>
      <name val="Calibri"/>
      <family val="2"/>
      <charset val="1"/>
    </font>
    <font>
      <sz val="9"/>
      <color rgb="FF000000"/>
      <name val="Arial"/>
      <family val="2"/>
      <charset val="1"/>
    </font>
    <font>
      <sz val="11"/>
      <color rgb="FF604A7B"/>
      <name val="Arial"/>
      <family val="2"/>
      <charset val="1"/>
    </font>
    <font>
      <u/>
      <sz val="11"/>
      <color rgb="FF000000"/>
      <name val="Arial"/>
      <family val="2"/>
      <charset val="1"/>
    </font>
    <font>
      <sz val="11"/>
      <color rgb="FFFFFFFF"/>
      <name val="Tahoma"/>
      <family val="2"/>
      <charset val="1"/>
    </font>
    <font>
      <sz val="9"/>
      <color rgb="FFFFFFFF"/>
      <name val="Tahoma"/>
      <family val="2"/>
      <charset val="1"/>
    </font>
    <font>
      <sz val="9"/>
      <color rgb="FF666666"/>
      <name val="Tahoma"/>
      <family val="2"/>
      <charset val="1"/>
    </font>
    <font>
      <b/>
      <sz val="12"/>
      <color rgb="FF000000"/>
      <name val="Arial Unicode MS"/>
      <family val="2"/>
      <charset val="1"/>
    </font>
    <font>
      <vertAlign val="superscript"/>
      <sz val="9"/>
      <color rgb="FF000000"/>
      <name val="Arial Unicode MS"/>
      <family val="2"/>
      <charset val="1"/>
    </font>
    <font>
      <b/>
      <i/>
      <sz val="9"/>
      <color rgb="FFFFFFFF"/>
      <name val="Arial"/>
      <family val="2"/>
      <charset val="1"/>
    </font>
    <font>
      <i/>
      <sz val="10"/>
      <color rgb="FF000000"/>
      <name val="Arial"/>
      <family val="2"/>
      <charset val="1"/>
    </font>
    <font>
      <sz val="10"/>
      <color rgb="FFC0C0C0"/>
      <name val="Arial"/>
      <family val="2"/>
      <charset val="1"/>
    </font>
    <font>
      <b/>
      <i/>
      <sz val="10"/>
      <color rgb="FFFF0000"/>
      <name val="Arial"/>
      <family val="2"/>
      <charset val="1"/>
    </font>
    <font>
      <b/>
      <sz val="10"/>
      <name val="Arial Unicode MS"/>
      <family val="2"/>
      <charset val="1"/>
    </font>
    <font>
      <sz val="12"/>
      <name val="Arial Unicode MS"/>
      <family val="2"/>
      <charset val="1"/>
    </font>
    <font>
      <sz val="10"/>
      <name val="Arial Unicode MS"/>
      <family val="2"/>
      <charset val="1"/>
    </font>
    <font>
      <sz val="16"/>
      <color rgb="FF000000"/>
      <name val="Sanskrit 2003"/>
      <charset val="1"/>
    </font>
    <font>
      <sz val="18"/>
      <name val="Arial Unicode MS"/>
      <family val="2"/>
      <charset val="1"/>
    </font>
    <font>
      <sz val="9.0500000000000007"/>
      <color rgb="FF000000"/>
      <name val="Arial"/>
      <family val="2"/>
      <charset val="1"/>
    </font>
    <font>
      <sz val="9.0500000000000007"/>
      <color rgb="FF000000"/>
      <name val="Lucida Sans Unicode"/>
      <family val="2"/>
      <charset val="1"/>
    </font>
    <font>
      <sz val="12"/>
      <color rgb="FF808000"/>
      <name val="Arial"/>
      <family val="2"/>
      <charset val="1"/>
    </font>
    <font>
      <sz val="16"/>
      <color rgb="FF000000"/>
      <name val="Calibri"/>
      <family val="2"/>
      <charset val="1"/>
    </font>
    <font>
      <sz val="12"/>
      <color rgb="FF000000"/>
      <name val="Lucida Sans Unicode"/>
      <family val="2"/>
      <charset val="1"/>
    </font>
    <font>
      <sz val="12"/>
      <color rgb="FF808000"/>
      <name val="Calibri"/>
      <family val="2"/>
      <charset val="1"/>
    </font>
    <font>
      <sz val="16"/>
      <color rgb="FF000000"/>
      <name val="Lucida Sans Unicode"/>
      <family val="2"/>
      <charset val="1"/>
    </font>
    <font>
      <sz val="12"/>
      <color rgb="FF000000"/>
      <name val="Calibri"/>
      <family val="2"/>
      <charset val="1"/>
    </font>
    <font>
      <sz val="9"/>
      <color rgb="FF000000"/>
      <name val="Lucida Sans Unicode"/>
      <family val="2"/>
      <charset val="1"/>
    </font>
    <font>
      <b/>
      <sz val="12"/>
      <color rgb="FF808000"/>
      <name val="Calibri"/>
      <family val="2"/>
      <charset val="1"/>
    </font>
    <font>
      <sz val="16"/>
      <color rgb="FF000000"/>
      <name val="Arial Unicode MS"/>
      <family val="2"/>
      <charset val="1"/>
    </font>
    <font>
      <sz val="16"/>
      <color rgb="FF808000"/>
      <name val="Arial Unicode MS"/>
      <family val="2"/>
      <charset val="1"/>
    </font>
    <font>
      <sz val="14"/>
      <color rgb="FF000000"/>
      <name val="Mangal"/>
      <family val="1"/>
      <charset val="1"/>
    </font>
    <font>
      <sz val="14"/>
      <color rgb="FF000000"/>
      <name val="Calibri"/>
      <family val="2"/>
      <charset val="1"/>
    </font>
    <font>
      <sz val="16"/>
      <color rgb="FF000000"/>
      <name val="Lohit Devanagari"/>
      <family val="2"/>
      <charset val="1"/>
    </font>
    <font>
      <b/>
      <sz val="10"/>
      <color rgb="FFFFFFFF"/>
      <name val="Calibri"/>
      <family val="2"/>
      <charset val="1"/>
    </font>
    <font>
      <sz val="12"/>
      <color rgb="FFFF0000"/>
      <name val="Calibri"/>
      <family val="2"/>
      <charset val="1"/>
    </font>
    <font>
      <u val="double"/>
      <sz val="11"/>
      <color rgb="FF000000"/>
      <name val="Calibri"/>
      <family val="2"/>
      <charset val="1"/>
    </font>
    <font>
      <b/>
      <sz val="11"/>
      <color rgb="FFFF0000"/>
      <name val="Calibri"/>
      <family val="2"/>
      <charset val="1"/>
    </font>
    <font>
      <strike/>
      <sz val="11"/>
      <color rgb="FF000000"/>
      <name val="Calibri"/>
      <family val="2"/>
      <charset val="1"/>
    </font>
    <font>
      <b/>
      <strike/>
      <sz val="11"/>
      <color rgb="FFFF0000"/>
      <name val="Calibri"/>
      <family val="2"/>
      <charset val="1"/>
    </font>
    <font>
      <sz val="18"/>
      <color rgb="FF000000"/>
      <name val="Calibri"/>
      <family val="2"/>
      <charset val="1"/>
    </font>
    <font>
      <b/>
      <sz val="12"/>
      <color rgb="FFFF0000"/>
      <name val="Calibri"/>
      <family val="2"/>
      <charset val="1"/>
    </font>
    <font>
      <strike/>
      <sz val="12"/>
      <color rgb="FF000000"/>
      <name val="Calibri"/>
      <family val="2"/>
      <charset val="1"/>
    </font>
    <font>
      <u val="double"/>
      <sz val="12"/>
      <color rgb="FF000000"/>
      <name val="Calibri"/>
      <family val="2"/>
      <charset val="1"/>
    </font>
    <font>
      <sz val="11"/>
      <color rgb="FFFFFFFF"/>
      <name val="Arial"/>
      <family val="2"/>
      <charset val="1"/>
    </font>
    <font>
      <sz val="11"/>
      <color rgb="FF003300"/>
      <name val="Arial"/>
      <family val="2"/>
      <charset val="1"/>
    </font>
    <font>
      <sz val="11"/>
      <name val="Arial"/>
      <family val="2"/>
      <charset val="1"/>
    </font>
    <font>
      <b/>
      <sz val="11"/>
      <name val="Arial"/>
      <family val="2"/>
      <charset val="1"/>
    </font>
    <font>
      <sz val="12"/>
      <name val="Arial"/>
      <family val="2"/>
      <charset val="1"/>
    </font>
    <font>
      <sz val="11"/>
      <name val="Calibri"/>
      <family val="2"/>
      <charset val="1"/>
    </font>
    <font>
      <sz val="11"/>
      <color rgb="FF003300"/>
      <name val="Calibri"/>
      <family val="2"/>
      <charset val="1"/>
    </font>
    <font>
      <sz val="14"/>
      <color rgb="FF000000"/>
      <name val="Sanskrit 2003"/>
      <charset val="1"/>
    </font>
    <font>
      <sz val="12"/>
      <color rgb="FF000000"/>
      <name val="Shusha"/>
      <charset val="1"/>
    </font>
    <font>
      <sz val="12"/>
      <color rgb="FF000000"/>
      <name val="Mangal"/>
      <family val="1"/>
      <charset val="1"/>
    </font>
    <font>
      <b/>
      <i/>
      <sz val="11"/>
      <color rgb="FF000000"/>
      <name val="Calibri"/>
      <family val="2"/>
      <charset val="1"/>
    </font>
    <font>
      <sz val="11"/>
      <color rgb="FF000000"/>
      <name val="Calibri"/>
      <family val="2"/>
      <charset val="1"/>
    </font>
    <font>
      <sz val="8"/>
      <name val="Calibri"/>
      <family val="2"/>
      <charset val="1"/>
    </font>
  </fonts>
  <fills count="53">
    <fill>
      <patternFill patternType="none"/>
    </fill>
    <fill>
      <patternFill patternType="gray125"/>
    </fill>
    <fill>
      <patternFill patternType="solid">
        <fgColor rgb="FFCCCCFF"/>
        <bgColor rgb="FFCCCDCB"/>
      </patternFill>
    </fill>
    <fill>
      <patternFill patternType="solid">
        <fgColor rgb="FFFF99CC"/>
        <bgColor rgb="FFD99694"/>
      </patternFill>
    </fill>
    <fill>
      <patternFill patternType="solid">
        <fgColor rgb="FFCCFFCC"/>
        <bgColor rgb="FFCCFFFF"/>
      </patternFill>
    </fill>
    <fill>
      <patternFill patternType="solid">
        <fgColor rgb="FFCC99FF"/>
        <bgColor rgb="FFFF99CC"/>
      </patternFill>
    </fill>
    <fill>
      <patternFill patternType="solid">
        <fgColor rgb="FFCCFFFF"/>
        <bgColor rgb="FFDBEEF4"/>
      </patternFill>
    </fill>
    <fill>
      <patternFill patternType="solid">
        <fgColor rgb="FFFFCC99"/>
        <bgColor rgb="FFFED3C0"/>
      </patternFill>
    </fill>
    <fill>
      <patternFill patternType="solid">
        <fgColor rgb="FF99CCFF"/>
        <bgColor rgb="FFCCCCFF"/>
      </patternFill>
    </fill>
    <fill>
      <patternFill patternType="solid">
        <fgColor rgb="FFFF8080"/>
        <bgColor rgb="FFF79646"/>
      </patternFill>
    </fill>
    <fill>
      <patternFill patternType="solid">
        <fgColor rgb="FF00FF00"/>
        <bgColor rgb="FF2AD0D5"/>
      </patternFill>
    </fill>
    <fill>
      <patternFill patternType="solid">
        <fgColor rgb="FFFFCC00"/>
        <bgColor rgb="FFFFC000"/>
      </patternFill>
    </fill>
    <fill>
      <patternFill patternType="solid">
        <fgColor rgb="FF016BCA"/>
        <bgColor rgb="FF017B79"/>
      </patternFill>
    </fill>
    <fill>
      <patternFill patternType="solid">
        <fgColor rgb="FF800080"/>
        <bgColor rgb="FF610476"/>
      </patternFill>
    </fill>
    <fill>
      <patternFill patternType="solid">
        <fgColor rgb="FF2AD0D5"/>
        <bgColor rgb="FF05E4F9"/>
      </patternFill>
    </fill>
    <fill>
      <patternFill patternType="solid">
        <fgColor rgb="FFFF9900"/>
        <bgColor rgb="FFF79646"/>
      </patternFill>
    </fill>
    <fill>
      <patternFill patternType="solid">
        <fgColor rgb="FF023275"/>
        <bgColor rgb="FF333333"/>
      </patternFill>
    </fill>
    <fill>
      <patternFill patternType="solid">
        <fgColor rgb="FFFF0000"/>
        <bgColor rgb="FFC32207"/>
      </patternFill>
    </fill>
    <fill>
      <patternFill patternType="solid">
        <fgColor rgb="FF339966"/>
        <bgColor rgb="FF017B79"/>
      </patternFill>
    </fill>
    <fill>
      <patternFill patternType="solid">
        <fgColor rgb="FFFF6600"/>
        <bgColor rgb="FFFF9900"/>
      </patternFill>
    </fill>
    <fill>
      <patternFill patternType="solid">
        <fgColor rgb="FFC0C0C0"/>
        <bgColor rgb="FFCCCDCB"/>
      </patternFill>
    </fill>
    <fill>
      <patternFill patternType="solid">
        <fgColor rgb="FF969696"/>
        <bgColor rgb="FFAAAAAA"/>
      </patternFill>
    </fill>
    <fill>
      <patternFill patternType="solid">
        <fgColor rgb="FFFFFF99"/>
        <bgColor rgb="FFFFFFCC"/>
      </patternFill>
    </fill>
    <fill>
      <patternFill patternType="solid">
        <fgColor rgb="FFFFFFCC"/>
        <bgColor rgb="FFF4F5F4"/>
      </patternFill>
    </fill>
    <fill>
      <patternFill patternType="solid">
        <fgColor rgb="FFFFFFFF"/>
        <bgColor rgb="FFF4F5F4"/>
      </patternFill>
    </fill>
    <fill>
      <patternFill patternType="solid">
        <fgColor rgb="FFFFFF00"/>
        <bgColor rgb="FFFFCC00"/>
      </patternFill>
    </fill>
    <fill>
      <patternFill patternType="solid">
        <fgColor rgb="FFFFC000"/>
        <bgColor rgb="FFFFCC00"/>
      </patternFill>
    </fill>
    <fill>
      <patternFill patternType="solid">
        <fgColor rgb="FF840000"/>
        <bgColor rgb="FF800080"/>
      </patternFill>
    </fill>
    <fill>
      <patternFill patternType="solid">
        <fgColor rgb="FFC32207"/>
        <bgColor rgb="FF840000"/>
      </patternFill>
    </fill>
    <fill>
      <patternFill patternType="solid">
        <fgColor rgb="FF017B79"/>
        <bgColor rgb="FF016BCA"/>
      </patternFill>
    </fill>
    <fill>
      <patternFill patternType="solid">
        <fgColor rgb="FFF2DFE7"/>
        <bgColor rgb="FFE7E6F2"/>
      </patternFill>
    </fill>
    <fill>
      <patternFill patternType="solid">
        <fgColor rgb="FF000080"/>
        <bgColor rgb="FF023275"/>
      </patternFill>
    </fill>
    <fill>
      <patternFill patternType="mediumGray">
        <fgColor rgb="FFF2DFE7"/>
        <bgColor rgb="FFE7E6F2"/>
      </patternFill>
    </fill>
    <fill>
      <patternFill patternType="solid">
        <fgColor rgb="FFFDEADA"/>
        <bgColor rgb="FFF2DFE7"/>
      </patternFill>
    </fill>
    <fill>
      <patternFill patternType="solid">
        <fgColor rgb="FFDBEEF4"/>
        <bgColor rgb="FFE7E6F2"/>
      </patternFill>
    </fill>
    <fill>
      <patternFill patternType="solid">
        <fgColor rgb="FFE7E6F2"/>
        <bgColor rgb="FFF2DFE7"/>
      </patternFill>
    </fill>
    <fill>
      <patternFill patternType="solid">
        <fgColor rgb="FF003300"/>
        <bgColor rgb="FF333300"/>
      </patternFill>
    </fill>
    <fill>
      <patternFill patternType="solid">
        <fgColor rgb="FF05E4F9"/>
        <bgColor rgb="FF00FFFF"/>
      </patternFill>
    </fill>
    <fill>
      <patternFill patternType="solid">
        <fgColor rgb="FF000000"/>
        <bgColor rgb="FF003300"/>
      </patternFill>
    </fill>
    <fill>
      <patternFill patternType="solid">
        <fgColor rgb="FFF0F1EF"/>
        <bgColor rgb="FFF4F5F4"/>
      </patternFill>
    </fill>
    <fill>
      <patternFill patternType="solid">
        <fgColor rgb="FFF79646"/>
        <bgColor rgb="FFFF9900"/>
      </patternFill>
    </fill>
    <fill>
      <patternFill patternType="solid">
        <fgColor rgb="FF0000FF"/>
        <bgColor rgb="FF000080"/>
      </patternFill>
    </fill>
    <fill>
      <patternFill patternType="solid">
        <fgColor rgb="FFFF00FF"/>
        <bgColor rgb="FF800080"/>
      </patternFill>
    </fill>
    <fill>
      <patternFill patternType="mediumGray">
        <fgColor rgb="FFF0F1EF"/>
        <bgColor rgb="FFF4F5F4"/>
      </patternFill>
    </fill>
    <fill>
      <patternFill patternType="mediumGray">
        <fgColor rgb="FFF4F5F4"/>
        <bgColor rgb="FFFFFFFF"/>
      </patternFill>
    </fill>
    <fill>
      <patternFill patternType="solid">
        <fgColor rgb="FFFED3C0"/>
        <bgColor rgb="FFFFCC99"/>
      </patternFill>
    </fill>
    <fill>
      <patternFill patternType="solid">
        <fgColor rgb="FFD9D9D9"/>
        <bgColor rgb="FFCCCDCB"/>
      </patternFill>
    </fill>
    <fill>
      <patternFill patternType="darkGray">
        <fgColor rgb="FF808004"/>
        <bgColor rgb="FF808080"/>
      </patternFill>
    </fill>
    <fill>
      <patternFill patternType="solid">
        <fgColor rgb="FFCCCDCB"/>
        <bgColor rgb="FFC0C0C0"/>
      </patternFill>
    </fill>
    <fill>
      <patternFill patternType="solid">
        <fgColor rgb="FF92D050"/>
        <bgColor rgb="FF9BBB59"/>
      </patternFill>
    </fill>
    <fill>
      <patternFill patternType="solid">
        <fgColor rgb="FFD99694"/>
        <bgColor rgb="FFFF8080"/>
      </patternFill>
    </fill>
    <fill>
      <patternFill patternType="mediumGray">
        <fgColor rgb="FF2AD0D5"/>
        <bgColor rgb="FF05E4F9"/>
      </patternFill>
    </fill>
    <fill>
      <patternFill patternType="solid">
        <fgColor rgb="FF00FFFF"/>
        <bgColor rgb="FF05E4F9"/>
      </patternFill>
    </fill>
  </fills>
  <borders count="233">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023275"/>
      </bottom>
      <diagonal/>
    </border>
    <border>
      <left/>
      <right/>
      <top/>
      <bottom style="thick">
        <color rgb="FFC0C0C0"/>
      </bottom>
      <diagonal/>
    </border>
    <border>
      <left/>
      <right/>
      <top/>
      <bottom style="medium">
        <color rgb="FF016BCA"/>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style="hair">
        <color auto="1"/>
      </left>
      <right/>
      <top/>
      <bottom/>
      <diagonal/>
    </border>
    <border>
      <left/>
      <right/>
      <top style="thin">
        <color rgb="FF023275"/>
      </top>
      <bottom style="double">
        <color rgb="FF023275"/>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bottom/>
      <diagonal/>
    </border>
    <border>
      <left/>
      <right/>
      <top style="thin">
        <color auto="1"/>
      </top>
      <bottom style="thin">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style="thin">
        <color auto="1"/>
      </top>
      <bottom style="hair">
        <color auto="1"/>
      </bottom>
      <diagonal/>
    </border>
    <border diagonalDown="1">
      <left/>
      <right/>
      <top/>
      <bottom/>
      <diagonal style="thin">
        <color auto="1"/>
      </diagonal>
    </border>
    <border>
      <left style="thin">
        <color auto="1"/>
      </left>
      <right style="thin">
        <color auto="1"/>
      </right>
      <top/>
      <bottom/>
      <diagonal/>
    </border>
    <border diagonalUp="1">
      <left/>
      <right/>
      <top/>
      <bottom/>
      <diagonal style="thin">
        <color auto="1"/>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ck">
        <color auto="1"/>
      </left>
      <right/>
      <top style="thick">
        <color auto="1"/>
      </top>
      <bottom/>
      <diagonal/>
    </border>
    <border>
      <left/>
      <right style="thick">
        <color auto="1"/>
      </right>
      <top style="thick">
        <color auto="1"/>
      </top>
      <bottom/>
      <diagonal/>
    </border>
    <border>
      <left style="thick">
        <color auto="1"/>
      </left>
      <right style="thick">
        <color auto="1"/>
      </right>
      <top style="thick">
        <color auto="1"/>
      </top>
      <bottom/>
      <diagonal/>
    </border>
    <border>
      <left/>
      <right/>
      <top style="thick">
        <color auto="1"/>
      </top>
      <bottom/>
      <diagonal/>
    </border>
    <border>
      <left style="thick">
        <color auto="1"/>
      </left>
      <right/>
      <top/>
      <bottom/>
      <diagonal/>
    </border>
    <border>
      <left/>
      <right style="thick">
        <color auto="1"/>
      </right>
      <top/>
      <bottom/>
      <diagonal/>
    </border>
    <border>
      <left style="thick">
        <color auto="1"/>
      </left>
      <right style="thick">
        <color auto="1"/>
      </right>
      <top/>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right/>
      <top style="thick">
        <color auto="1"/>
      </top>
      <bottom style="thick">
        <color auto="1"/>
      </bottom>
      <diagonal/>
    </border>
    <border>
      <left style="thick">
        <color auto="1"/>
      </left>
      <right/>
      <top/>
      <bottom style="thick">
        <color auto="1"/>
      </bottom>
      <diagonal/>
    </border>
    <border>
      <left/>
      <right style="thick">
        <color auto="1"/>
      </right>
      <top/>
      <bottom style="thick">
        <color auto="1"/>
      </bottom>
      <diagonal/>
    </border>
    <border>
      <left style="thick">
        <color auto="1"/>
      </left>
      <right style="thick">
        <color auto="1"/>
      </right>
      <top/>
      <bottom style="thick">
        <color auto="1"/>
      </bottom>
      <diagonal/>
    </border>
    <border>
      <left/>
      <right/>
      <top/>
      <bottom style="thick">
        <color auto="1"/>
      </bottom>
      <diagonal/>
    </border>
    <border>
      <left style="hair">
        <color rgb="FF333300"/>
      </left>
      <right style="hair">
        <color rgb="FF333300"/>
      </right>
      <top style="hair">
        <color rgb="FF333300"/>
      </top>
      <bottom style="hair">
        <color rgb="FF333300"/>
      </bottom>
      <diagonal/>
    </border>
    <border>
      <left/>
      <right style="hair">
        <color rgb="FF333300"/>
      </right>
      <top style="hair">
        <color rgb="FF333300"/>
      </top>
      <bottom style="hair">
        <color rgb="FF333300"/>
      </bottom>
      <diagonal/>
    </border>
    <border>
      <left/>
      <right style="hair">
        <color rgb="FF333300"/>
      </right>
      <top/>
      <bottom/>
      <diagonal/>
    </border>
    <border>
      <left style="hair">
        <color rgb="FF333300"/>
      </left>
      <right style="hair">
        <color rgb="FF333300"/>
      </right>
      <top/>
      <bottom style="hair">
        <color rgb="FF333300"/>
      </bottom>
      <diagonal/>
    </border>
    <border>
      <left/>
      <right style="hair">
        <color rgb="FF610476"/>
      </right>
      <top/>
      <bottom style="hair">
        <color rgb="FF610476"/>
      </bottom>
      <diagonal/>
    </border>
    <border>
      <left style="hair">
        <color rgb="FF610476"/>
      </left>
      <right style="hair">
        <color rgb="FF610476"/>
      </right>
      <top/>
      <bottom style="hair">
        <color rgb="FF610476"/>
      </bottom>
      <diagonal/>
    </border>
    <border>
      <left/>
      <right style="hair">
        <color rgb="FF610476"/>
      </right>
      <top style="hair">
        <color rgb="FF610476"/>
      </top>
      <bottom style="hair">
        <color rgb="FF610476"/>
      </bottom>
      <diagonal/>
    </border>
    <border>
      <left/>
      <right/>
      <top style="medium">
        <color rgb="FF000080"/>
      </top>
      <bottom style="hair">
        <color rgb="FF000080"/>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style="medium">
        <color auto="1"/>
      </top>
      <bottom/>
      <diagonal/>
    </border>
    <border>
      <left style="thin">
        <color auto="1"/>
      </left>
      <right style="thin">
        <color auto="1"/>
      </right>
      <top/>
      <bottom style="medium">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
      <left style="medium">
        <color auto="1"/>
      </left>
      <right style="thin">
        <color auto="1"/>
      </right>
      <top/>
      <bottom/>
      <diagonal/>
    </border>
    <border>
      <left style="thin">
        <color auto="1"/>
      </left>
      <right style="medium">
        <color auto="1"/>
      </right>
      <top/>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rgb="FF023275"/>
      </left>
      <right/>
      <top style="thin">
        <color rgb="FF023275"/>
      </top>
      <bottom/>
      <diagonal/>
    </border>
    <border>
      <left/>
      <right/>
      <top style="medium">
        <color rgb="FF023275"/>
      </top>
      <bottom/>
      <diagonal/>
    </border>
    <border>
      <left style="medium">
        <color rgb="FF023275"/>
      </left>
      <right/>
      <top/>
      <bottom style="medium">
        <color auto="1"/>
      </bottom>
      <diagonal/>
    </border>
    <border>
      <left style="medium">
        <color rgb="FF023275"/>
      </left>
      <right/>
      <top style="medium">
        <color auto="1"/>
      </top>
      <bottom/>
      <diagonal/>
    </border>
    <border>
      <left style="medium">
        <color rgb="FF023275"/>
      </left>
      <right/>
      <top/>
      <bottom style="medium">
        <color rgb="FF023275"/>
      </bottom>
      <diagonal/>
    </border>
    <border>
      <left/>
      <right/>
      <top/>
      <bottom style="medium">
        <color rgb="FF023275"/>
      </bottom>
      <diagonal/>
    </border>
    <border>
      <left/>
      <right/>
      <top style="thin">
        <color rgb="FF023275"/>
      </top>
      <bottom style="medium">
        <color auto="1"/>
      </bottom>
      <diagonal/>
    </border>
    <border>
      <left style="hair">
        <color auto="1"/>
      </left>
      <right style="hair">
        <color auto="1"/>
      </right>
      <top style="hair">
        <color auto="1"/>
      </top>
      <bottom/>
      <diagonal/>
    </border>
    <border>
      <left/>
      <right style="hair">
        <color auto="1"/>
      </right>
      <top/>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right/>
      <top style="hair">
        <color auto="1"/>
      </top>
      <bottom/>
      <diagonal/>
    </border>
    <border>
      <left/>
      <right/>
      <top/>
      <bottom style="hair">
        <color auto="1"/>
      </bottom>
      <diagonal/>
    </border>
    <border>
      <left style="medium">
        <color rgb="FFFF0000"/>
      </left>
      <right style="medium">
        <color rgb="FFFF0000"/>
      </right>
      <top style="medium">
        <color rgb="FFFF0000"/>
      </top>
      <bottom style="medium">
        <color rgb="FFFF0000"/>
      </bottom>
      <diagonal/>
    </border>
    <border>
      <left/>
      <right/>
      <top style="hair">
        <color auto="1"/>
      </top>
      <bottom style="hair">
        <color auto="1"/>
      </bottom>
      <diagonal/>
    </border>
    <border>
      <left style="medium">
        <color auto="1"/>
      </left>
      <right/>
      <top style="hair">
        <color auto="1"/>
      </top>
      <bottom style="hair">
        <color auto="1"/>
      </bottom>
      <diagonal/>
    </border>
    <border>
      <left/>
      <right style="medium">
        <color auto="1"/>
      </right>
      <top style="hair">
        <color auto="1"/>
      </top>
      <bottom style="hair">
        <color auto="1"/>
      </bottom>
      <diagonal/>
    </border>
    <border>
      <left style="hair">
        <color auto="1"/>
      </left>
      <right style="hair">
        <color auto="1"/>
      </right>
      <top style="hair">
        <color auto="1"/>
      </top>
      <bottom style="thick">
        <color rgb="FFC0C0C0"/>
      </bottom>
      <diagonal/>
    </border>
    <border>
      <left style="thick">
        <color rgb="FF00800E"/>
      </left>
      <right/>
      <top style="thick">
        <color rgb="FF00800E"/>
      </top>
      <bottom/>
      <diagonal/>
    </border>
    <border>
      <left/>
      <right/>
      <top style="thick">
        <color rgb="FF00800E"/>
      </top>
      <bottom/>
      <diagonal/>
    </border>
    <border>
      <left/>
      <right style="thick">
        <color rgb="FF00800E"/>
      </right>
      <top style="thick">
        <color rgb="FF00800E"/>
      </top>
      <bottom/>
      <diagonal/>
    </border>
    <border>
      <left style="medium">
        <color auto="1"/>
      </left>
      <right/>
      <top style="thick">
        <color rgb="FF00800E"/>
      </top>
      <bottom/>
      <diagonal/>
    </border>
    <border>
      <left/>
      <right style="medium">
        <color auto="1"/>
      </right>
      <top style="thick">
        <color rgb="FF00800E"/>
      </top>
      <bottom/>
      <diagonal/>
    </border>
    <border>
      <left style="thick">
        <color rgb="FF00800E"/>
      </left>
      <right/>
      <top style="thin">
        <color rgb="FF00FFFF"/>
      </top>
      <bottom/>
      <diagonal/>
    </border>
    <border>
      <left/>
      <right/>
      <top style="thin">
        <color rgb="FF00FFFF"/>
      </top>
      <bottom/>
      <diagonal/>
    </border>
    <border>
      <left/>
      <right style="thick">
        <color rgb="FF00800E"/>
      </right>
      <top style="thin">
        <color rgb="FF00FFFF"/>
      </top>
      <bottom/>
      <diagonal/>
    </border>
    <border>
      <left style="hair">
        <color auto="1"/>
      </left>
      <right style="thick">
        <color rgb="FF00800E"/>
      </right>
      <top style="thin">
        <color rgb="FF00FFFF"/>
      </top>
      <bottom/>
      <diagonal/>
    </border>
    <border>
      <left style="medium">
        <color auto="1"/>
      </left>
      <right/>
      <top style="thin">
        <color rgb="FF00FFFF"/>
      </top>
      <bottom/>
      <diagonal/>
    </border>
    <border>
      <left/>
      <right style="medium">
        <color auto="1"/>
      </right>
      <top style="thin">
        <color rgb="FF00FFFF"/>
      </top>
      <bottom/>
      <diagonal/>
    </border>
    <border>
      <left style="thick">
        <color rgb="FF00800E"/>
      </left>
      <right/>
      <top style="thin">
        <color rgb="FF00FFFF"/>
      </top>
      <bottom style="thick">
        <color rgb="FF00800E"/>
      </bottom>
      <diagonal/>
    </border>
    <border>
      <left/>
      <right/>
      <top style="thin">
        <color rgb="FF00FFFF"/>
      </top>
      <bottom style="thick">
        <color rgb="FF00800E"/>
      </bottom>
      <diagonal/>
    </border>
    <border>
      <left/>
      <right style="thick">
        <color rgb="FF00800E"/>
      </right>
      <top style="thin">
        <color rgb="FF00FFFF"/>
      </top>
      <bottom style="thick">
        <color rgb="FF00800E"/>
      </bottom>
      <diagonal/>
    </border>
    <border>
      <left style="hair">
        <color auto="1"/>
      </left>
      <right style="thick">
        <color rgb="FF00800E"/>
      </right>
      <top style="thin">
        <color rgb="FF00FFFF"/>
      </top>
      <bottom style="hair">
        <color auto="1"/>
      </bottom>
      <diagonal/>
    </border>
    <border>
      <left/>
      <right/>
      <top style="thin">
        <color rgb="FF00FFFF"/>
      </top>
      <bottom style="hair">
        <color auto="1"/>
      </bottom>
      <diagonal/>
    </border>
    <border>
      <left style="medium">
        <color auto="1"/>
      </left>
      <right/>
      <top style="thin">
        <color rgb="FF00FFFF"/>
      </top>
      <bottom style="thick">
        <color rgb="FF00800E"/>
      </bottom>
      <diagonal/>
    </border>
    <border>
      <left/>
      <right style="medium">
        <color auto="1"/>
      </right>
      <top style="thin">
        <color rgb="FF00FFFF"/>
      </top>
      <bottom style="thick">
        <color rgb="FF00800E"/>
      </bottom>
      <diagonal/>
    </border>
    <border>
      <left style="medium">
        <color auto="1"/>
      </left>
      <right/>
      <top style="thin">
        <color rgb="FF00FFFF"/>
      </top>
      <bottom style="hair">
        <color auto="1"/>
      </bottom>
      <diagonal/>
    </border>
    <border>
      <left/>
      <right style="medium">
        <color auto="1"/>
      </right>
      <top style="thin">
        <color rgb="FF00FFFF"/>
      </top>
      <bottom style="hair">
        <color auto="1"/>
      </bottom>
      <diagonal/>
    </border>
    <border>
      <left style="hair">
        <color auto="1"/>
      </left>
      <right/>
      <top style="thin">
        <color rgb="FF00FFFF"/>
      </top>
      <bottom/>
      <diagonal/>
    </border>
    <border>
      <left style="thin">
        <color auto="1"/>
      </left>
      <right/>
      <top style="thin">
        <color rgb="FF00FFFF"/>
      </top>
      <bottom/>
      <diagonal/>
    </border>
    <border>
      <left style="thin">
        <color auto="1"/>
      </left>
      <right/>
      <top style="thin">
        <color rgb="FF00FFFF"/>
      </top>
      <bottom style="thin">
        <color auto="1"/>
      </bottom>
      <diagonal/>
    </border>
    <border>
      <left/>
      <right/>
      <top style="thin">
        <color rgb="FF00FFFF"/>
      </top>
      <bottom style="thin">
        <color auto="1"/>
      </bottom>
      <diagonal/>
    </border>
    <border>
      <left/>
      <right/>
      <top style="thin">
        <color rgb="FFCCCDCB"/>
      </top>
      <bottom style="thin">
        <color rgb="FFCCCDCB"/>
      </bottom>
      <diagonal/>
    </border>
    <border>
      <left style="hair">
        <color auto="1"/>
      </left>
      <right style="hair">
        <color auto="1"/>
      </right>
      <top style="hair">
        <color auto="1"/>
      </top>
      <bottom style="hair">
        <color auto="1"/>
      </bottom>
      <diagonal/>
    </border>
    <border>
      <left style="thin">
        <color auto="1"/>
      </left>
      <right style="thin">
        <color auto="1"/>
      </right>
      <top/>
      <bottom style="thin">
        <color auto="1"/>
      </bottom>
      <diagonal/>
    </border>
    <border>
      <left style="medium">
        <color rgb="FFCCCDCB"/>
      </left>
      <right style="medium">
        <color rgb="FFCCCDCB"/>
      </right>
      <top style="medium">
        <color rgb="FFCCCDCB"/>
      </top>
      <bottom style="medium">
        <color rgb="FFCCCDCB"/>
      </bottom>
      <diagonal/>
    </border>
    <border>
      <left style="medium">
        <color rgb="FFCCCDCB"/>
      </left>
      <right style="thin">
        <color auto="1"/>
      </right>
      <top style="medium">
        <color rgb="FFCCCDCB"/>
      </top>
      <bottom style="medium">
        <color rgb="FFCCCDCB"/>
      </bottom>
      <diagonal/>
    </border>
    <border>
      <left style="medium">
        <color rgb="FFCCCDCB"/>
      </left>
      <right style="medium">
        <color rgb="FFCCCDCB"/>
      </right>
      <top style="medium">
        <color rgb="FFCCCDCB"/>
      </top>
      <bottom style="thin">
        <color auto="1"/>
      </bottom>
      <diagonal/>
    </border>
    <border>
      <left style="medium">
        <color rgb="FFCCCDCB"/>
      </left>
      <right style="thin">
        <color auto="1"/>
      </right>
      <top style="medium">
        <color rgb="FFCCCDCB"/>
      </top>
      <bottom style="thin">
        <color auto="1"/>
      </bottom>
      <diagonal/>
    </border>
    <border>
      <left/>
      <right/>
      <top/>
      <bottom style="hair">
        <color rgb="FF333300"/>
      </bottom>
      <diagonal/>
    </border>
    <border>
      <left/>
      <right style="thin">
        <color rgb="FF625D67"/>
      </right>
      <top/>
      <bottom/>
      <diagonal/>
    </border>
    <border>
      <left/>
      <right style="thin">
        <color auto="1"/>
      </right>
      <top style="thin">
        <color auto="1"/>
      </top>
      <bottom style="medium">
        <color rgb="FFCCCDCB"/>
      </bottom>
      <diagonal/>
    </border>
    <border>
      <left/>
      <right style="thin">
        <color auto="1"/>
      </right>
      <top/>
      <bottom style="medium">
        <color rgb="FFCCCDCB"/>
      </bottom>
      <diagonal/>
    </border>
    <border>
      <left/>
      <right style="thin">
        <color rgb="FF625D67"/>
      </right>
      <top style="thin">
        <color rgb="FF625D67"/>
      </top>
      <bottom/>
      <diagonal/>
    </border>
    <border>
      <left/>
      <right/>
      <top style="thin">
        <color rgb="FF625D67"/>
      </top>
      <bottom/>
      <diagonal/>
    </border>
    <border>
      <left/>
      <right/>
      <top style="thin">
        <color rgb="FFFFCC99"/>
      </top>
      <bottom style="thin">
        <color rgb="FFFFCC99"/>
      </bottom>
      <diagonal/>
    </border>
    <border>
      <left/>
      <right style="hair">
        <color auto="1"/>
      </right>
      <top style="hair">
        <color auto="1"/>
      </top>
      <bottom style="hair">
        <color auto="1"/>
      </bottom>
      <diagonal/>
    </border>
    <border>
      <left style="hair">
        <color auto="1"/>
      </left>
      <right style="hair">
        <color auto="1"/>
      </right>
      <top/>
      <bottom/>
      <diagonal/>
    </border>
    <border>
      <left/>
      <right/>
      <top/>
      <bottom style="double">
        <color auto="1"/>
      </bottom>
      <diagonal/>
    </border>
    <border>
      <left style="hair">
        <color rgb="FF610476"/>
      </left>
      <right style="hair">
        <color rgb="FF610476"/>
      </right>
      <top style="hair">
        <color rgb="FF610476"/>
      </top>
      <bottom style="hair">
        <color rgb="FF610476"/>
      </bottom>
      <diagonal/>
    </border>
    <border>
      <left style="thin">
        <color rgb="FFF79646"/>
      </left>
      <right/>
      <top style="thin">
        <color rgb="FFF79646"/>
      </top>
      <bottom/>
      <diagonal/>
    </border>
    <border>
      <left/>
      <right/>
      <top style="thin">
        <color rgb="FFF79646"/>
      </top>
      <bottom/>
      <diagonal/>
    </border>
    <border>
      <left/>
      <right style="thin">
        <color rgb="FFF79646"/>
      </right>
      <top style="thin">
        <color rgb="FFF79646"/>
      </top>
      <bottom/>
      <diagonal/>
    </border>
    <border>
      <left style="thin">
        <color rgb="FFF79646"/>
      </left>
      <right/>
      <top style="thin">
        <color rgb="FFF79646"/>
      </top>
      <bottom style="thin">
        <color rgb="FFF79646"/>
      </bottom>
      <diagonal/>
    </border>
    <border>
      <left/>
      <right/>
      <top style="thin">
        <color rgb="FFF79646"/>
      </top>
      <bottom style="thin">
        <color rgb="FFF79646"/>
      </bottom>
      <diagonal/>
    </border>
    <border>
      <left/>
      <right style="thin">
        <color rgb="FFF79646"/>
      </right>
      <top style="thin">
        <color rgb="FFF79646"/>
      </top>
      <bottom style="thin">
        <color rgb="FFF79646"/>
      </bottom>
      <diagonal/>
    </border>
    <border>
      <left style="hair">
        <color rgb="FF808080"/>
      </left>
      <right style="hair">
        <color rgb="FF808080"/>
      </right>
      <top style="hair">
        <color rgb="FF808080"/>
      </top>
      <bottom style="hair">
        <color rgb="FF808080"/>
      </bottom>
      <diagonal/>
    </border>
    <border>
      <left style="medium">
        <color auto="1"/>
      </left>
      <right style="medium">
        <color auto="1"/>
      </right>
      <top style="medium">
        <color auto="1"/>
      </top>
      <bottom style="thin">
        <color auto="1"/>
      </bottom>
      <diagonal/>
    </border>
    <border>
      <left style="hair">
        <color auto="1"/>
      </left>
      <right style="hair">
        <color auto="1"/>
      </right>
      <top/>
      <bottom style="hair">
        <color auto="1"/>
      </bottom>
      <diagonal/>
    </border>
    <border>
      <left style="hair">
        <color auto="1"/>
      </left>
      <right/>
      <top style="hair">
        <color auto="1"/>
      </top>
      <bottom style="hair">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medium">
        <color rgb="FFAAAAAA"/>
      </left>
      <right style="medium">
        <color rgb="FFAAAAAA"/>
      </right>
      <top style="medium">
        <color rgb="FFAAAAAA"/>
      </top>
      <bottom style="medium">
        <color rgb="FFAAAAAA"/>
      </bottom>
      <diagonal/>
    </border>
    <border>
      <left/>
      <right style="thin">
        <color rgb="FFFFFFFF"/>
      </right>
      <top/>
      <bottom style="thick">
        <color rgb="FFFFFFFF"/>
      </bottom>
      <diagonal/>
    </border>
    <border>
      <left/>
      <right/>
      <top/>
      <bottom style="thick">
        <color rgb="FFFFFFFF"/>
      </bottom>
      <diagonal/>
    </border>
    <border>
      <left/>
      <right style="thin">
        <color rgb="FFFFFFFF"/>
      </right>
      <top/>
      <bottom style="thin">
        <color rgb="FFFFFFFF"/>
      </bottom>
      <diagonal/>
    </border>
    <border>
      <left/>
      <right/>
      <top/>
      <bottom style="thin">
        <color rgb="FFFFFFFF"/>
      </bottom>
      <diagonal/>
    </border>
    <border>
      <left/>
      <right style="thin">
        <color rgb="FFFFFFFF"/>
      </right>
      <top/>
      <bottom/>
      <diagonal/>
    </border>
    <border>
      <left/>
      <right style="thin">
        <color auto="1"/>
      </right>
      <top style="thin">
        <color auto="1"/>
      </top>
      <bottom style="thin">
        <color auto="1"/>
      </bottom>
      <diagonal/>
    </border>
    <border>
      <left/>
      <right/>
      <top style="double">
        <color auto="1"/>
      </top>
      <bottom/>
      <diagonal/>
    </border>
    <border>
      <left/>
      <right/>
      <top/>
      <bottom style="thin">
        <color rgb="FFFFCC99"/>
      </bottom>
      <diagonal/>
    </border>
    <border>
      <left/>
      <right/>
      <top style="thin">
        <color rgb="FF625D67"/>
      </top>
      <bottom style="thin">
        <color rgb="FFFFCC99"/>
      </bottom>
      <diagonal/>
    </border>
    <border>
      <left style="medium">
        <color rgb="FF9BBB59"/>
      </left>
      <right/>
      <top style="medium">
        <color rgb="FF9BBB59"/>
      </top>
      <bottom/>
      <diagonal/>
    </border>
    <border>
      <left/>
      <right/>
      <top style="medium">
        <color rgb="FF9BBB59"/>
      </top>
      <bottom/>
      <diagonal/>
    </border>
    <border>
      <left/>
      <right style="medium">
        <color rgb="FF9BBB59"/>
      </right>
      <top style="medium">
        <color rgb="FF9BBB59"/>
      </top>
      <bottom/>
      <diagonal/>
    </border>
    <border>
      <left style="medium">
        <color rgb="FF9BBB59"/>
      </left>
      <right/>
      <top style="medium">
        <color auto="1"/>
      </top>
      <bottom/>
      <diagonal/>
    </border>
    <border>
      <left style="medium">
        <color rgb="FF9BBB59"/>
      </left>
      <right style="medium">
        <color auto="1"/>
      </right>
      <top style="medium">
        <color auto="1"/>
      </top>
      <bottom/>
      <diagonal/>
    </border>
    <border>
      <left style="medium">
        <color auto="1"/>
      </left>
      <right/>
      <top style="medium">
        <color rgb="FF9BBB59"/>
      </top>
      <bottom/>
      <diagonal/>
    </border>
    <border>
      <left style="medium">
        <color rgb="FF9BBB59"/>
      </left>
      <right style="medium">
        <color auto="1"/>
      </right>
      <top style="medium">
        <color rgb="FF9BBB59"/>
      </top>
      <bottom/>
      <diagonal/>
    </border>
    <border>
      <left style="medium">
        <color auto="1"/>
      </left>
      <right/>
      <top style="medium">
        <color rgb="FF9BBB59"/>
      </top>
      <bottom style="medium">
        <color auto="1"/>
      </bottom>
      <diagonal/>
    </border>
    <border>
      <left style="medium">
        <color rgb="FF9BBB59"/>
      </left>
      <right/>
      <top style="medium">
        <color rgb="FF9BBB59"/>
      </top>
      <bottom style="medium">
        <color auto="1"/>
      </bottom>
      <diagonal/>
    </border>
    <border>
      <left style="medium">
        <color rgb="FF9BBB59"/>
      </left>
      <right style="medium">
        <color auto="1"/>
      </right>
      <top style="medium">
        <color rgb="FF9BBB59"/>
      </top>
      <bottom style="medium">
        <color auto="1"/>
      </bottom>
      <diagonal/>
    </border>
    <border>
      <left style="medium">
        <color rgb="FF9BBB59"/>
      </left>
      <right/>
      <top style="double">
        <color rgb="FF9BBB59"/>
      </top>
      <bottom style="medium">
        <color rgb="FF9BBB59"/>
      </bottom>
      <diagonal/>
    </border>
    <border>
      <left/>
      <right/>
      <top/>
      <bottom style="medium">
        <color rgb="FF9BBB59"/>
      </bottom>
      <diagonal/>
    </border>
    <border>
      <left/>
      <right style="medium">
        <color rgb="FF9BBB59"/>
      </right>
      <top style="double">
        <color rgb="FF9BBB59"/>
      </top>
      <bottom style="medium">
        <color rgb="FF9BBB59"/>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diagonalUp="1" diagonalDown="1">
      <left style="thin">
        <color auto="1"/>
      </left>
      <right style="thin">
        <color auto="1"/>
      </right>
      <top style="thin">
        <color auto="1"/>
      </top>
      <bottom style="thin">
        <color auto="1"/>
      </bottom>
      <diagonal style="hair">
        <color auto="1"/>
      </diagonal>
    </border>
    <border diagonalUp="1" diagonalDown="1">
      <left style="thin">
        <color auto="1"/>
      </left>
      <right/>
      <top style="thin">
        <color auto="1"/>
      </top>
      <bottom style="thin">
        <color auto="1"/>
      </bottom>
      <diagonal style="hair">
        <color auto="1"/>
      </diagonal>
    </border>
    <border>
      <left style="medium">
        <color rgb="FFFF0000"/>
      </left>
      <right/>
      <top style="medium">
        <color rgb="FFFF0000"/>
      </top>
      <bottom/>
      <diagonal/>
    </border>
    <border>
      <left/>
      <right/>
      <top style="medium">
        <color rgb="FFFF0000"/>
      </top>
      <bottom/>
      <diagonal/>
    </border>
    <border>
      <left/>
      <right style="thin">
        <color rgb="FF840000"/>
      </right>
      <top style="medium">
        <color rgb="FFFF0000"/>
      </top>
      <bottom/>
      <diagonal/>
    </border>
    <border>
      <left style="hair">
        <color auto="1"/>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thin">
        <color rgb="FF840000"/>
      </right>
      <top/>
      <bottom/>
      <diagonal/>
    </border>
    <border>
      <left/>
      <right style="medium">
        <color rgb="FFFF0000"/>
      </right>
      <top/>
      <bottom/>
      <diagonal/>
    </border>
    <border>
      <left style="thin">
        <color rgb="FF840000"/>
      </left>
      <right style="thin">
        <color rgb="FF840000"/>
      </right>
      <top style="thin">
        <color rgb="FF840000"/>
      </top>
      <bottom style="thin">
        <color rgb="FF840000"/>
      </bottom>
      <diagonal/>
    </border>
    <border>
      <left style="medium">
        <color rgb="FFFF0000"/>
      </left>
      <right/>
      <top/>
      <bottom style="thin">
        <color rgb="FF840000"/>
      </bottom>
      <diagonal/>
    </border>
    <border>
      <left/>
      <right/>
      <top/>
      <bottom style="thin">
        <color rgb="FF840000"/>
      </bottom>
      <diagonal/>
    </border>
    <border>
      <left/>
      <right style="thin">
        <color rgb="FF840000"/>
      </right>
      <top/>
      <bottom style="thin">
        <color rgb="FF840000"/>
      </bottom>
      <diagonal/>
    </border>
    <border>
      <left/>
      <right style="medium">
        <color rgb="FFFF0000"/>
      </right>
      <top/>
      <bottom style="hair">
        <color auto="1"/>
      </bottom>
      <diagonal/>
    </border>
    <border>
      <left style="medium">
        <color rgb="FFFF0000"/>
      </left>
      <right/>
      <top style="hair">
        <color auto="1"/>
      </top>
      <bottom/>
      <diagonal/>
    </border>
    <border>
      <left/>
      <right style="medium">
        <color rgb="FFFF0000"/>
      </right>
      <top style="hair">
        <color auto="1"/>
      </top>
      <bottom/>
      <diagonal/>
    </border>
    <border>
      <left style="medium">
        <color rgb="FFFF0000"/>
      </left>
      <right/>
      <top/>
      <bottom style="medium">
        <color rgb="FFFF0000"/>
      </bottom>
      <diagonal/>
    </border>
    <border>
      <left/>
      <right/>
      <top/>
      <bottom style="medium">
        <color rgb="FFFF0000"/>
      </bottom>
      <diagonal/>
    </border>
    <border>
      <left/>
      <right style="hair">
        <color auto="1"/>
      </right>
      <top/>
      <bottom style="medium">
        <color rgb="FFFF0000"/>
      </bottom>
      <diagonal/>
    </border>
    <border>
      <left style="hair">
        <color auto="1"/>
      </left>
      <right/>
      <top/>
      <bottom style="medium">
        <color rgb="FFFF0000"/>
      </bottom>
      <diagonal/>
    </border>
    <border>
      <left/>
      <right style="medium">
        <color rgb="FFFF0000"/>
      </right>
      <top/>
      <bottom style="medium">
        <color rgb="FFFF0000"/>
      </bottom>
      <diagonal/>
    </border>
    <border>
      <left style="thick">
        <color rgb="FFFF0000"/>
      </left>
      <right style="thick">
        <color rgb="FFFF0000"/>
      </right>
      <top style="thick">
        <color rgb="FFFF0000"/>
      </top>
      <bottom style="thick">
        <color rgb="FFFF0000"/>
      </bottom>
      <diagonal/>
    </border>
    <border>
      <left style="thick">
        <color rgb="FFFF0000"/>
      </left>
      <right style="hair">
        <color auto="1"/>
      </right>
      <top/>
      <bottom/>
      <diagonal/>
    </border>
    <border>
      <left/>
      <right style="medium">
        <color auto="1"/>
      </right>
      <top style="medium">
        <color auto="1"/>
      </top>
      <bottom style="medium">
        <color auto="1"/>
      </bottom>
      <diagonal/>
    </border>
    <border>
      <left style="medium">
        <color auto="1"/>
      </left>
      <right style="thin">
        <color rgb="FFFFFFFF"/>
      </right>
      <top/>
      <bottom/>
      <diagonal/>
    </border>
    <border>
      <left style="medium">
        <color auto="1"/>
      </left>
      <right/>
      <top style="medium">
        <color auto="1"/>
      </top>
      <bottom style="medium">
        <color auto="1"/>
      </bottom>
      <diagonal/>
    </border>
    <border>
      <left/>
      <right/>
      <top style="medium">
        <color auto="1"/>
      </top>
      <bottom style="thin">
        <color rgb="FFFFFFFF"/>
      </bottom>
      <diagonal/>
    </border>
    <border>
      <left style="medium">
        <color auto="1"/>
      </left>
      <right style="thin">
        <color rgb="FFFFFFFF"/>
      </right>
      <top style="medium">
        <color auto="1"/>
      </top>
      <bottom style="thin">
        <color rgb="FFFFFFFF"/>
      </bottom>
      <diagonal/>
    </border>
    <border>
      <left/>
      <right style="thin">
        <color rgb="FFFFFFFF"/>
      </right>
      <top style="medium">
        <color auto="1"/>
      </top>
      <bottom style="thin">
        <color rgb="FFFFFFFF"/>
      </bottom>
      <diagonal/>
    </border>
    <border>
      <left/>
      <right style="medium">
        <color auto="1"/>
      </right>
      <top style="medium">
        <color auto="1"/>
      </top>
      <bottom style="thin">
        <color rgb="FFFFFFFF"/>
      </bottom>
      <diagonal/>
    </border>
    <border>
      <left style="medium">
        <color auto="1"/>
      </left>
      <right style="thin">
        <color rgb="FFFFFFFF"/>
      </right>
      <top/>
      <bottom style="thin">
        <color rgb="FFFFFFFF"/>
      </bottom>
      <diagonal/>
    </border>
    <border>
      <left/>
      <right style="medium">
        <color auto="1"/>
      </right>
      <top/>
      <bottom style="thin">
        <color rgb="FFFFFFFF"/>
      </bottom>
      <diagonal/>
    </border>
    <border>
      <left style="medium">
        <color auto="1"/>
      </left>
      <right style="thin">
        <color rgb="FFFFFFFF"/>
      </right>
      <top/>
      <bottom style="medium">
        <color auto="1"/>
      </bottom>
      <diagonal/>
    </border>
    <border>
      <left/>
      <right style="thin">
        <color rgb="FFFFFFFF"/>
      </right>
      <top/>
      <bottom style="medium">
        <color auto="1"/>
      </bottom>
      <diagonal/>
    </border>
    <border>
      <left style="thin">
        <color rgb="FFFFFFFF"/>
      </left>
      <right style="thin">
        <color rgb="FFFFFFFF"/>
      </right>
      <top style="medium">
        <color auto="1"/>
      </top>
      <bottom style="thin">
        <color rgb="FFFFFFFF"/>
      </bottom>
      <diagonal/>
    </border>
    <border>
      <left style="thin">
        <color rgb="FFFFFFFF"/>
      </left>
      <right style="thin">
        <color rgb="FFFFFFFF"/>
      </right>
      <top/>
      <bottom style="thin">
        <color rgb="FFFFFFFF"/>
      </bottom>
      <diagonal/>
    </border>
    <border>
      <left style="thin">
        <color rgb="FFFFFFFF"/>
      </left>
      <right style="thin">
        <color rgb="FFFFFFFF"/>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right/>
      <top style="thin">
        <color rgb="FF9BBB59"/>
      </top>
      <bottom/>
      <diagonal/>
    </border>
    <border>
      <left/>
      <right/>
      <top style="thin">
        <color rgb="FF9BBB59"/>
      </top>
      <bottom style="thin">
        <color rgb="FF9BBB59"/>
      </bottom>
      <diagonal/>
    </border>
    <border>
      <left style="medium">
        <color rgb="FFFF0000"/>
      </left>
      <right style="medium">
        <color rgb="FFFF0000"/>
      </right>
      <top style="medium">
        <color rgb="FFFF0000"/>
      </top>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rgb="FFFF0000"/>
      </left>
      <right style="medium">
        <color rgb="FFFF0000"/>
      </right>
      <top/>
      <bottom/>
      <diagonal/>
    </border>
    <border>
      <left style="medium">
        <color auto="1"/>
      </left>
      <right style="medium">
        <color auto="1"/>
      </right>
      <top style="medium">
        <color rgb="FFFF0000"/>
      </top>
      <bottom style="thick">
        <color auto="1"/>
      </bottom>
      <diagonal/>
    </border>
    <border>
      <left style="medium">
        <color auto="1"/>
      </left>
      <right style="thick">
        <color auto="1"/>
      </right>
      <top style="medium">
        <color rgb="FFFF0000"/>
      </top>
      <bottom style="thick">
        <color auto="1"/>
      </bottom>
      <diagonal/>
    </border>
    <border>
      <left style="medium">
        <color rgb="FFFF0000"/>
      </left>
      <right style="medium">
        <color rgb="FFFF0000"/>
      </right>
      <top/>
      <bottom style="medium">
        <color rgb="FFFF0000"/>
      </bottom>
      <diagonal/>
    </border>
    <border>
      <left/>
      <right/>
      <top style="medium">
        <color auto="1"/>
      </top>
      <bottom style="medium">
        <color auto="1"/>
      </bottom>
      <diagonal/>
    </border>
  </borders>
  <cellStyleXfs count="305">
    <xf numFmtId="0" fontId="0" fillId="0" borderId="0"/>
    <xf numFmtId="177" fontId="17" fillId="0" borderId="0" applyBorder="0" applyProtection="0"/>
    <xf numFmtId="0" fontId="121" fillId="0" borderId="0" applyBorder="0" applyProtection="0"/>
    <xf numFmtId="0" fontId="175" fillId="2" borderId="0" applyBorder="0" applyProtection="0"/>
    <xf numFmtId="0" fontId="175" fillId="2" borderId="0" applyBorder="0" applyProtection="0"/>
    <xf numFmtId="0" fontId="175" fillId="2" borderId="0" applyBorder="0" applyProtection="0"/>
    <xf numFmtId="0" fontId="175" fillId="2" borderId="0" applyBorder="0" applyProtection="0"/>
    <xf numFmtId="0" fontId="175" fillId="2" borderId="0" applyBorder="0" applyProtection="0"/>
    <xf numFmtId="0" fontId="175" fillId="2" borderId="0" applyBorder="0" applyProtection="0"/>
    <xf numFmtId="0" fontId="175" fillId="2" borderId="0" applyBorder="0" applyProtection="0"/>
    <xf numFmtId="0" fontId="175" fillId="3" borderId="0" applyBorder="0" applyProtection="0"/>
    <xf numFmtId="0" fontId="175" fillId="3" borderId="0" applyBorder="0" applyProtection="0"/>
    <xf numFmtId="0" fontId="175" fillId="3" borderId="0" applyBorder="0" applyProtection="0"/>
    <xf numFmtId="0" fontId="175" fillId="3" borderId="0" applyBorder="0" applyProtection="0"/>
    <xf numFmtId="0" fontId="175" fillId="3" borderId="0" applyBorder="0" applyProtection="0"/>
    <xf numFmtId="0" fontId="175" fillId="3" borderId="0" applyBorder="0" applyProtection="0"/>
    <xf numFmtId="0" fontId="175" fillId="3" borderId="0" applyBorder="0" applyProtection="0"/>
    <xf numFmtId="0" fontId="175" fillId="4" borderId="0" applyBorder="0" applyProtection="0"/>
    <xf numFmtId="0" fontId="175" fillId="4" borderId="0" applyBorder="0" applyProtection="0"/>
    <xf numFmtId="0" fontId="175" fillId="4" borderId="0" applyBorder="0" applyProtection="0"/>
    <xf numFmtId="0" fontId="175" fillId="4" borderId="0" applyBorder="0" applyProtection="0"/>
    <xf numFmtId="0" fontId="175" fillId="4" borderId="0" applyBorder="0" applyProtection="0"/>
    <xf numFmtId="0" fontId="175" fillId="4" borderId="0" applyBorder="0" applyProtection="0"/>
    <xf numFmtId="0" fontId="175" fillId="4"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6" borderId="0" applyBorder="0" applyProtection="0"/>
    <xf numFmtId="0" fontId="175" fillId="6" borderId="0" applyBorder="0" applyProtection="0"/>
    <xf numFmtId="0" fontId="175" fillId="6" borderId="0" applyBorder="0" applyProtection="0"/>
    <xf numFmtId="0" fontId="175" fillId="6" borderId="0" applyBorder="0" applyProtection="0"/>
    <xf numFmtId="0" fontId="175" fillId="6" borderId="0" applyBorder="0" applyProtection="0"/>
    <xf numFmtId="0" fontId="175" fillId="6" borderId="0" applyBorder="0" applyProtection="0"/>
    <xf numFmtId="0" fontId="175" fillId="6" borderId="0" applyBorder="0" applyProtection="0"/>
    <xf numFmtId="0" fontId="175" fillId="7" borderId="0" applyBorder="0" applyProtection="0"/>
    <xf numFmtId="0" fontId="175" fillId="7" borderId="0" applyBorder="0" applyProtection="0"/>
    <xf numFmtId="0" fontId="175" fillId="7" borderId="0" applyBorder="0" applyProtection="0"/>
    <xf numFmtId="0" fontId="175" fillId="7" borderId="0" applyBorder="0" applyProtection="0"/>
    <xf numFmtId="0" fontId="175" fillId="7" borderId="0" applyBorder="0" applyProtection="0"/>
    <xf numFmtId="0" fontId="175" fillId="7" borderId="0" applyBorder="0" applyProtection="0"/>
    <xf numFmtId="0" fontId="175" fillId="7"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9" borderId="0" applyBorder="0" applyProtection="0"/>
    <xf numFmtId="0" fontId="175" fillId="9" borderId="0" applyBorder="0" applyProtection="0"/>
    <xf numFmtId="0" fontId="175" fillId="9" borderId="0" applyBorder="0" applyProtection="0"/>
    <xf numFmtId="0" fontId="175" fillId="9" borderId="0" applyBorder="0" applyProtection="0"/>
    <xf numFmtId="0" fontId="175" fillId="9" borderId="0" applyBorder="0" applyProtection="0"/>
    <xf numFmtId="0" fontId="175" fillId="9" borderId="0" applyBorder="0" applyProtection="0"/>
    <xf numFmtId="0" fontId="175" fillId="9" borderId="0" applyBorder="0" applyProtection="0"/>
    <xf numFmtId="0" fontId="175" fillId="10" borderId="0" applyBorder="0" applyProtection="0"/>
    <xf numFmtId="0" fontId="175" fillId="10" borderId="0" applyBorder="0" applyProtection="0"/>
    <xf numFmtId="0" fontId="175" fillId="10" borderId="0" applyBorder="0" applyProtection="0"/>
    <xf numFmtId="0" fontId="175" fillId="10" borderId="0" applyBorder="0" applyProtection="0"/>
    <xf numFmtId="0" fontId="175" fillId="10" borderId="0" applyBorder="0" applyProtection="0"/>
    <xf numFmtId="0" fontId="175" fillId="10" borderId="0" applyBorder="0" applyProtection="0"/>
    <xf numFmtId="0" fontId="175" fillId="10"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5"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8" borderId="0" applyBorder="0" applyProtection="0"/>
    <xf numFmtId="0" fontId="175" fillId="11" borderId="0" applyBorder="0" applyProtection="0"/>
    <xf numFmtId="0" fontId="175" fillId="11" borderId="0" applyBorder="0" applyProtection="0"/>
    <xf numFmtId="0" fontId="175" fillId="11" borderId="0" applyBorder="0" applyProtection="0"/>
    <xf numFmtId="0" fontId="175" fillId="11" borderId="0" applyBorder="0" applyProtection="0"/>
    <xf numFmtId="0" fontId="175" fillId="11" borderId="0" applyBorder="0" applyProtection="0"/>
    <xf numFmtId="0" fontId="175" fillId="11" borderId="0" applyBorder="0" applyProtection="0"/>
    <xf numFmtId="0" fontId="175" fillId="11"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12"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9"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0"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5"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6"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7"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8"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3"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4"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1" fillId="19"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2" fillId="3" borderId="0" applyBorder="0" applyProtection="0"/>
    <xf numFmtId="0" fontId="3" fillId="20" borderId="1" applyProtection="0"/>
    <xf numFmtId="0" fontId="3" fillId="20" borderId="1" applyProtection="0"/>
    <xf numFmtId="0" fontId="3" fillId="20" borderId="1" applyProtection="0"/>
    <xf numFmtId="0" fontId="3" fillId="20" borderId="1" applyProtection="0"/>
    <xf numFmtId="0" fontId="3" fillId="20" borderId="1" applyProtection="0"/>
    <xf numFmtId="0" fontId="3" fillId="20" borderId="1" applyProtection="0"/>
    <xf numFmtId="0" fontId="3" fillId="20" borderId="1" applyProtection="0"/>
    <xf numFmtId="0" fontId="4" fillId="21" borderId="2" applyProtection="0"/>
    <xf numFmtId="0" fontId="4" fillId="21" borderId="2" applyProtection="0"/>
    <xf numFmtId="0" fontId="4" fillId="21" borderId="2" applyProtection="0"/>
    <xf numFmtId="0" fontId="4" fillId="21" borderId="2" applyProtection="0"/>
    <xf numFmtId="0" fontId="4" fillId="21" borderId="2" applyProtection="0"/>
    <xf numFmtId="0" fontId="4" fillId="21" borderId="2" applyProtection="0"/>
    <xf numFmtId="0" fontId="4" fillId="21" borderId="2" applyProtection="0"/>
    <xf numFmtId="0" fontId="5" fillId="0" borderId="0" applyBorder="0" applyProtection="0"/>
    <xf numFmtId="0" fontId="5" fillId="0" borderId="0" applyBorder="0" applyProtection="0"/>
    <xf numFmtId="0" fontId="5" fillId="0" borderId="0" applyBorder="0" applyProtection="0"/>
    <xf numFmtId="0" fontId="5" fillId="0" borderId="0" applyBorder="0" applyProtection="0"/>
    <xf numFmtId="0" fontId="5" fillId="0" borderId="0" applyBorder="0" applyProtection="0"/>
    <xf numFmtId="0" fontId="5" fillId="0" borderId="0" applyBorder="0" applyProtection="0"/>
    <xf numFmtId="0" fontId="5" fillId="0"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6" fillId="4" borderId="0" applyBorder="0" applyProtection="0"/>
    <xf numFmtId="0" fontId="7" fillId="0" borderId="3" applyProtection="0"/>
    <xf numFmtId="0" fontId="7" fillId="0" borderId="3" applyProtection="0"/>
    <xf numFmtId="0" fontId="7" fillId="0" borderId="3" applyProtection="0"/>
    <xf numFmtId="0" fontId="7" fillId="0" borderId="3" applyProtection="0"/>
    <xf numFmtId="0" fontId="7" fillId="0" borderId="3" applyProtection="0"/>
    <xf numFmtId="0" fontId="7" fillId="0" borderId="3" applyProtection="0"/>
    <xf numFmtId="0" fontId="7" fillId="0" borderId="3" applyProtection="0"/>
    <xf numFmtId="0" fontId="8" fillId="0" borderId="4" applyProtection="0"/>
    <xf numFmtId="0" fontId="8" fillId="0" borderId="4" applyProtection="0"/>
    <xf numFmtId="0" fontId="8" fillId="0" borderId="4" applyProtection="0"/>
    <xf numFmtId="0" fontId="8" fillId="0" borderId="4" applyProtection="0"/>
    <xf numFmtId="0" fontId="8" fillId="0" borderId="4" applyProtection="0"/>
    <xf numFmtId="0" fontId="8" fillId="0" borderId="4" applyProtection="0"/>
    <xf numFmtId="0" fontId="8" fillId="0" borderId="4" applyProtection="0"/>
    <xf numFmtId="0" fontId="9" fillId="0" borderId="5" applyProtection="0"/>
    <xf numFmtId="0" fontId="9" fillId="0" borderId="5" applyProtection="0"/>
    <xf numFmtId="0" fontId="9" fillId="0" borderId="5" applyProtection="0"/>
    <xf numFmtId="0" fontId="9" fillId="0" borderId="5" applyProtection="0"/>
    <xf numFmtId="0" fontId="9" fillId="0" borderId="5" applyProtection="0"/>
    <xf numFmtId="0" fontId="9" fillId="0" borderId="5" applyProtection="0"/>
    <xf numFmtId="0" fontId="9" fillId="0" borderId="5" applyProtection="0"/>
    <xf numFmtId="0" fontId="9" fillId="0" borderId="0" applyBorder="0" applyProtection="0"/>
    <xf numFmtId="0" fontId="9" fillId="0" borderId="0" applyBorder="0" applyProtection="0"/>
    <xf numFmtId="0" fontId="9" fillId="0" borderId="0" applyBorder="0" applyProtection="0"/>
    <xf numFmtId="0" fontId="9" fillId="0" borderId="0" applyBorder="0" applyProtection="0"/>
    <xf numFmtId="0" fontId="9" fillId="0" borderId="0" applyBorder="0" applyProtection="0"/>
    <xf numFmtId="0" fontId="9" fillId="0" borderId="0" applyBorder="0" applyProtection="0"/>
    <xf numFmtId="0" fontId="9" fillId="0" borderId="0" applyBorder="0" applyProtection="0"/>
    <xf numFmtId="0" fontId="10" fillId="7" borderId="1" applyProtection="0"/>
    <xf numFmtId="0" fontId="10" fillId="7" borderId="1" applyProtection="0"/>
    <xf numFmtId="0" fontId="10" fillId="7" borderId="1" applyProtection="0"/>
    <xf numFmtId="0" fontId="10" fillId="7" borderId="1" applyProtection="0"/>
    <xf numFmtId="0" fontId="10" fillId="7" borderId="1" applyProtection="0"/>
    <xf numFmtId="0" fontId="10" fillId="7" borderId="1" applyProtection="0"/>
    <xf numFmtId="0" fontId="10" fillId="7" borderId="1" applyProtection="0"/>
    <xf numFmtId="0" fontId="11" fillId="0" borderId="6" applyProtection="0"/>
    <xf numFmtId="0" fontId="11" fillId="0" borderId="6" applyProtection="0"/>
    <xf numFmtId="0" fontId="11" fillId="0" borderId="6" applyProtection="0"/>
    <xf numFmtId="0" fontId="11" fillId="0" borderId="6" applyProtection="0"/>
    <xf numFmtId="0" fontId="11" fillId="0" borderId="6" applyProtection="0"/>
    <xf numFmtId="0" fontId="11" fillId="0" borderId="6" applyProtection="0"/>
    <xf numFmtId="0" fontId="11" fillId="0" borderId="6" applyProtection="0"/>
    <xf numFmtId="0" fontId="12" fillId="22" borderId="0" applyBorder="0" applyProtection="0"/>
    <xf numFmtId="0" fontId="12" fillId="22" borderId="0" applyBorder="0" applyProtection="0"/>
    <xf numFmtId="0" fontId="12" fillId="22" borderId="0" applyBorder="0" applyProtection="0"/>
    <xf numFmtId="0" fontId="12" fillId="22" borderId="0" applyBorder="0" applyProtection="0"/>
    <xf numFmtId="0" fontId="12" fillId="22" borderId="0" applyBorder="0" applyProtection="0"/>
    <xf numFmtId="0" fontId="12" fillId="22" borderId="0" applyBorder="0" applyProtection="0"/>
    <xf numFmtId="0" fontId="12" fillId="22" borderId="0" applyBorder="0" applyProtection="0"/>
    <xf numFmtId="0" fontId="175" fillId="0" borderId="0"/>
    <xf numFmtId="0" fontId="175" fillId="0" borderId="0"/>
    <xf numFmtId="0" fontId="175" fillId="0" borderId="0"/>
    <xf numFmtId="0" fontId="175" fillId="0" borderId="0"/>
    <xf numFmtId="0" fontId="175" fillId="23" borderId="7" applyProtection="0"/>
    <xf numFmtId="0" fontId="175" fillId="23" borderId="7" applyProtection="0"/>
    <xf numFmtId="0" fontId="175" fillId="23" borderId="7" applyProtection="0"/>
    <xf numFmtId="0" fontId="175" fillId="23" borderId="7" applyProtection="0"/>
    <xf numFmtId="0" fontId="175" fillId="23" borderId="7" applyProtection="0"/>
    <xf numFmtId="0" fontId="175" fillId="23" borderId="7" applyProtection="0"/>
    <xf numFmtId="0" fontId="175" fillId="23" borderId="7" applyProtection="0"/>
    <xf numFmtId="0" fontId="13" fillId="20" borderId="8" applyProtection="0"/>
    <xf numFmtId="0" fontId="13" fillId="20" borderId="8" applyProtection="0"/>
    <xf numFmtId="0" fontId="13" fillId="20" borderId="8" applyProtection="0"/>
    <xf numFmtId="0" fontId="13" fillId="20" borderId="8" applyProtection="0"/>
    <xf numFmtId="0" fontId="13" fillId="20" borderId="8" applyProtection="0"/>
    <xf numFmtId="0" fontId="13" fillId="20" borderId="8" applyProtection="0"/>
    <xf numFmtId="0" fontId="13" fillId="20" borderId="8" applyProtection="0"/>
    <xf numFmtId="0" fontId="175" fillId="0" borderId="0" applyBorder="0" applyProtection="0">
      <alignment horizontal="left"/>
    </xf>
    <xf numFmtId="0" fontId="175" fillId="0" borderId="0" applyBorder="0" applyProtection="0"/>
    <xf numFmtId="0" fontId="175" fillId="0" borderId="0" applyBorder="0" applyProtection="0"/>
    <xf numFmtId="0" fontId="14" fillId="0" borderId="0" applyBorder="0" applyProtection="0"/>
    <xf numFmtId="0" fontId="14" fillId="0" borderId="0" applyBorder="0" applyProtection="0">
      <alignment horizontal="left"/>
    </xf>
    <xf numFmtId="0" fontId="175" fillId="0" borderId="0" applyBorder="0" applyProtection="0"/>
    <xf numFmtId="0" fontId="175" fillId="2" borderId="9" applyProtection="0"/>
    <xf numFmtId="0" fontId="175" fillId="2" borderId="0" applyBorder="0" applyProtection="0"/>
    <xf numFmtId="0" fontId="15" fillId="0" borderId="0" applyBorder="0" applyProtection="0"/>
    <xf numFmtId="0" fontId="15" fillId="0" borderId="0" applyBorder="0" applyProtection="0"/>
    <xf numFmtId="0" fontId="15" fillId="0" borderId="0" applyBorder="0" applyProtection="0"/>
    <xf numFmtId="0" fontId="15" fillId="0" borderId="0" applyBorder="0" applyProtection="0"/>
    <xf numFmtId="0" fontId="15" fillId="0" borderId="0" applyBorder="0" applyProtection="0"/>
    <xf numFmtId="0" fontId="15" fillId="0" borderId="0" applyBorder="0" applyProtection="0"/>
    <xf numFmtId="0" fontId="15" fillId="0" borderId="0" applyBorder="0" applyProtection="0"/>
    <xf numFmtId="0" fontId="14" fillId="0" borderId="10" applyProtection="0"/>
    <xf numFmtId="0" fontId="14" fillId="0" borderId="10" applyProtection="0"/>
    <xf numFmtId="0" fontId="14" fillId="0" borderId="10" applyProtection="0"/>
    <xf numFmtId="0" fontId="14" fillId="0" borderId="10" applyProtection="0"/>
    <xf numFmtId="0" fontId="14" fillId="0" borderId="10" applyProtection="0"/>
    <xf numFmtId="0" fontId="14" fillId="0" borderId="10" applyProtection="0"/>
    <xf numFmtId="0" fontId="14" fillId="0" borderId="10" applyProtection="0"/>
    <xf numFmtId="0" fontId="16" fillId="0" borderId="0" applyBorder="0" applyProtection="0"/>
    <xf numFmtId="0" fontId="16" fillId="0" borderId="0" applyBorder="0" applyProtection="0"/>
    <xf numFmtId="0" fontId="16" fillId="0" borderId="0" applyBorder="0" applyProtection="0"/>
    <xf numFmtId="0" fontId="16" fillId="0" borderId="0" applyBorder="0" applyProtection="0"/>
    <xf numFmtId="0" fontId="16" fillId="0" borderId="0" applyBorder="0" applyProtection="0"/>
    <xf numFmtId="0" fontId="16" fillId="0" borderId="0" applyBorder="0" applyProtection="0"/>
    <xf numFmtId="0" fontId="16" fillId="0" borderId="0" applyBorder="0" applyProtection="0"/>
    <xf numFmtId="0" fontId="12" fillId="22" borderId="0" applyBorder="0" applyProtection="0"/>
    <xf numFmtId="0" fontId="8" fillId="0" borderId="4" applyProtection="0"/>
    <xf numFmtId="0" fontId="175" fillId="0" borderId="0"/>
  </cellStyleXfs>
  <cellXfs count="1420">
    <xf numFmtId="0" fontId="0" fillId="0" borderId="0" xfId="0"/>
    <xf numFmtId="2" fontId="0" fillId="0" borderId="57" xfId="0" applyNumberFormat="1" applyBorder="1" applyAlignment="1">
      <alignment horizontal="center"/>
    </xf>
    <xf numFmtId="0" fontId="0" fillId="0" borderId="57" xfId="0" applyBorder="1" applyAlignment="1">
      <alignment horizontal="center"/>
    </xf>
    <xf numFmtId="0" fontId="0" fillId="0" borderId="46" xfId="0" applyBorder="1" applyAlignment="1">
      <alignment horizontal="center"/>
    </xf>
    <xf numFmtId="0" fontId="0" fillId="0" borderId="49" xfId="0" applyBorder="1" applyAlignment="1">
      <alignment horizontal="center"/>
    </xf>
    <xf numFmtId="0" fontId="26" fillId="0" borderId="21" xfId="0" applyFont="1" applyBorder="1" applyAlignment="1">
      <alignment horizontal="center" wrapText="1"/>
    </xf>
    <xf numFmtId="178" fontId="17" fillId="0" borderId="0" xfId="1" applyNumberFormat="1" applyBorder="1" applyProtection="1"/>
    <xf numFmtId="173" fontId="0" fillId="0" borderId="0" xfId="0" applyNumberFormat="1"/>
    <xf numFmtId="0" fontId="19" fillId="0" borderId="14" xfId="0" applyFont="1" applyBorder="1" applyAlignment="1">
      <alignment horizontal="center"/>
    </xf>
    <xf numFmtId="0" fontId="19" fillId="0" borderId="12" xfId="0" applyFont="1" applyBorder="1" applyAlignment="1">
      <alignment horizontal="center"/>
    </xf>
    <xf numFmtId="0" fontId="19" fillId="0" borderId="13" xfId="0" applyFont="1" applyBorder="1" applyAlignment="1">
      <alignment horizontal="center"/>
    </xf>
    <xf numFmtId="0" fontId="0" fillId="0" borderId="0" xfId="0"/>
    <xf numFmtId="171" fontId="21" fillId="0" borderId="0" xfId="0" applyNumberFormat="1" applyFont="1" applyAlignment="1">
      <alignment horizontal="center"/>
    </xf>
    <xf numFmtId="0" fontId="20" fillId="0" borderId="0" xfId="0" applyFont="1"/>
    <xf numFmtId="164" fontId="0" fillId="0" borderId="0" xfId="0" applyNumberFormat="1"/>
    <xf numFmtId="0" fontId="0" fillId="0" borderId="0" xfId="0" applyProtection="1">
      <protection locked="0"/>
    </xf>
    <xf numFmtId="164" fontId="0" fillId="0" borderId="0" xfId="0" applyNumberFormat="1" applyProtection="1">
      <protection locked="0"/>
    </xf>
    <xf numFmtId="49" fontId="0" fillId="0" borderId="0" xfId="0" applyNumberFormat="1" applyProtection="1">
      <protection locked="0"/>
    </xf>
    <xf numFmtId="165" fontId="0" fillId="0" borderId="0" xfId="0" applyNumberFormat="1"/>
    <xf numFmtId="0" fontId="17" fillId="0" borderId="0" xfId="0" applyFont="1"/>
    <xf numFmtId="164" fontId="0" fillId="0" borderId="0" xfId="0" applyNumberFormat="1"/>
    <xf numFmtId="0" fontId="16" fillId="0" borderId="0" xfId="0" applyFont="1"/>
    <xf numFmtId="166" fontId="16" fillId="0" borderId="0" xfId="0" applyNumberFormat="1" applyFont="1" applyAlignment="1">
      <alignment horizontal="center"/>
    </xf>
    <xf numFmtId="167" fontId="18" fillId="0" borderId="11" xfId="0" applyNumberFormat="1" applyFont="1" applyBorder="1" applyAlignment="1">
      <alignment horizontal="center"/>
    </xf>
    <xf numFmtId="166" fontId="0" fillId="0" borderId="11" xfId="0" applyNumberFormat="1" applyBorder="1" applyAlignment="1">
      <alignment horizontal="center"/>
    </xf>
    <xf numFmtId="168" fontId="0" fillId="0" borderId="0" xfId="0" applyNumberFormat="1"/>
    <xf numFmtId="169" fontId="19" fillId="0" borderId="0" xfId="0" applyNumberFormat="1" applyFont="1"/>
    <xf numFmtId="170" fontId="0" fillId="0" borderId="0" xfId="0" applyNumberFormat="1"/>
    <xf numFmtId="171" fontId="0" fillId="0" borderId="0" xfId="0" applyNumberFormat="1"/>
    <xf numFmtId="0" fontId="20" fillId="0" borderId="0" xfId="0" applyFont="1"/>
    <xf numFmtId="2" fontId="0" fillId="0" borderId="0" xfId="0" applyNumberFormat="1"/>
    <xf numFmtId="171" fontId="14" fillId="0" borderId="0" xfId="0" applyNumberFormat="1" applyFont="1"/>
    <xf numFmtId="0" fontId="14" fillId="0" borderId="0" xfId="0" applyFont="1"/>
    <xf numFmtId="0" fontId="14" fillId="24" borderId="12" xfId="0" applyFont="1" applyFill="1" applyBorder="1"/>
    <xf numFmtId="2" fontId="14" fillId="24" borderId="12" xfId="0" applyNumberFormat="1" applyFont="1" applyFill="1" applyBorder="1"/>
    <xf numFmtId="0" fontId="0" fillId="24" borderId="12" xfId="0" applyFill="1" applyBorder="1" applyAlignment="1">
      <alignment shrinkToFit="1"/>
    </xf>
    <xf numFmtId="0" fontId="0" fillId="24" borderId="12" xfId="0" applyFill="1" applyBorder="1"/>
    <xf numFmtId="2" fontId="0" fillId="0" borderId="12" xfId="0" applyNumberFormat="1" applyBorder="1"/>
    <xf numFmtId="0" fontId="0" fillId="0" borderId="12" xfId="0" applyBorder="1" applyAlignment="1">
      <alignment shrinkToFit="1"/>
    </xf>
    <xf numFmtId="0" fontId="20" fillId="0" borderId="12" xfId="0" applyFont="1" applyBorder="1"/>
    <xf numFmtId="0" fontId="23" fillId="0" borderId="0" xfId="0" applyFont="1"/>
    <xf numFmtId="0" fontId="24" fillId="0" borderId="0" xfId="0" applyFont="1"/>
    <xf numFmtId="0" fontId="20" fillId="24" borderId="12" xfId="0" applyFont="1" applyFill="1" applyBorder="1"/>
    <xf numFmtId="2" fontId="19" fillId="0" borderId="12" xfId="0" applyNumberFormat="1" applyFont="1" applyBorder="1"/>
    <xf numFmtId="0" fontId="19" fillId="0" borderId="12" xfId="0" applyFont="1" applyBorder="1" applyAlignment="1">
      <alignment shrinkToFit="1"/>
    </xf>
    <xf numFmtId="172" fontId="0" fillId="0" borderId="0" xfId="0" applyNumberFormat="1"/>
    <xf numFmtId="0" fontId="0" fillId="0" borderId="12" xfId="0" applyBorder="1"/>
    <xf numFmtId="1" fontId="0" fillId="0" borderId="12" xfId="0" applyNumberFormat="1" applyBorder="1"/>
    <xf numFmtId="0" fontId="19" fillId="0" borderId="12" xfId="0" applyFont="1" applyBorder="1"/>
    <xf numFmtId="1" fontId="19" fillId="0" borderId="12" xfId="0" applyNumberFormat="1" applyFont="1" applyBorder="1"/>
    <xf numFmtId="0" fontId="19" fillId="0" borderId="0" xfId="0" applyFont="1"/>
    <xf numFmtId="0" fontId="19" fillId="0" borderId="12" xfId="0" applyFont="1" applyBorder="1" applyAlignment="1">
      <alignment horizontal="center"/>
    </xf>
    <xf numFmtId="174" fontId="0" fillId="0" borderId="0" xfId="0" applyNumberFormat="1"/>
    <xf numFmtId="169" fontId="0" fillId="0" borderId="0" xfId="0" applyNumberFormat="1"/>
    <xf numFmtId="175" fontId="0" fillId="0" borderId="0" xfId="0" applyNumberFormat="1"/>
    <xf numFmtId="176" fontId="0" fillId="0" borderId="12" xfId="0" applyNumberFormat="1" applyBorder="1"/>
    <xf numFmtId="179" fontId="0" fillId="0" borderId="0" xfId="0" applyNumberFormat="1"/>
    <xf numFmtId="177" fontId="17" fillId="0" borderId="0" xfId="1" applyBorder="1" applyProtection="1"/>
    <xf numFmtId="0" fontId="0" fillId="0" borderId="0" xfId="0" applyAlignment="1">
      <alignment shrinkToFit="1"/>
    </xf>
    <xf numFmtId="1" fontId="0" fillId="0" borderId="0" xfId="0" applyNumberFormat="1"/>
    <xf numFmtId="0" fontId="19" fillId="7" borderId="12" xfId="0" applyFont="1" applyFill="1" applyBorder="1" applyAlignment="1">
      <alignment wrapText="1"/>
    </xf>
    <xf numFmtId="0" fontId="19" fillId="7" borderId="15" xfId="0" applyFont="1" applyFill="1" applyBorder="1" applyAlignment="1">
      <alignment wrapText="1"/>
    </xf>
    <xf numFmtId="0" fontId="19" fillId="0" borderId="0" xfId="0" applyFont="1" applyAlignment="1">
      <alignment wrapText="1"/>
    </xf>
    <xf numFmtId="0" fontId="0" fillId="0" borderId="12" xfId="0" applyBorder="1" applyAlignment="1">
      <alignment wrapText="1"/>
    </xf>
    <xf numFmtId="2" fontId="0" fillId="0" borderId="12" xfId="0" applyNumberFormat="1" applyBorder="1" applyAlignment="1">
      <alignment wrapText="1"/>
    </xf>
    <xf numFmtId="0" fontId="0" fillId="0" borderId="16" xfId="0" applyBorder="1"/>
    <xf numFmtId="1" fontId="0" fillId="0" borderId="16" xfId="0" applyNumberFormat="1" applyBorder="1" applyAlignment="1">
      <alignment wrapText="1"/>
    </xf>
    <xf numFmtId="1" fontId="0" fillId="0" borderId="12" xfId="0" applyNumberFormat="1" applyBorder="1" applyAlignment="1">
      <alignment wrapText="1"/>
    </xf>
    <xf numFmtId="0" fontId="0" fillId="0" borderId="0" xfId="0" applyAlignment="1">
      <alignment wrapText="1"/>
    </xf>
    <xf numFmtId="0" fontId="0" fillId="0" borderId="17" xfId="0" applyBorder="1"/>
    <xf numFmtId="1" fontId="0" fillId="0" borderId="17" xfId="0" applyNumberFormat="1" applyBorder="1" applyAlignment="1">
      <alignment wrapText="1"/>
    </xf>
    <xf numFmtId="0" fontId="25" fillId="0" borderId="0" xfId="0" applyFont="1" applyAlignment="1">
      <alignment horizontal="center" wrapText="1"/>
    </xf>
    <xf numFmtId="0" fontId="25" fillId="11" borderId="12" xfId="0" applyFont="1" applyFill="1" applyBorder="1" applyAlignment="1">
      <alignment horizontal="center" wrapText="1"/>
    </xf>
    <xf numFmtId="0" fontId="25" fillId="0" borderId="0" xfId="0" applyFont="1" applyAlignment="1">
      <alignment horizontal="left" wrapText="1"/>
    </xf>
    <xf numFmtId="0" fontId="0" fillId="25" borderId="18" xfId="0" applyFill="1" applyBorder="1" applyAlignment="1">
      <alignment horizontal="center" vertical="center" wrapText="1"/>
    </xf>
    <xf numFmtId="0" fontId="0" fillId="25" borderId="0" xfId="0" applyFill="1" applyAlignment="1">
      <alignment horizontal="center" vertical="center" wrapText="1"/>
    </xf>
    <xf numFmtId="0" fontId="0" fillId="25" borderId="19" xfId="0" applyFill="1" applyBorder="1" applyAlignment="1">
      <alignment horizontal="center" vertical="center" wrapText="1"/>
    </xf>
    <xf numFmtId="0" fontId="0" fillId="25" borderId="20" xfId="0" applyFill="1" applyBorder="1" applyAlignment="1">
      <alignment horizontal="center" vertical="center" wrapText="1"/>
    </xf>
    <xf numFmtId="0" fontId="25" fillId="11" borderId="21" xfId="0" applyFont="1" applyFill="1" applyBorder="1" applyAlignment="1">
      <alignment horizontal="center" wrapText="1"/>
    </xf>
    <xf numFmtId="0" fontId="0" fillId="25" borderId="14" xfId="0" applyFill="1" applyBorder="1" applyAlignment="1">
      <alignment horizontal="center" vertical="center" wrapText="1"/>
    </xf>
    <xf numFmtId="0" fontId="0" fillId="0" borderId="12" xfId="0" applyBorder="1" applyAlignment="1">
      <alignment horizontal="center" vertical="center" wrapText="1"/>
    </xf>
    <xf numFmtId="0" fontId="25" fillId="11" borderId="22" xfId="0" applyFont="1" applyFill="1" applyBorder="1" applyAlignment="1">
      <alignment horizontal="center" wrapText="1"/>
    </xf>
    <xf numFmtId="0" fontId="29" fillId="0" borderId="0" xfId="0" applyFont="1"/>
    <xf numFmtId="0" fontId="29" fillId="26" borderId="23" xfId="0" applyFont="1" applyFill="1" applyBorder="1" applyAlignment="1">
      <alignment vertical="top" wrapText="1"/>
    </xf>
    <xf numFmtId="0" fontId="30" fillId="26" borderId="24" xfId="0" applyFont="1" applyFill="1" applyBorder="1" applyAlignment="1">
      <alignment horizontal="center" vertical="top" wrapText="1"/>
    </xf>
    <xf numFmtId="0" fontId="30" fillId="26" borderId="25" xfId="0" applyFont="1" applyFill="1" applyBorder="1" applyAlignment="1">
      <alignment vertical="top"/>
    </xf>
    <xf numFmtId="0" fontId="30" fillId="26" borderId="26" xfId="0" applyFont="1" applyFill="1" applyBorder="1" applyAlignment="1">
      <alignment horizontal="center" vertical="top"/>
    </xf>
    <xf numFmtId="0" fontId="29" fillId="26" borderId="24" xfId="0" applyFont="1" applyFill="1" applyBorder="1" applyAlignment="1">
      <alignment vertical="top" wrapText="1"/>
    </xf>
    <xf numFmtId="0" fontId="30" fillId="26" borderId="27" xfId="0" applyFont="1" applyFill="1" applyBorder="1" applyAlignment="1">
      <alignment horizontal="left" vertical="center"/>
    </xf>
    <xf numFmtId="0" fontId="29" fillId="26" borderId="28" xfId="0" applyFont="1" applyFill="1" applyBorder="1" applyAlignment="1">
      <alignment vertical="top" wrapText="1"/>
    </xf>
    <xf numFmtId="0" fontId="30" fillId="26" borderId="29" xfId="0" applyFont="1" applyFill="1" applyBorder="1" applyAlignment="1">
      <alignment vertical="top"/>
    </xf>
    <xf numFmtId="0" fontId="29" fillId="26" borderId="0" xfId="0" applyFont="1" applyFill="1" applyAlignment="1">
      <alignment vertical="top" wrapText="1"/>
    </xf>
    <xf numFmtId="0" fontId="30" fillId="26" borderId="28" xfId="0" applyFont="1" applyFill="1" applyBorder="1" applyAlignment="1">
      <alignment horizontal="right" vertical="center"/>
    </xf>
    <xf numFmtId="0" fontId="30" fillId="26" borderId="30" xfId="0" applyFont="1" applyFill="1" applyBorder="1" applyAlignment="1">
      <alignment vertical="center" wrapText="1"/>
    </xf>
    <xf numFmtId="0" fontId="30" fillId="26" borderId="31" xfId="0" applyFont="1" applyFill="1" applyBorder="1" applyAlignment="1">
      <alignment vertical="center"/>
    </xf>
    <xf numFmtId="0" fontId="29" fillId="26" borderId="32" xfId="0" applyFont="1" applyFill="1" applyBorder="1" applyAlignment="1">
      <alignment horizontal="center" vertical="center"/>
    </xf>
    <xf numFmtId="0" fontId="30" fillId="26" borderId="33" xfId="0" applyFont="1" applyFill="1" applyBorder="1" applyAlignment="1">
      <alignment vertical="center" wrapText="1"/>
    </xf>
    <xf numFmtId="0" fontId="30" fillId="26" borderId="31" xfId="0" applyFont="1" applyFill="1" applyBorder="1" applyAlignment="1">
      <alignment vertical="center" wrapText="1"/>
    </xf>
    <xf numFmtId="0" fontId="30" fillId="26" borderId="25" xfId="0" applyFont="1" applyFill="1" applyBorder="1"/>
    <xf numFmtId="0" fontId="29" fillId="26" borderId="34" xfId="0" applyFont="1" applyFill="1" applyBorder="1" applyAlignment="1">
      <alignment vertical="top" wrapText="1"/>
    </xf>
    <xf numFmtId="0" fontId="30" fillId="26" borderId="35" xfId="0" applyFont="1" applyFill="1" applyBorder="1" applyAlignment="1">
      <alignment horizontal="center"/>
    </xf>
    <xf numFmtId="0" fontId="30" fillId="26" borderId="36" xfId="0" applyFont="1" applyFill="1" applyBorder="1"/>
    <xf numFmtId="0" fontId="30" fillId="26" borderId="37" xfId="0" applyFont="1" applyFill="1" applyBorder="1" applyAlignment="1">
      <alignment horizontal="center" wrapText="1"/>
    </xf>
    <xf numFmtId="0" fontId="29" fillId="26" borderId="35" xfId="0" applyFont="1" applyFill="1" applyBorder="1" applyAlignment="1">
      <alignment vertical="top" wrapText="1"/>
    </xf>
    <xf numFmtId="0" fontId="0" fillId="25" borderId="0" xfId="0" applyFill="1"/>
    <xf numFmtId="49" fontId="31" fillId="27" borderId="38" xfId="0" applyNumberFormat="1" applyFont="1" applyFill="1" applyBorder="1"/>
    <xf numFmtId="49" fontId="31" fillId="27" borderId="39" xfId="0" applyNumberFormat="1" applyFont="1" applyFill="1" applyBorder="1"/>
    <xf numFmtId="49" fontId="32" fillId="27" borderId="39" xfId="0" applyNumberFormat="1" applyFont="1" applyFill="1" applyBorder="1"/>
    <xf numFmtId="49" fontId="32" fillId="27" borderId="38" xfId="0" applyNumberFormat="1" applyFont="1" applyFill="1" applyBorder="1"/>
    <xf numFmtId="49" fontId="32" fillId="27" borderId="40" xfId="0" applyNumberFormat="1" applyFont="1" applyFill="1" applyBorder="1"/>
    <xf numFmtId="49" fontId="31" fillId="28" borderId="41" xfId="0" applyNumberFormat="1" applyFont="1" applyFill="1" applyBorder="1" applyAlignment="1">
      <alignment horizontal="left"/>
    </xf>
    <xf numFmtId="0" fontId="33" fillId="7" borderId="42" xfId="0" applyFont="1" applyFill="1" applyBorder="1" applyAlignment="1">
      <alignment horizontal="left"/>
    </xf>
    <xf numFmtId="0" fontId="34" fillId="7" borderId="42" xfId="0" applyFont="1" applyFill="1" applyBorder="1" applyAlignment="1">
      <alignment horizontal="left"/>
    </xf>
    <xf numFmtId="0" fontId="34" fillId="7" borderId="43" xfId="0" applyFont="1" applyFill="1" applyBorder="1" applyAlignment="1">
      <alignment horizontal="left"/>
    </xf>
    <xf numFmtId="0" fontId="35" fillId="7" borderId="42" xfId="0" applyFont="1" applyFill="1" applyBorder="1" applyAlignment="1">
      <alignment horizontal="left"/>
    </xf>
    <xf numFmtId="0" fontId="34" fillId="7" borderId="42" xfId="0" applyFont="1" applyFill="1" applyBorder="1" applyAlignment="1">
      <alignment horizontal="center"/>
    </xf>
    <xf numFmtId="0" fontId="36" fillId="7" borderId="43" xfId="0" applyFont="1" applyFill="1" applyBorder="1" applyAlignment="1">
      <alignment horizontal="left"/>
    </xf>
    <xf numFmtId="0" fontId="36" fillId="7" borderId="42" xfId="0" applyFont="1" applyFill="1" applyBorder="1" applyAlignment="1">
      <alignment horizontal="left"/>
    </xf>
    <xf numFmtId="0" fontId="35" fillId="7" borderId="44" xfId="0" applyFont="1" applyFill="1" applyBorder="1" applyAlignment="1">
      <alignment horizontal="left"/>
    </xf>
    <xf numFmtId="49" fontId="31" fillId="28" borderId="38" xfId="0" applyNumberFormat="1" applyFont="1" applyFill="1" applyBorder="1" applyAlignment="1">
      <alignment horizontal="left"/>
    </xf>
    <xf numFmtId="49" fontId="37" fillId="29" borderId="45" xfId="0" applyNumberFormat="1" applyFont="1" applyFill="1" applyBorder="1"/>
    <xf numFmtId="49" fontId="38" fillId="8" borderId="0" xfId="0" applyNumberFormat="1" applyFont="1" applyFill="1"/>
    <xf numFmtId="0" fontId="38" fillId="8" borderId="0" xfId="0" applyFont="1" applyFill="1"/>
    <xf numFmtId="0" fontId="39" fillId="8" borderId="0" xfId="0" applyFont="1" applyFill="1"/>
    <xf numFmtId="180" fontId="39" fillId="8" borderId="0" xfId="0" applyNumberFormat="1" applyFont="1" applyFill="1"/>
    <xf numFmtId="0" fontId="0" fillId="0" borderId="46" xfId="0" applyBorder="1"/>
    <xf numFmtId="0" fontId="0" fillId="0" borderId="47" xfId="0" applyBorder="1"/>
    <xf numFmtId="0" fontId="0" fillId="0" borderId="48" xfId="0" applyBorder="1"/>
    <xf numFmtId="0" fontId="0" fillId="0" borderId="49" xfId="0" applyBorder="1"/>
    <xf numFmtId="0" fontId="14" fillId="0" borderId="0" xfId="0" applyFont="1" applyAlignment="1">
      <alignment horizontal="center" vertical="center"/>
    </xf>
    <xf numFmtId="0" fontId="0" fillId="0" borderId="50" xfId="0" applyBorder="1"/>
    <xf numFmtId="0" fontId="0" fillId="25" borderId="51" xfId="0" applyFill="1" applyBorder="1"/>
    <xf numFmtId="0" fontId="0" fillId="0" borderId="52" xfId="0" applyBorder="1"/>
    <xf numFmtId="0" fontId="0" fillId="0" borderId="51" xfId="0" applyBorder="1"/>
    <xf numFmtId="0" fontId="14" fillId="30" borderId="0" xfId="0" applyFont="1" applyFill="1"/>
    <xf numFmtId="0" fontId="14" fillId="30" borderId="0" xfId="0" applyFont="1" applyFill="1" applyAlignment="1">
      <alignment horizontal="center" vertical="center"/>
    </xf>
    <xf numFmtId="0" fontId="0" fillId="30" borderId="50" xfId="0" applyFill="1" applyBorder="1"/>
    <xf numFmtId="0" fontId="0" fillId="30" borderId="51" xfId="0" applyFill="1" applyBorder="1"/>
    <xf numFmtId="0" fontId="0" fillId="30" borderId="0" xfId="0" applyFill="1"/>
    <xf numFmtId="0" fontId="0" fillId="30" borderId="52" xfId="0" applyFill="1"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49" xfId="0" applyBorder="1" applyAlignment="1">
      <alignment horizontal="center"/>
    </xf>
    <xf numFmtId="2" fontId="0" fillId="0" borderId="48" xfId="0" applyNumberFormat="1" applyBorder="1"/>
    <xf numFmtId="1" fontId="0" fillId="0" borderId="48" xfId="0" applyNumberFormat="1" applyBorder="1"/>
    <xf numFmtId="181" fontId="0" fillId="0" borderId="49" xfId="0" applyNumberFormat="1" applyBorder="1"/>
    <xf numFmtId="181" fontId="0" fillId="0" borderId="52" xfId="0" applyNumberFormat="1" applyBorder="1"/>
    <xf numFmtId="181" fontId="0" fillId="0" borderId="0" xfId="0" applyNumberFormat="1"/>
    <xf numFmtId="2" fontId="0" fillId="0" borderId="47" xfId="0" applyNumberFormat="1" applyBorder="1"/>
    <xf numFmtId="2" fontId="0" fillId="0" borderId="52" xfId="0" applyNumberFormat="1" applyBorder="1"/>
    <xf numFmtId="2" fontId="0" fillId="0" borderId="51" xfId="0" applyNumberFormat="1" applyBorder="1"/>
    <xf numFmtId="2" fontId="12" fillId="22" borderId="51" xfId="302" applyNumberFormat="1" applyBorder="1" applyProtection="1"/>
    <xf numFmtId="2" fontId="12" fillId="22" borderId="0" xfId="302" applyNumberFormat="1" applyBorder="1" applyProtection="1"/>
    <xf numFmtId="181" fontId="0" fillId="0" borderId="48" xfId="0" applyNumberFormat="1" applyBorder="1"/>
    <xf numFmtId="2" fontId="0" fillId="0" borderId="49" xfId="0" applyNumberFormat="1" applyBorder="1"/>
    <xf numFmtId="182" fontId="0" fillId="0" borderId="0" xfId="0" applyNumberFormat="1"/>
    <xf numFmtId="0" fontId="0" fillId="0" borderId="0" xfId="0" applyAlignment="1">
      <alignment textRotation="90"/>
    </xf>
    <xf numFmtId="0" fontId="0" fillId="0" borderId="53" xfId="0" applyBorder="1" applyAlignment="1">
      <alignment textRotation="90"/>
    </xf>
    <xf numFmtId="0" fontId="0" fillId="0" borderId="56" xfId="0" applyBorder="1" applyAlignment="1">
      <alignment textRotation="90"/>
    </xf>
    <xf numFmtId="2" fontId="0" fillId="0" borderId="46" xfId="0" applyNumberFormat="1" applyBorder="1"/>
    <xf numFmtId="2" fontId="0" fillId="0" borderId="50" xfId="0" applyNumberFormat="1" applyBorder="1"/>
    <xf numFmtId="2" fontId="0" fillId="0" borderId="58" xfId="0" applyNumberFormat="1" applyBorder="1"/>
    <xf numFmtId="2" fontId="0" fillId="0" borderId="19" xfId="0" applyNumberFormat="1" applyBorder="1"/>
    <xf numFmtId="2" fontId="0" fillId="0" borderId="53" xfId="0" applyNumberFormat="1" applyBorder="1"/>
    <xf numFmtId="2" fontId="0" fillId="0" borderId="55" xfId="0" applyNumberFormat="1" applyBorder="1"/>
    <xf numFmtId="2" fontId="0" fillId="0" borderId="59" xfId="0" applyNumberFormat="1" applyBorder="1"/>
    <xf numFmtId="2" fontId="0" fillId="0" borderId="56" xfId="0" applyNumberFormat="1" applyBorder="1"/>
    <xf numFmtId="2" fontId="0" fillId="0" borderId="54" xfId="0" applyNumberFormat="1" applyBorder="1"/>
    <xf numFmtId="0" fontId="0" fillId="0" borderId="0" xfId="0" applyAlignment="1">
      <alignment horizontal="center" vertical="center"/>
    </xf>
    <xf numFmtId="0" fontId="41" fillId="0" borderId="12" xfId="0" applyFont="1" applyBorder="1" applyAlignment="1" applyProtection="1">
      <alignment horizontal="left" vertical="top"/>
      <protection hidden="1"/>
    </xf>
    <xf numFmtId="0" fontId="42" fillId="0" borderId="60" xfId="0" applyFont="1" applyBorder="1"/>
    <xf numFmtId="0" fontId="42" fillId="0" borderId="61" xfId="0" applyFont="1" applyBorder="1"/>
    <xf numFmtId="2" fontId="42" fillId="0" borderId="62" xfId="0" applyNumberFormat="1" applyFont="1" applyBorder="1"/>
    <xf numFmtId="2" fontId="20" fillId="0" borderId="13" xfId="0" applyNumberFormat="1" applyFont="1" applyBorder="1" applyProtection="1">
      <protection locked="0"/>
    </xf>
    <xf numFmtId="0" fontId="0" fillId="0" borderId="11" xfId="0" applyBorder="1"/>
    <xf numFmtId="171" fontId="0" fillId="0" borderId="13" xfId="0" applyNumberFormat="1" applyBorder="1"/>
    <xf numFmtId="0" fontId="0" fillId="0" borderId="13" xfId="0" applyBorder="1"/>
    <xf numFmtId="183" fontId="0" fillId="0" borderId="0" xfId="0" applyNumberFormat="1"/>
    <xf numFmtId="0" fontId="19" fillId="0" borderId="13" xfId="0" applyFont="1" applyBorder="1"/>
    <xf numFmtId="0" fontId="19" fillId="0" borderId="0" xfId="0" applyFont="1" applyAlignment="1">
      <alignment horizontal="center"/>
    </xf>
    <xf numFmtId="0" fontId="21" fillId="0" borderId="13" xfId="0" applyFont="1" applyBorder="1"/>
    <xf numFmtId="185" fontId="43" fillId="0" borderId="0" xfId="0" applyNumberFormat="1" applyFont="1"/>
    <xf numFmtId="185" fontId="0" fillId="0" borderId="0" xfId="0" applyNumberFormat="1" applyAlignment="1">
      <alignment horizontal="center"/>
    </xf>
    <xf numFmtId="0" fontId="43" fillId="0" borderId="0" xfId="0" applyFont="1"/>
    <xf numFmtId="185" fontId="19" fillId="0" borderId="0" xfId="0" applyNumberFormat="1" applyFont="1" applyAlignment="1">
      <alignment horizontal="center"/>
    </xf>
    <xf numFmtId="186" fontId="19" fillId="0" borderId="0" xfId="0" applyNumberFormat="1" applyFont="1" applyAlignment="1">
      <alignment horizontal="center"/>
    </xf>
    <xf numFmtId="186" fontId="0" fillId="0" borderId="0" xfId="0" applyNumberFormat="1"/>
    <xf numFmtId="0" fontId="44" fillId="0" borderId="13" xfId="0" applyFont="1" applyBorder="1"/>
    <xf numFmtId="186" fontId="44" fillId="0" borderId="11" xfId="0" applyNumberFormat="1" applyFont="1" applyBorder="1"/>
    <xf numFmtId="0" fontId="44" fillId="0" borderId="11" xfId="0" applyFont="1" applyBorder="1"/>
    <xf numFmtId="0" fontId="45" fillId="0" borderId="13" xfId="0" applyFont="1" applyBorder="1" applyAlignment="1">
      <alignment horizontal="center"/>
    </xf>
    <xf numFmtId="185" fontId="44" fillId="0" borderId="11" xfId="0" applyNumberFormat="1" applyFont="1" applyBorder="1"/>
    <xf numFmtId="0" fontId="0" fillId="0" borderId="0" xfId="0" applyAlignment="1">
      <alignment horizontal="center"/>
    </xf>
    <xf numFmtId="186" fontId="44" fillId="0" borderId="13" xfId="0" applyNumberFormat="1" applyFont="1" applyBorder="1"/>
    <xf numFmtId="186" fontId="21" fillId="0" borderId="11" xfId="0" applyNumberFormat="1" applyFont="1" applyBorder="1"/>
    <xf numFmtId="0" fontId="43" fillId="0" borderId="13" xfId="0" applyFont="1" applyBorder="1" applyAlignment="1">
      <alignment horizontal="center"/>
    </xf>
    <xf numFmtId="185" fontId="21" fillId="0" borderId="11" xfId="0" applyNumberFormat="1" applyFont="1" applyBorder="1"/>
    <xf numFmtId="186" fontId="21" fillId="0" borderId="13" xfId="0" applyNumberFormat="1" applyFont="1" applyBorder="1"/>
    <xf numFmtId="187" fontId="44" fillId="0" borderId="11" xfId="0" applyNumberFormat="1" applyFont="1" applyBorder="1"/>
    <xf numFmtId="0" fontId="46" fillId="0" borderId="13" xfId="0" applyFont="1" applyBorder="1"/>
    <xf numFmtId="186" fontId="46" fillId="0" borderId="11" xfId="0" applyNumberFormat="1" applyFont="1" applyBorder="1"/>
    <xf numFmtId="0" fontId="47" fillId="0" borderId="13" xfId="0" applyFont="1" applyBorder="1" applyAlignment="1">
      <alignment horizontal="center"/>
    </xf>
    <xf numFmtId="185" fontId="46" fillId="0" borderId="11" xfId="0" applyNumberFormat="1" applyFont="1" applyBorder="1"/>
    <xf numFmtId="184" fontId="21" fillId="0" borderId="11" xfId="0" applyNumberFormat="1" applyFont="1" applyBorder="1" applyAlignment="1">
      <alignment horizontal="center"/>
    </xf>
    <xf numFmtId="184" fontId="43" fillId="0" borderId="11" xfId="0" applyNumberFormat="1" applyFont="1" applyBorder="1" applyAlignment="1">
      <alignment horizontal="center"/>
    </xf>
    <xf numFmtId="186" fontId="46" fillId="0" borderId="13" xfId="0" applyNumberFormat="1" applyFont="1" applyBorder="1"/>
    <xf numFmtId="0" fontId="21" fillId="0" borderId="63" xfId="0" applyFont="1" applyBorder="1"/>
    <xf numFmtId="186" fontId="21" fillId="0" borderId="64" xfId="0" applyNumberFormat="1" applyFont="1" applyBorder="1"/>
    <xf numFmtId="185" fontId="21" fillId="0" borderId="64" xfId="0" applyNumberFormat="1" applyFont="1" applyBorder="1"/>
    <xf numFmtId="186" fontId="21" fillId="0" borderId="63" xfId="0" applyNumberFormat="1" applyFont="1" applyBorder="1"/>
    <xf numFmtId="188" fontId="0" fillId="0" borderId="0" xfId="0" applyNumberFormat="1"/>
    <xf numFmtId="0" fontId="44" fillId="0" borderId="0" xfId="0" applyFont="1"/>
    <xf numFmtId="0" fontId="21" fillId="0" borderId="0" xfId="0" applyFont="1"/>
    <xf numFmtId="185" fontId="21" fillId="0" borderId="0" xfId="0" applyNumberFormat="1" applyFont="1"/>
    <xf numFmtId="185" fontId="0" fillId="0" borderId="0" xfId="0" applyNumberFormat="1"/>
    <xf numFmtId="2" fontId="21" fillId="25" borderId="0" xfId="0" applyNumberFormat="1" applyFont="1" applyFill="1"/>
    <xf numFmtId="189" fontId="0" fillId="0" borderId="0" xfId="0" applyNumberFormat="1" applyAlignment="1">
      <alignment horizontal="left"/>
    </xf>
    <xf numFmtId="0" fontId="0" fillId="0" borderId="47" xfId="0" applyBorder="1" applyAlignment="1">
      <alignment horizontal="center"/>
    </xf>
    <xf numFmtId="0" fontId="0" fillId="0" borderId="48" xfId="0" applyBorder="1" applyAlignment="1">
      <alignment horizontal="center"/>
    </xf>
    <xf numFmtId="164" fontId="0" fillId="0" borderId="49" xfId="0" applyNumberFormat="1" applyBorder="1"/>
    <xf numFmtId="1" fontId="21" fillId="0" borderId="0" xfId="0" applyNumberFormat="1" applyFont="1"/>
    <xf numFmtId="13" fontId="0" fillId="0" borderId="0" xfId="0" applyNumberFormat="1"/>
    <xf numFmtId="164" fontId="0" fillId="0" borderId="54" xfId="0" applyNumberFormat="1" applyBorder="1"/>
    <xf numFmtId="164" fontId="0" fillId="0" borderId="54" xfId="0" applyNumberFormat="1" applyBorder="1" applyAlignment="1">
      <alignment horizontal="center"/>
    </xf>
    <xf numFmtId="164" fontId="0" fillId="0" borderId="55" xfId="0" applyNumberFormat="1" applyBorder="1" applyAlignment="1">
      <alignment horizontal="center"/>
    </xf>
    <xf numFmtId="164" fontId="0" fillId="0" borderId="56" xfId="0" applyNumberFormat="1" applyBorder="1" applyAlignment="1">
      <alignment horizontal="center"/>
    </xf>
    <xf numFmtId="0" fontId="0" fillId="25" borderId="12" xfId="0" applyFill="1" applyBorder="1"/>
    <xf numFmtId="0" fontId="19" fillId="0" borderId="11" xfId="0" applyFont="1" applyBorder="1"/>
    <xf numFmtId="184" fontId="21" fillId="0" borderId="11" xfId="0" applyNumberFormat="1" applyFont="1" applyBorder="1"/>
    <xf numFmtId="185" fontId="44" fillId="0" borderId="0" xfId="0" applyNumberFormat="1" applyFont="1"/>
    <xf numFmtId="190" fontId="21" fillId="0" borderId="0" xfId="0" applyNumberFormat="1" applyFont="1"/>
    <xf numFmtId="0" fontId="49" fillId="0" borderId="0" xfId="0" applyFont="1"/>
    <xf numFmtId="184" fontId="50" fillId="0" borderId="11" xfId="0" applyNumberFormat="1" applyFont="1" applyBorder="1"/>
    <xf numFmtId="190" fontId="44" fillId="0" borderId="11" xfId="0" applyNumberFormat="1" applyFont="1" applyBorder="1"/>
    <xf numFmtId="184" fontId="21" fillId="0" borderId="0" xfId="0" applyNumberFormat="1" applyFont="1"/>
    <xf numFmtId="191" fontId="21" fillId="0" borderId="0" xfId="0" applyNumberFormat="1" applyFont="1"/>
    <xf numFmtId="184" fontId="50" fillId="0" borderId="0" xfId="0" applyNumberFormat="1" applyFont="1"/>
    <xf numFmtId="184" fontId="44" fillId="0" borderId="11" xfId="0" applyNumberFormat="1" applyFont="1" applyBorder="1"/>
    <xf numFmtId="184" fontId="43" fillId="0" borderId="0" xfId="0" applyNumberFormat="1" applyFont="1"/>
    <xf numFmtId="184" fontId="43" fillId="0" borderId="11" xfId="0" applyNumberFormat="1" applyFont="1" applyBorder="1"/>
    <xf numFmtId="0" fontId="43" fillId="0" borderId="13" xfId="0" applyFont="1" applyBorder="1"/>
    <xf numFmtId="184" fontId="0" fillId="0" borderId="0" xfId="0" applyNumberFormat="1"/>
    <xf numFmtId="0" fontId="49" fillId="0" borderId="13" xfId="0" applyFont="1" applyBorder="1"/>
    <xf numFmtId="185" fontId="49" fillId="0" borderId="0" xfId="0" applyNumberFormat="1" applyFont="1"/>
    <xf numFmtId="184" fontId="49" fillId="0" borderId="11" xfId="0" applyNumberFormat="1" applyFont="1" applyBorder="1"/>
    <xf numFmtId="0" fontId="0" fillId="0" borderId="0" xfId="0" applyAlignment="1">
      <alignment horizontal="right"/>
    </xf>
    <xf numFmtId="2" fontId="19" fillId="25" borderId="12" xfId="0" applyNumberFormat="1" applyFont="1" applyFill="1" applyBorder="1" applyAlignment="1" applyProtection="1">
      <alignment horizontal="left"/>
      <protection locked="0"/>
    </xf>
    <xf numFmtId="0" fontId="19" fillId="0" borderId="0" xfId="0" applyFont="1" applyProtection="1">
      <protection locked="0"/>
    </xf>
    <xf numFmtId="0" fontId="42" fillId="0" borderId="0" xfId="0" applyFont="1"/>
    <xf numFmtId="190" fontId="0" fillId="0" borderId="0" xfId="0" applyNumberFormat="1"/>
    <xf numFmtId="184" fontId="46" fillId="0" borderId="0" xfId="0" applyNumberFormat="1" applyFont="1"/>
    <xf numFmtId="184" fontId="46" fillId="0" borderId="11" xfId="0" applyNumberFormat="1" applyFont="1" applyBorder="1"/>
    <xf numFmtId="190" fontId="46" fillId="0" borderId="0" xfId="0" applyNumberFormat="1" applyFont="1"/>
    <xf numFmtId="0" fontId="46" fillId="0" borderId="0" xfId="0" applyFont="1"/>
    <xf numFmtId="0" fontId="21" fillId="0" borderId="65" xfId="0" applyFont="1" applyBorder="1"/>
    <xf numFmtId="184" fontId="21" fillId="0" borderId="64" xfId="0" applyNumberFormat="1" applyFont="1" applyBorder="1"/>
    <xf numFmtId="0" fontId="51" fillId="0" borderId="0" xfId="0" applyFont="1"/>
    <xf numFmtId="192" fontId="0" fillId="0" borderId="0" xfId="0" applyNumberFormat="1"/>
    <xf numFmtId="0" fontId="52" fillId="0" borderId="0" xfId="0" applyFont="1"/>
    <xf numFmtId="192" fontId="0" fillId="25" borderId="0" xfId="0" applyNumberFormat="1" applyFill="1" applyAlignment="1" applyProtection="1">
      <alignment shrinkToFit="1"/>
      <protection locked="0"/>
    </xf>
    <xf numFmtId="2" fontId="20" fillId="25" borderId="13" xfId="0" applyNumberFormat="1" applyFont="1" applyFill="1" applyBorder="1" applyProtection="1">
      <protection locked="0"/>
    </xf>
    <xf numFmtId="171" fontId="17" fillId="0" borderId="13" xfId="0" applyNumberFormat="1" applyFont="1" applyBorder="1"/>
    <xf numFmtId="0" fontId="17" fillId="0" borderId="13" xfId="0" applyFont="1" applyBorder="1"/>
    <xf numFmtId="0" fontId="53" fillId="0" borderId="0" xfId="0" applyFont="1"/>
    <xf numFmtId="0" fontId="51" fillId="0" borderId="0" xfId="0" applyFont="1" applyProtection="1">
      <protection locked="0"/>
    </xf>
    <xf numFmtId="2" fontId="0" fillId="0" borderId="0" xfId="0" applyNumberFormat="1" applyProtection="1">
      <protection locked="0"/>
    </xf>
    <xf numFmtId="0" fontId="54" fillId="7" borderId="0" xfId="0" applyFont="1" applyFill="1" applyProtection="1">
      <protection locked="0"/>
    </xf>
    <xf numFmtId="0" fontId="55" fillId="7" borderId="0" xfId="0" applyFont="1" applyFill="1" applyAlignment="1" applyProtection="1">
      <alignment horizontal="center"/>
      <protection locked="0"/>
    </xf>
    <xf numFmtId="0" fontId="54" fillId="7" borderId="0" xfId="0" applyFont="1" applyFill="1" applyAlignment="1" applyProtection="1">
      <alignment horizontal="center"/>
      <protection locked="0"/>
    </xf>
    <xf numFmtId="2" fontId="54" fillId="7" borderId="0" xfId="0" applyNumberFormat="1" applyFont="1" applyFill="1" applyAlignment="1" applyProtection="1">
      <alignment horizontal="center"/>
      <protection locked="0"/>
    </xf>
    <xf numFmtId="192" fontId="54" fillId="7" borderId="0" xfId="0" applyNumberFormat="1" applyFont="1" applyFill="1"/>
    <xf numFmtId="0" fontId="54" fillId="7" borderId="0" xfId="0" applyFont="1" applyFill="1"/>
    <xf numFmtId="0" fontId="56" fillId="31" borderId="0" xfId="0" applyFont="1" applyFill="1" applyAlignment="1" applyProtection="1">
      <alignment horizontal="left"/>
      <protection locked="0"/>
    </xf>
    <xf numFmtId="193" fontId="53" fillId="6" borderId="0" xfId="0" applyNumberFormat="1" applyFont="1" applyFill="1" applyAlignment="1" applyProtection="1">
      <alignment horizontal="right"/>
      <protection locked="0"/>
    </xf>
    <xf numFmtId="193" fontId="17" fillId="6" borderId="0" xfId="0" applyNumberFormat="1" applyFont="1" applyFill="1" applyAlignment="1" applyProtection="1">
      <alignment horizontal="right"/>
      <protection locked="0"/>
    </xf>
    <xf numFmtId="0" fontId="57" fillId="31" borderId="0" xfId="0" applyFont="1" applyFill="1" applyAlignment="1" applyProtection="1">
      <alignment horizontal="left"/>
      <protection locked="0"/>
    </xf>
    <xf numFmtId="0" fontId="53" fillId="6" borderId="0" xfId="0" applyFont="1" applyFill="1" applyAlignment="1" applyProtection="1">
      <alignment horizontal="right"/>
      <protection locked="0"/>
    </xf>
    <xf numFmtId="0" fontId="17" fillId="6" borderId="0" xfId="0" applyFont="1" applyFill="1" applyAlignment="1" applyProtection="1">
      <alignment horizontal="right"/>
      <protection locked="0"/>
    </xf>
    <xf numFmtId="2" fontId="53" fillId="6" borderId="0" xfId="0" applyNumberFormat="1" applyFont="1" applyFill="1" applyAlignment="1" applyProtection="1">
      <alignment horizontal="right"/>
      <protection locked="0"/>
    </xf>
    <xf numFmtId="2" fontId="17" fillId="6" borderId="0" xfId="0" applyNumberFormat="1" applyFont="1" applyFill="1" applyAlignment="1" applyProtection="1">
      <alignment horizontal="right"/>
      <protection locked="0"/>
    </xf>
    <xf numFmtId="192" fontId="0" fillId="0" borderId="0" xfId="0" applyNumberFormat="1" applyAlignment="1">
      <alignment wrapText="1"/>
    </xf>
    <xf numFmtId="0" fontId="175" fillId="0" borderId="0" xfId="258"/>
    <xf numFmtId="0" fontId="175" fillId="0" borderId="0" xfId="258" applyAlignment="1">
      <alignment horizontal="center"/>
    </xf>
    <xf numFmtId="0" fontId="175" fillId="0" borderId="0" xfId="258" applyAlignment="1">
      <alignment vertical="top"/>
    </xf>
    <xf numFmtId="0" fontId="175" fillId="32" borderId="0" xfId="258" applyFill="1"/>
    <xf numFmtId="0" fontId="175" fillId="33" borderId="0" xfId="258" applyFill="1" applyAlignment="1">
      <alignment horizontal="center"/>
    </xf>
    <xf numFmtId="0" fontId="175" fillId="0" borderId="66" xfId="275" applyBorder="1"/>
    <xf numFmtId="0" fontId="175" fillId="0" borderId="67" xfId="274" applyBorder="1"/>
    <xf numFmtId="0" fontId="175" fillId="0" borderId="68" xfId="273" applyBorder="1">
      <alignment horizontal="left"/>
    </xf>
    <xf numFmtId="0" fontId="175" fillId="0" borderId="69" xfId="278" applyBorder="1"/>
    <xf numFmtId="0" fontId="175" fillId="0" borderId="70" xfId="273" applyBorder="1">
      <alignment horizontal="left"/>
    </xf>
    <xf numFmtId="0" fontId="175" fillId="0" borderId="71" xfId="278" applyBorder="1"/>
    <xf numFmtId="0" fontId="175" fillId="0" borderId="72" xfId="278" applyBorder="1"/>
    <xf numFmtId="0" fontId="14" fillId="0" borderId="73" xfId="277" applyBorder="1">
      <alignment horizontal="left"/>
    </xf>
    <xf numFmtId="0" fontId="14" fillId="0" borderId="74" xfId="276" applyBorder="1"/>
    <xf numFmtId="0" fontId="58" fillId="13" borderId="47" xfId="0" applyFont="1" applyFill="1" applyBorder="1" applyAlignment="1">
      <alignment vertical="center"/>
    </xf>
    <xf numFmtId="0" fontId="58" fillId="13" borderId="48" xfId="0" applyFont="1" applyFill="1" applyBorder="1" applyAlignment="1">
      <alignment vertical="center"/>
    </xf>
    <xf numFmtId="0" fontId="58" fillId="13" borderId="49" xfId="0" applyFont="1" applyFill="1" applyBorder="1" applyAlignment="1">
      <alignment vertical="center"/>
    </xf>
    <xf numFmtId="0" fontId="17" fillId="0" borderId="47" xfId="0" applyFont="1" applyBorder="1" applyAlignment="1">
      <alignment horizontal="left" vertical="center"/>
    </xf>
    <xf numFmtId="0" fontId="17" fillId="0" borderId="48" xfId="0" applyFont="1" applyBorder="1" applyAlignment="1">
      <alignment horizontal="left" vertical="center"/>
    </xf>
    <xf numFmtId="0" fontId="17" fillId="23" borderId="48" xfId="0" applyFont="1" applyFill="1" applyBorder="1" applyAlignment="1">
      <alignment horizontal="left" vertical="center"/>
    </xf>
    <xf numFmtId="0" fontId="17" fillId="0" borderId="49" xfId="0" applyFont="1" applyBorder="1" applyAlignment="1">
      <alignment horizontal="left" vertical="center"/>
    </xf>
    <xf numFmtId="0" fontId="17" fillId="0" borderId="54" xfId="0" applyFont="1" applyBorder="1" applyAlignment="1">
      <alignment horizontal="right" vertical="center"/>
    </xf>
    <xf numFmtId="0" fontId="17" fillId="0" borderId="55" xfId="0" applyFont="1" applyBorder="1" applyAlignment="1">
      <alignment horizontal="left" vertical="center"/>
    </xf>
    <xf numFmtId="0" fontId="17" fillId="0" borderId="56" xfId="0" applyFont="1" applyBorder="1" applyAlignment="1">
      <alignment horizontal="left" vertical="center"/>
    </xf>
    <xf numFmtId="0" fontId="19" fillId="0" borderId="48" xfId="0" applyFont="1" applyBorder="1" applyAlignment="1">
      <alignment horizontal="left" vertical="center"/>
    </xf>
    <xf numFmtId="0" fontId="17" fillId="34" borderId="48" xfId="0" applyFont="1" applyFill="1" applyBorder="1" applyAlignment="1">
      <alignment horizontal="left" vertical="center"/>
    </xf>
    <xf numFmtId="0" fontId="17" fillId="0" borderId="54" xfId="0" applyFont="1" applyBorder="1" applyAlignment="1">
      <alignment horizontal="center" vertical="center"/>
    </xf>
    <xf numFmtId="0" fontId="19" fillId="0" borderId="55" xfId="0" applyFont="1" applyBorder="1" applyAlignment="1">
      <alignment horizontal="left" vertical="center"/>
    </xf>
    <xf numFmtId="0" fontId="59" fillId="0" borderId="48" xfId="0" applyFont="1" applyBorder="1" applyAlignment="1">
      <alignment horizontal="left" vertical="center"/>
    </xf>
    <xf numFmtId="0" fontId="20" fillId="0" borderId="48" xfId="0" applyFont="1" applyBorder="1" applyAlignment="1">
      <alignment horizontal="left" vertical="center"/>
    </xf>
    <xf numFmtId="0" fontId="17" fillId="0" borderId="51" xfId="0" applyFont="1" applyBorder="1" applyAlignment="1">
      <alignment horizontal="center" vertical="center"/>
    </xf>
    <xf numFmtId="0" fontId="17" fillId="0" borderId="0" xfId="0" applyFont="1" applyAlignment="1">
      <alignment horizontal="left" vertical="center"/>
    </xf>
    <xf numFmtId="0" fontId="17" fillId="0" borderId="56" xfId="0" applyFont="1" applyBorder="1" applyAlignment="1">
      <alignment horizontal="left" vertical="center" wrapText="1"/>
    </xf>
    <xf numFmtId="0" fontId="17" fillId="0" borderId="75" xfId="0" applyFont="1" applyBorder="1" applyAlignment="1">
      <alignment horizontal="left" vertical="center"/>
    </xf>
    <xf numFmtId="0" fontId="17" fillId="0" borderId="76" xfId="0" applyFont="1" applyBorder="1" applyAlignment="1">
      <alignment horizontal="left" vertical="center"/>
    </xf>
    <xf numFmtId="0" fontId="60" fillId="0" borderId="76" xfId="0" applyFont="1" applyBorder="1" applyAlignment="1">
      <alignment horizontal="left" vertical="center"/>
    </xf>
    <xf numFmtId="0" fontId="17" fillId="33" borderId="76" xfId="0" applyFont="1" applyFill="1" applyBorder="1" applyAlignment="1">
      <alignment horizontal="left" vertical="center"/>
    </xf>
    <xf numFmtId="0" fontId="17" fillId="0" borderId="77" xfId="0" applyFont="1" applyBorder="1" applyAlignment="1">
      <alignment horizontal="center" vertical="center"/>
    </xf>
    <xf numFmtId="0" fontId="17" fillId="0" borderId="78" xfId="0" applyFont="1" applyBorder="1" applyAlignment="1">
      <alignment horizontal="left" vertical="center"/>
    </xf>
    <xf numFmtId="0" fontId="17" fillId="33" borderId="48" xfId="0" applyFont="1" applyFill="1" applyBorder="1" applyAlignment="1">
      <alignment horizontal="left" vertical="center"/>
    </xf>
    <xf numFmtId="0" fontId="17" fillId="0" borderId="79" xfId="0" applyFont="1" applyBorder="1" applyAlignment="1">
      <alignment horizontal="center" vertical="center"/>
    </xf>
    <xf numFmtId="0" fontId="17" fillId="0" borderId="80" xfId="0" applyFont="1" applyBorder="1" applyAlignment="1">
      <alignment horizontal="left" vertical="center"/>
    </xf>
    <xf numFmtId="0" fontId="17" fillId="0" borderId="51" xfId="0" applyFont="1" applyBorder="1" applyAlignment="1">
      <alignment horizontal="left" vertical="center"/>
    </xf>
    <xf numFmtId="0" fontId="63" fillId="0" borderId="0" xfId="0" applyFont="1" applyAlignment="1">
      <alignment horizontal="left" vertical="center"/>
    </xf>
    <xf numFmtId="0" fontId="17" fillId="34" borderId="0" xfId="0" applyFont="1" applyFill="1" applyAlignment="1">
      <alignment horizontal="left" vertical="center"/>
    </xf>
    <xf numFmtId="0" fontId="64" fillId="0" borderId="48" xfId="0" applyFont="1" applyBorder="1" applyAlignment="1">
      <alignment horizontal="left" vertical="center"/>
    </xf>
    <xf numFmtId="0" fontId="63" fillId="0" borderId="48" xfId="0" applyFont="1" applyBorder="1" applyAlignment="1">
      <alignment horizontal="left" vertical="center"/>
    </xf>
    <xf numFmtId="0" fontId="17" fillId="0" borderId="81" xfId="0" applyFont="1" applyBorder="1" applyAlignment="1">
      <alignment horizontal="left" vertical="center"/>
    </xf>
    <xf numFmtId="0" fontId="19" fillId="0" borderId="0" xfId="0" applyFont="1" applyAlignment="1">
      <alignment horizontal="left" vertical="center"/>
    </xf>
    <xf numFmtId="0" fontId="17" fillId="0" borderId="52" xfId="0" applyFont="1" applyBorder="1" applyAlignment="1">
      <alignment horizontal="left" vertical="center"/>
    </xf>
    <xf numFmtId="0" fontId="17" fillId="0" borderId="50" xfId="0" applyFont="1" applyBorder="1" applyAlignment="1">
      <alignment horizontal="left" vertical="center"/>
    </xf>
    <xf numFmtId="0" fontId="0" fillId="0" borderId="0" xfId="0" applyAlignment="1">
      <alignment horizontal="left"/>
    </xf>
    <xf numFmtId="0" fontId="14" fillId="0" borderId="0" xfId="0" applyFont="1" applyAlignment="1">
      <alignment horizontal="center"/>
    </xf>
    <xf numFmtId="0" fontId="65" fillId="0" borderId="0" xfId="0" applyFont="1" applyAlignment="1">
      <alignment wrapText="1"/>
    </xf>
    <xf numFmtId="0" fontId="14" fillId="0" borderId="0" xfId="0" applyFont="1" applyAlignment="1">
      <alignment shrinkToFit="1"/>
    </xf>
    <xf numFmtId="0" fontId="14" fillId="0" borderId="0" xfId="0" applyFont="1" applyAlignment="1">
      <alignment wrapText="1"/>
    </xf>
    <xf numFmtId="0" fontId="14" fillId="0" borderId="9" xfId="0" applyFont="1" applyBorder="1"/>
    <xf numFmtId="0" fontId="14" fillId="0" borderId="83" xfId="0" applyFont="1" applyBorder="1"/>
    <xf numFmtId="0" fontId="66" fillId="0" borderId="9" xfId="0" applyFont="1" applyBorder="1"/>
    <xf numFmtId="0" fontId="66" fillId="0" borderId="83" xfId="0" applyFont="1" applyBorder="1"/>
    <xf numFmtId="0" fontId="0" fillId="22" borderId="9" xfId="0" applyFill="1" applyBorder="1"/>
    <xf numFmtId="1" fontId="0" fillId="22" borderId="83" xfId="0" applyNumberFormat="1" applyFill="1" applyBorder="1"/>
    <xf numFmtId="0" fontId="14" fillId="6" borderId="9" xfId="0" applyFont="1" applyFill="1" applyBorder="1"/>
    <xf numFmtId="1" fontId="0" fillId="6" borderId="83" xfId="0" applyNumberFormat="1" applyFill="1" applyBorder="1"/>
    <xf numFmtId="2" fontId="0" fillId="22" borderId="83" xfId="0" applyNumberFormat="1" applyFill="1" applyBorder="1"/>
    <xf numFmtId="0" fontId="0" fillId="0" borderId="9" xfId="0" applyBorder="1"/>
    <xf numFmtId="2" fontId="0" fillId="0" borderId="83" xfId="0" applyNumberFormat="1" applyBorder="1"/>
    <xf numFmtId="0" fontId="65" fillId="0" borderId="9" xfId="0" applyFont="1" applyBorder="1"/>
    <xf numFmtId="2" fontId="65" fillId="0" borderId="83" xfId="0" applyNumberFormat="1" applyFont="1" applyBorder="1"/>
    <xf numFmtId="0" fontId="0" fillId="2" borderId="9" xfId="0" applyFill="1" applyBorder="1"/>
    <xf numFmtId="2" fontId="0" fillId="2" borderId="83" xfId="0" applyNumberFormat="1" applyFill="1" applyBorder="1"/>
    <xf numFmtId="0" fontId="0" fillId="7" borderId="84" xfId="0" applyFill="1" applyBorder="1"/>
    <xf numFmtId="1" fontId="0" fillId="7" borderId="85" xfId="0" applyNumberFormat="1" applyFill="1" applyBorder="1"/>
    <xf numFmtId="2" fontId="0" fillId="7" borderId="85" xfId="0" applyNumberFormat="1" applyFill="1" applyBorder="1"/>
    <xf numFmtId="2" fontId="0" fillId="6" borderId="83" xfId="0" applyNumberFormat="1" applyFill="1" applyBorder="1"/>
    <xf numFmtId="0" fontId="0" fillId="7" borderId="9" xfId="0" applyFill="1" applyBorder="1"/>
    <xf numFmtId="1" fontId="0" fillId="7" borderId="83" xfId="0" applyNumberFormat="1" applyFill="1" applyBorder="1"/>
    <xf numFmtId="1" fontId="0" fillId="2" borderId="83" xfId="0" applyNumberFormat="1" applyFill="1" applyBorder="1"/>
    <xf numFmtId="2" fontId="0" fillId="7" borderId="9" xfId="0" applyNumberFormat="1" applyFill="1" applyBorder="1"/>
    <xf numFmtId="2" fontId="0" fillId="7" borderId="83" xfId="0" applyNumberFormat="1" applyFill="1" applyBorder="1"/>
    <xf numFmtId="0" fontId="0" fillId="7" borderId="86" xfId="0" applyFill="1" applyBorder="1"/>
    <xf numFmtId="1" fontId="0" fillId="7" borderId="87" xfId="0" applyNumberFormat="1" applyFill="1" applyBorder="1"/>
    <xf numFmtId="2" fontId="0" fillId="7" borderId="87" xfId="0" applyNumberFormat="1" applyFill="1" applyBorder="1"/>
    <xf numFmtId="0" fontId="14" fillId="22" borderId="84" xfId="0" applyFont="1" applyFill="1" applyBorder="1"/>
    <xf numFmtId="1" fontId="0" fillId="22" borderId="85" xfId="0" applyNumberFormat="1" applyFill="1" applyBorder="1"/>
    <xf numFmtId="2" fontId="0" fillId="22" borderId="85" xfId="0" applyNumberFormat="1" applyFill="1" applyBorder="1"/>
    <xf numFmtId="0" fontId="0" fillId="22" borderId="84" xfId="0" applyFill="1" applyBorder="1"/>
    <xf numFmtId="0" fontId="14" fillId="22" borderId="9" xfId="0" applyFont="1" applyFill="1" applyBorder="1"/>
    <xf numFmtId="0" fontId="0" fillId="6" borderId="9" xfId="0" applyFill="1" applyBorder="1"/>
    <xf numFmtId="0" fontId="14" fillId="22" borderId="86" xfId="0" applyFont="1" applyFill="1" applyBorder="1"/>
    <xf numFmtId="1" fontId="0" fillId="22" borderId="87" xfId="0" applyNumberFormat="1" applyFill="1" applyBorder="1"/>
    <xf numFmtId="0" fontId="0" fillId="22" borderId="86" xfId="0" applyFill="1" applyBorder="1"/>
    <xf numFmtId="2" fontId="0" fillId="22" borderId="87" xfId="0" applyNumberFormat="1" applyFill="1" applyBorder="1"/>
    <xf numFmtId="0" fontId="14" fillId="7" borderId="84" xfId="0" applyFont="1" applyFill="1" applyBorder="1"/>
    <xf numFmtId="0" fontId="14" fillId="7" borderId="9" xfId="0" applyFont="1" applyFill="1" applyBorder="1"/>
    <xf numFmtId="0" fontId="14" fillId="7" borderId="86" xfId="0" applyFont="1" applyFill="1" applyBorder="1"/>
    <xf numFmtId="2" fontId="0" fillId="22" borderId="9" xfId="0" applyNumberFormat="1" applyFill="1" applyBorder="1"/>
    <xf numFmtId="0" fontId="0" fillId="0" borderId="84" xfId="0" applyBorder="1"/>
    <xf numFmtId="0" fontId="0" fillId="0" borderId="88" xfId="0" applyBorder="1"/>
    <xf numFmtId="2" fontId="0" fillId="0" borderId="88" xfId="0" applyNumberFormat="1" applyBorder="1"/>
    <xf numFmtId="1" fontId="0" fillId="6" borderId="9" xfId="0" applyNumberFormat="1" applyFill="1" applyBorder="1"/>
    <xf numFmtId="2" fontId="0" fillId="0" borderId="85" xfId="0" applyNumberFormat="1" applyBorder="1"/>
    <xf numFmtId="0" fontId="0" fillId="6" borderId="84" xfId="0" applyFill="1" applyBorder="1"/>
    <xf numFmtId="1" fontId="0" fillId="6" borderId="85" xfId="0" applyNumberFormat="1" applyFill="1" applyBorder="1"/>
    <xf numFmtId="0" fontId="65" fillId="0" borderId="84" xfId="0" applyFont="1" applyBorder="1"/>
    <xf numFmtId="2" fontId="65" fillId="0" borderId="85" xfId="0" applyNumberFormat="1" applyFont="1" applyBorder="1"/>
    <xf numFmtId="0" fontId="66" fillId="0" borderId="84" xfId="0" applyFont="1" applyBorder="1"/>
    <xf numFmtId="2" fontId="14" fillId="22" borderId="87" xfId="0" applyNumberFormat="1" applyFont="1" applyFill="1" applyBorder="1"/>
    <xf numFmtId="0" fontId="175" fillId="2" borderId="9" xfId="279" applyProtection="1"/>
    <xf numFmtId="0" fontId="0" fillId="0" borderId="86" xfId="0" applyBorder="1"/>
    <xf numFmtId="0" fontId="0" fillId="0" borderId="87" xfId="0" applyBorder="1"/>
    <xf numFmtId="2" fontId="0" fillId="0" borderId="87" xfId="0" applyNumberFormat="1" applyBorder="1"/>
    <xf numFmtId="2" fontId="0" fillId="0" borderId="86" xfId="0" applyNumberFormat="1" applyBorder="1"/>
    <xf numFmtId="0" fontId="65" fillId="0" borderId="86" xfId="0" applyFont="1" applyBorder="1"/>
    <xf numFmtId="2" fontId="65" fillId="0" borderId="87" xfId="0" applyNumberFormat="1" applyFont="1" applyBorder="1"/>
    <xf numFmtId="0" fontId="0" fillId="0" borderId="84" xfId="0" applyBorder="1" applyAlignment="1">
      <alignment shrinkToFit="1"/>
    </xf>
    <xf numFmtId="0" fontId="0" fillId="0" borderId="88" xfId="0" applyBorder="1" applyAlignment="1">
      <alignment shrinkToFit="1"/>
    </xf>
    <xf numFmtId="168" fontId="14" fillId="25" borderId="0" xfId="0" applyNumberFormat="1" applyFont="1" applyFill="1" applyAlignment="1">
      <alignment shrinkToFit="1"/>
    </xf>
    <xf numFmtId="0" fontId="0" fillId="0" borderId="85" xfId="0" applyBorder="1" applyAlignment="1">
      <alignment shrinkToFit="1"/>
    </xf>
    <xf numFmtId="0" fontId="0" fillId="0" borderId="9" xfId="0" applyBorder="1" applyAlignment="1">
      <alignment shrinkToFit="1"/>
    </xf>
    <xf numFmtId="0" fontId="14" fillId="25" borderId="0" xfId="0" applyFont="1" applyFill="1" applyAlignment="1">
      <alignment shrinkToFit="1"/>
    </xf>
    <xf numFmtId="0" fontId="0" fillId="0" borderId="83" xfId="0" applyBorder="1" applyAlignment="1">
      <alignment shrinkToFit="1"/>
    </xf>
    <xf numFmtId="187" fontId="0" fillId="0" borderId="0" xfId="0" applyNumberFormat="1" applyAlignment="1">
      <alignment shrinkToFit="1"/>
    </xf>
    <xf numFmtId="168" fontId="0" fillId="0" borderId="0" xfId="0" applyNumberFormat="1" applyAlignment="1">
      <alignment shrinkToFit="1"/>
    </xf>
    <xf numFmtId="168" fontId="0" fillId="0" borderId="83" xfId="0" applyNumberFormat="1" applyBorder="1" applyAlignment="1">
      <alignment shrinkToFit="1"/>
    </xf>
    <xf numFmtId="2" fontId="0" fillId="0" borderId="0" xfId="0" applyNumberFormat="1" applyAlignment="1">
      <alignment shrinkToFit="1"/>
    </xf>
    <xf numFmtId="0" fontId="0" fillId="25" borderId="83" xfId="0" applyFill="1" applyBorder="1" applyAlignment="1">
      <alignment shrinkToFit="1"/>
    </xf>
    <xf numFmtId="164" fontId="14" fillId="0" borderId="0" xfId="0" applyNumberFormat="1" applyFont="1" applyAlignment="1">
      <alignment wrapText="1" shrinkToFit="1"/>
    </xf>
    <xf numFmtId="164" fontId="14" fillId="0" borderId="83" xfId="0" applyNumberFormat="1" applyFont="1" applyBorder="1" applyAlignment="1">
      <alignment shrinkToFit="1"/>
    </xf>
    <xf numFmtId="0" fontId="0" fillId="25" borderId="0" xfId="0" applyFill="1" applyAlignment="1">
      <alignment shrinkToFit="1"/>
    </xf>
    <xf numFmtId="0" fontId="0" fillId="0" borderId="9" xfId="0" applyBorder="1" applyAlignment="1">
      <alignment horizontal="right" shrinkToFit="1"/>
    </xf>
    <xf numFmtId="0" fontId="14" fillId="0" borderId="0" xfId="0" applyFont="1" applyAlignment="1">
      <alignment horizontal="center" shrinkToFit="1"/>
    </xf>
    <xf numFmtId="0" fontId="14" fillId="0" borderId="83" xfId="0" applyFont="1" applyBorder="1" applyAlignment="1">
      <alignment horizontal="center" shrinkToFit="1"/>
    </xf>
    <xf numFmtId="0" fontId="0" fillId="0" borderId="0" xfId="0" applyAlignment="1">
      <alignment horizontal="center" shrinkToFit="1"/>
    </xf>
    <xf numFmtId="2" fontId="0" fillId="0" borderId="0" xfId="0" applyNumberFormat="1" applyAlignment="1">
      <alignment horizontal="center" shrinkToFit="1"/>
    </xf>
    <xf numFmtId="168" fontId="14" fillId="25" borderId="0" xfId="0" applyNumberFormat="1" applyFont="1" applyFill="1" applyAlignment="1">
      <alignment horizontal="center" shrinkToFit="1"/>
    </xf>
    <xf numFmtId="168" fontId="0" fillId="0" borderId="83" xfId="0" applyNumberFormat="1" applyBorder="1" applyAlignment="1">
      <alignment horizontal="center" shrinkToFit="1"/>
    </xf>
    <xf numFmtId="168" fontId="0" fillId="0" borderId="0" xfId="0" applyNumberFormat="1" applyAlignment="1">
      <alignment horizontal="center" shrinkToFit="1"/>
    </xf>
    <xf numFmtId="168" fontId="14" fillId="0" borderId="0" xfId="0" applyNumberFormat="1" applyFont="1" applyAlignment="1">
      <alignment horizontal="center" shrinkToFit="1"/>
    </xf>
    <xf numFmtId="168" fontId="14" fillId="0" borderId="83" xfId="0" applyNumberFormat="1" applyFont="1" applyBorder="1" applyAlignment="1">
      <alignment horizontal="center" shrinkToFit="1"/>
    </xf>
    <xf numFmtId="2" fontId="0" fillId="0" borderId="12" xfId="0" applyNumberFormat="1" applyBorder="1" applyAlignment="1">
      <alignment horizontal="center" shrinkToFit="1"/>
    </xf>
    <xf numFmtId="0" fontId="0" fillId="0" borderId="12" xfId="0" applyBorder="1" applyAlignment="1">
      <alignment horizontal="center" shrinkToFit="1"/>
    </xf>
    <xf numFmtId="168" fontId="0" fillId="0" borderId="12" xfId="0" applyNumberFormat="1" applyBorder="1" applyAlignment="1">
      <alignment horizontal="center" shrinkToFit="1"/>
    </xf>
    <xf numFmtId="0" fontId="0" fillId="0" borderId="86" xfId="0" applyBorder="1" applyAlignment="1">
      <alignment horizontal="right" shrinkToFit="1"/>
    </xf>
    <xf numFmtId="0" fontId="0" fillId="0" borderId="89" xfId="0" applyBorder="1" applyAlignment="1">
      <alignment horizontal="center" shrinkToFit="1"/>
    </xf>
    <xf numFmtId="168" fontId="0" fillId="0" borderId="89" xfId="0" applyNumberFormat="1" applyBorder="1" applyAlignment="1">
      <alignment horizontal="center" shrinkToFit="1"/>
    </xf>
    <xf numFmtId="168" fontId="0" fillId="0" borderId="87" xfId="0" applyNumberFormat="1" applyBorder="1" applyAlignment="1">
      <alignment horizontal="center" shrinkToFit="1"/>
    </xf>
    <xf numFmtId="0" fontId="0" fillId="0" borderId="89" xfId="0" applyBorder="1" applyAlignment="1">
      <alignment shrinkToFit="1"/>
    </xf>
    <xf numFmtId="2" fontId="0" fillId="0" borderId="89" xfId="0" applyNumberFormat="1" applyBorder="1" applyAlignment="1">
      <alignment shrinkToFit="1"/>
    </xf>
    <xf numFmtId="168" fontId="0" fillId="0" borderId="89" xfId="0" applyNumberFormat="1" applyBorder="1" applyAlignment="1">
      <alignment shrinkToFit="1"/>
    </xf>
    <xf numFmtId="168" fontId="0" fillId="0" borderId="87" xfId="0" applyNumberFormat="1" applyBorder="1" applyAlignment="1">
      <alignment shrinkToFit="1"/>
    </xf>
    <xf numFmtId="0" fontId="0" fillId="0" borderId="86" xfId="0" applyBorder="1" applyAlignment="1">
      <alignment shrinkToFit="1"/>
    </xf>
    <xf numFmtId="0" fontId="175" fillId="0" borderId="0" xfId="257"/>
    <xf numFmtId="0" fontId="175" fillId="0" borderId="0" xfId="257" applyAlignment="1">
      <alignment horizontal="center" vertical="center"/>
    </xf>
    <xf numFmtId="0" fontId="175" fillId="33" borderId="0" xfId="257" applyFill="1" applyAlignment="1">
      <alignment horizontal="center" vertical="center"/>
    </xf>
    <xf numFmtId="0" fontId="175" fillId="35" borderId="90" xfId="257" applyFill="1" applyBorder="1" applyAlignment="1">
      <alignment horizontal="center" vertical="center"/>
    </xf>
    <xf numFmtId="164" fontId="175" fillId="0" borderId="0" xfId="257" applyNumberFormat="1"/>
    <xf numFmtId="0" fontId="175" fillId="33" borderId="90" xfId="257" applyFill="1" applyBorder="1" applyAlignment="1">
      <alignment horizontal="center" vertical="center"/>
    </xf>
    <xf numFmtId="0" fontId="175" fillId="34" borderId="0" xfId="257" applyFill="1" applyAlignment="1">
      <alignment horizontal="center" vertical="center"/>
    </xf>
    <xf numFmtId="0" fontId="68" fillId="0" borderId="0" xfId="257" applyFont="1" applyAlignment="1">
      <alignment horizontal="center" vertical="center"/>
    </xf>
    <xf numFmtId="0" fontId="69" fillId="0" borderId="0" xfId="0" applyFont="1"/>
    <xf numFmtId="0" fontId="69" fillId="0" borderId="51" xfId="0" applyFont="1" applyBorder="1"/>
    <xf numFmtId="0" fontId="69" fillId="0" borderId="52" xfId="0" applyFont="1" applyBorder="1"/>
    <xf numFmtId="0" fontId="28" fillId="0" borderId="0" xfId="0" applyFont="1"/>
    <xf numFmtId="0" fontId="69" fillId="0" borderId="47" xfId="0" applyFont="1" applyBorder="1"/>
    <xf numFmtId="0" fontId="69" fillId="0" borderId="48" xfId="0" applyFont="1" applyBorder="1"/>
    <xf numFmtId="0" fontId="69" fillId="0" borderId="49" xfId="0" applyFont="1" applyBorder="1"/>
    <xf numFmtId="0" fontId="70" fillId="36" borderId="91" xfId="0" applyFont="1" applyFill="1" applyBorder="1" applyAlignment="1">
      <alignment horizontal="center"/>
    </xf>
    <xf numFmtId="0" fontId="69" fillId="36" borderId="91" xfId="0" applyFont="1" applyFill="1" applyBorder="1"/>
    <xf numFmtId="0" fontId="69" fillId="36" borderId="88" xfId="0" applyFont="1" applyFill="1" applyBorder="1"/>
    <xf numFmtId="0" fontId="19" fillId="36" borderId="91" xfId="0" applyFont="1" applyFill="1" applyBorder="1"/>
    <xf numFmtId="0" fontId="69" fillId="36" borderId="91" xfId="0" applyFont="1" applyFill="1" applyBorder="1" applyAlignment="1">
      <alignment horizontal="center" vertical="center"/>
    </xf>
    <xf numFmtId="0" fontId="69" fillId="36" borderId="92" xfId="0" applyFont="1" applyFill="1" applyBorder="1"/>
    <xf numFmtId="0" fontId="69" fillId="36" borderId="93" xfId="0" applyFont="1" applyFill="1" applyBorder="1"/>
    <xf numFmtId="0" fontId="70" fillId="0" borderId="0" xfId="0" applyFont="1" applyAlignment="1">
      <alignment horizontal="center"/>
    </xf>
    <xf numFmtId="0" fontId="69" fillId="0" borderId="0" xfId="0" applyFont="1" applyAlignment="1">
      <alignment horizontal="center" vertical="center"/>
    </xf>
    <xf numFmtId="0" fontId="69" fillId="0" borderId="0" xfId="0" applyFont="1" applyAlignment="1">
      <alignment horizontal="center"/>
    </xf>
    <xf numFmtId="0" fontId="69" fillId="0" borderId="54" xfId="0" applyFont="1" applyBorder="1"/>
    <xf numFmtId="0" fontId="69" fillId="0" borderId="55" xfId="0" applyFont="1" applyBorder="1"/>
    <xf numFmtId="0" fontId="69" fillId="0" borderId="56" xfId="0" applyFont="1" applyBorder="1"/>
    <xf numFmtId="0" fontId="69" fillId="7" borderId="47" xfId="0" applyFont="1" applyFill="1" applyBorder="1"/>
    <xf numFmtId="0" fontId="69" fillId="10" borderId="48" xfId="0" applyFont="1" applyFill="1" applyBorder="1"/>
    <xf numFmtId="0" fontId="69" fillId="6" borderId="48" xfId="0" applyFont="1" applyFill="1" applyBorder="1"/>
    <xf numFmtId="0" fontId="69" fillId="8" borderId="49" xfId="0" applyFont="1" applyFill="1" applyBorder="1"/>
    <xf numFmtId="0" fontId="69" fillId="7" borderId="51" xfId="0" applyFont="1" applyFill="1" applyBorder="1"/>
    <xf numFmtId="0" fontId="69" fillId="10" borderId="0" xfId="0" applyFont="1" applyFill="1"/>
    <xf numFmtId="0" fontId="69" fillId="6" borderId="0" xfId="0" applyFont="1" applyFill="1"/>
    <xf numFmtId="0" fontId="69" fillId="8" borderId="52" xfId="0" applyFont="1" applyFill="1" applyBorder="1"/>
    <xf numFmtId="0" fontId="69" fillId="7" borderId="54" xfId="0" applyFont="1" applyFill="1" applyBorder="1"/>
    <xf numFmtId="0" fontId="69" fillId="10" borderId="55" xfId="0" applyFont="1" applyFill="1" applyBorder="1"/>
    <xf numFmtId="0" fontId="69" fillId="6" borderId="55" xfId="0" applyFont="1" applyFill="1" applyBorder="1"/>
    <xf numFmtId="0" fontId="69" fillId="8" borderId="56" xfId="0" applyFont="1" applyFill="1" applyBorder="1"/>
    <xf numFmtId="0" fontId="69" fillId="7" borderId="0" xfId="0" applyFont="1" applyFill="1"/>
    <xf numFmtId="0" fontId="69" fillId="8" borderId="0" xfId="0" applyFont="1" applyFill="1"/>
    <xf numFmtId="0" fontId="8" fillId="0" borderId="4" xfId="303" applyProtection="1"/>
    <xf numFmtId="0" fontId="69" fillId="37" borderId="9" xfId="0" applyFont="1" applyFill="1" applyBorder="1"/>
    <xf numFmtId="0" fontId="0" fillId="37" borderId="0" xfId="0" applyFill="1" applyAlignment="1">
      <alignment horizontal="center"/>
    </xf>
    <xf numFmtId="0" fontId="0" fillId="6" borderId="0" xfId="0" applyFill="1"/>
    <xf numFmtId="0" fontId="0" fillId="6" borderId="83" xfId="0" applyFill="1" applyBorder="1"/>
    <xf numFmtId="0" fontId="0" fillId="37" borderId="9" xfId="0" applyFill="1" applyBorder="1"/>
    <xf numFmtId="0" fontId="0" fillId="0" borderId="83" xfId="0" applyBorder="1"/>
    <xf numFmtId="0" fontId="0" fillId="37" borderId="86" xfId="0" applyFill="1" applyBorder="1"/>
    <xf numFmtId="0" fontId="0" fillId="37" borderId="89" xfId="0" applyFill="1" applyBorder="1" applyAlignment="1">
      <alignment horizontal="center"/>
    </xf>
    <xf numFmtId="0" fontId="0" fillId="0" borderId="89" xfId="0" applyBorder="1"/>
    <xf numFmtId="0" fontId="56" fillId="31" borderId="95" xfId="0" applyFont="1" applyFill="1" applyBorder="1" applyAlignment="1">
      <alignment horizontal="left"/>
    </xf>
    <xf numFmtId="0" fontId="56" fillId="38" borderId="96" xfId="0" applyFont="1" applyFill="1" applyBorder="1" applyAlignment="1">
      <alignment horizontal="center"/>
    </xf>
    <xf numFmtId="0" fontId="50" fillId="29" borderId="96" xfId="0" applyFont="1" applyFill="1" applyBorder="1" applyAlignment="1">
      <alignment horizontal="center"/>
    </xf>
    <xf numFmtId="0" fontId="57" fillId="29" borderId="97" xfId="0" applyFont="1" applyFill="1" applyBorder="1" applyAlignment="1">
      <alignment horizontal="center"/>
    </xf>
    <xf numFmtId="0" fontId="56" fillId="38" borderId="84" xfId="0" applyFont="1" applyFill="1" applyBorder="1" applyAlignment="1">
      <alignment horizontal="center"/>
    </xf>
    <xf numFmtId="0" fontId="50" fillId="29" borderId="88" xfId="0" applyFont="1" applyFill="1" applyBorder="1" applyAlignment="1">
      <alignment horizontal="center"/>
    </xf>
    <xf numFmtId="0" fontId="50" fillId="29" borderId="98" xfId="0" applyFont="1" applyFill="1" applyBorder="1" applyAlignment="1">
      <alignment horizontal="center"/>
    </xf>
    <xf numFmtId="0" fontId="50" fillId="29" borderId="99" xfId="0" applyFont="1" applyFill="1" applyBorder="1" applyAlignment="1">
      <alignment horizontal="center"/>
    </xf>
    <xf numFmtId="0" fontId="57" fillId="31" borderId="100" xfId="0" applyFont="1" applyFill="1" applyBorder="1" applyAlignment="1">
      <alignment horizontal="left"/>
    </xf>
    <xf numFmtId="0" fontId="57" fillId="29" borderId="101" xfId="0" applyFont="1" applyFill="1" applyBorder="1" applyAlignment="1">
      <alignment horizontal="center"/>
    </xf>
    <xf numFmtId="0" fontId="50" fillId="29" borderId="101" xfId="0" applyFont="1" applyFill="1" applyBorder="1" applyAlignment="1">
      <alignment horizontal="center"/>
    </xf>
    <xf numFmtId="0" fontId="71" fillId="29" borderId="102" xfId="0" applyFont="1" applyFill="1" applyBorder="1" applyAlignment="1">
      <alignment horizontal="center"/>
    </xf>
    <xf numFmtId="0" fontId="57" fillId="29" borderId="103" xfId="0" applyFont="1" applyFill="1" applyBorder="1" applyAlignment="1">
      <alignment horizontal="center"/>
    </xf>
    <xf numFmtId="0" fontId="50" fillId="29" borderId="104" xfId="0" applyFont="1" applyFill="1" applyBorder="1" applyAlignment="1">
      <alignment horizontal="center"/>
    </xf>
    <xf numFmtId="0" fontId="50" fillId="29" borderId="105" xfId="0" applyFont="1" applyFill="1" applyBorder="1" applyAlignment="1">
      <alignment horizontal="center"/>
    </xf>
    <xf numFmtId="0" fontId="57" fillId="31" borderId="106" xfId="0" applyFont="1" applyFill="1" applyBorder="1" applyAlignment="1">
      <alignment horizontal="left"/>
    </xf>
    <xf numFmtId="0" fontId="57" fillId="29" borderId="107" xfId="0" applyFont="1" applyFill="1" applyBorder="1" applyAlignment="1">
      <alignment horizontal="center"/>
    </xf>
    <xf numFmtId="0" fontId="57" fillId="29" borderId="108" xfId="0" applyFont="1" applyFill="1" applyBorder="1" applyAlignment="1">
      <alignment horizontal="center"/>
    </xf>
    <xf numFmtId="0" fontId="57" fillId="29" borderId="109" xfId="0" applyFont="1" applyFill="1" applyBorder="1" applyAlignment="1">
      <alignment horizontal="center"/>
    </xf>
    <xf numFmtId="0" fontId="50" fillId="29" borderId="110" xfId="0" applyFont="1" applyFill="1" applyBorder="1" applyAlignment="1">
      <alignment horizontal="center"/>
    </xf>
    <xf numFmtId="0" fontId="50" fillId="29" borderId="111" xfId="0" applyFont="1" applyFill="1" applyBorder="1" applyAlignment="1">
      <alignment horizontal="center"/>
    </xf>
    <xf numFmtId="0" fontId="50" fillId="29" borderId="107" xfId="0" applyFont="1" applyFill="1" applyBorder="1" applyAlignment="1">
      <alignment horizontal="center"/>
    </xf>
    <xf numFmtId="0" fontId="50" fillId="29" borderId="112" xfId="0" applyFont="1" applyFill="1" applyBorder="1" applyAlignment="1">
      <alignment horizontal="center"/>
    </xf>
    <xf numFmtId="0" fontId="56" fillId="29" borderId="101" xfId="0" applyFont="1" applyFill="1" applyBorder="1" applyAlignment="1">
      <alignment horizontal="center"/>
    </xf>
    <xf numFmtId="0" fontId="50" fillId="29" borderId="113" xfId="0" applyFont="1" applyFill="1" applyBorder="1" applyAlignment="1">
      <alignment horizontal="center"/>
    </xf>
    <xf numFmtId="0" fontId="50" fillId="29" borderId="114" xfId="0" applyFont="1" applyFill="1" applyBorder="1" applyAlignment="1">
      <alignment horizontal="center"/>
    </xf>
    <xf numFmtId="49" fontId="50" fillId="29" borderId="101" xfId="0" applyNumberFormat="1" applyFont="1" applyFill="1" applyBorder="1" applyAlignment="1">
      <alignment horizontal="center"/>
    </xf>
    <xf numFmtId="49" fontId="50" fillId="29" borderId="104" xfId="0" applyNumberFormat="1" applyFont="1" applyFill="1" applyBorder="1" applyAlignment="1">
      <alignment horizontal="center"/>
    </xf>
    <xf numFmtId="49" fontId="50" fillId="29" borderId="105" xfId="0" applyNumberFormat="1" applyFont="1" applyFill="1" applyBorder="1" applyAlignment="1">
      <alignment horizontal="center"/>
    </xf>
    <xf numFmtId="0" fontId="50" fillId="29" borderId="60" xfId="0" applyFont="1" applyFill="1" applyBorder="1" applyAlignment="1">
      <alignment horizontal="center"/>
    </xf>
    <xf numFmtId="0" fontId="50" fillId="29" borderId="61" xfId="0" applyFont="1" applyFill="1" applyBorder="1" applyAlignment="1">
      <alignment horizontal="center"/>
    </xf>
    <xf numFmtId="1" fontId="50" fillId="29" borderId="101" xfId="0" applyNumberFormat="1" applyFont="1" applyFill="1" applyBorder="1" applyAlignment="1">
      <alignment horizontal="center"/>
    </xf>
    <xf numFmtId="49" fontId="57" fillId="29" borderId="115" xfId="0" applyNumberFormat="1" applyFont="1" applyFill="1" applyBorder="1" applyAlignment="1">
      <alignment horizontal="center"/>
    </xf>
    <xf numFmtId="1" fontId="50" fillId="29" borderId="116" xfId="0" applyNumberFormat="1" applyFont="1" applyFill="1" applyBorder="1" applyAlignment="1">
      <alignment horizontal="center"/>
    </xf>
    <xf numFmtId="0" fontId="57" fillId="29" borderId="115" xfId="0" applyFont="1" applyFill="1" applyBorder="1" applyAlignment="1">
      <alignment horizontal="center"/>
    </xf>
    <xf numFmtId="1" fontId="50" fillId="29" borderId="117" xfId="0" applyNumberFormat="1" applyFont="1" applyFill="1" applyBorder="1" applyAlignment="1">
      <alignment horizontal="center"/>
    </xf>
    <xf numFmtId="1" fontId="50" fillId="29" borderId="118" xfId="0" applyNumberFormat="1" applyFont="1" applyFill="1" applyBorder="1" applyAlignment="1">
      <alignment horizontal="center"/>
    </xf>
    <xf numFmtId="0" fontId="50" fillId="29" borderId="89" xfId="0" applyFont="1" applyFill="1" applyBorder="1" applyAlignment="1">
      <alignment horizontal="center"/>
    </xf>
    <xf numFmtId="0" fontId="0" fillId="0" borderId="0" xfId="0" applyAlignment="1">
      <alignment horizontal="left" vertical="top"/>
    </xf>
    <xf numFmtId="0" fontId="69" fillId="0" borderId="0" xfId="0" applyFont="1" applyAlignment="1">
      <alignment horizontal="left" vertical="top"/>
    </xf>
    <xf numFmtId="0" fontId="41" fillId="0" borderId="0" xfId="0" applyFont="1" applyAlignment="1" applyProtection="1">
      <alignment horizontal="left" vertical="top"/>
      <protection locked="0"/>
    </xf>
    <xf numFmtId="0" fontId="41" fillId="0" borderId="0" xfId="0" applyFont="1" applyAlignment="1" applyProtection="1">
      <alignment horizontal="left" vertical="top" wrapText="1"/>
      <protection locked="0"/>
    </xf>
    <xf numFmtId="0" fontId="41" fillId="0" borderId="0" xfId="0" applyFont="1" applyAlignment="1" applyProtection="1">
      <alignment vertical="top"/>
      <protection locked="0"/>
    </xf>
    <xf numFmtId="0" fontId="41" fillId="0" borderId="0" xfId="0" applyFont="1" applyAlignment="1" applyProtection="1">
      <alignment vertical="top" wrapText="1"/>
      <protection locked="0"/>
    </xf>
    <xf numFmtId="0" fontId="77" fillId="0" borderId="0" xfId="0" applyFont="1" applyAlignment="1" applyProtection="1">
      <alignment horizontal="left" vertical="top" wrapText="1"/>
      <protection locked="0"/>
    </xf>
    <xf numFmtId="0" fontId="41" fillId="0" borderId="12" xfId="0" applyFont="1" applyBorder="1" applyAlignment="1">
      <alignment horizontal="left" vertical="top"/>
    </xf>
    <xf numFmtId="0" fontId="41" fillId="0" borderId="0" xfId="0" applyFont="1" applyAlignment="1" applyProtection="1">
      <alignment horizontal="left" vertical="top" shrinkToFit="1"/>
      <protection locked="0"/>
    </xf>
    <xf numFmtId="0" fontId="41" fillId="39" borderId="119" xfId="0" applyFont="1" applyFill="1" applyBorder="1" applyAlignment="1">
      <alignment horizontal="left" vertical="top"/>
    </xf>
    <xf numFmtId="179" fontId="17" fillId="0" borderId="0" xfId="1" applyNumberFormat="1" applyBorder="1" applyAlignment="1" applyProtection="1">
      <alignment horizontal="left" vertical="top"/>
      <protection locked="0"/>
    </xf>
    <xf numFmtId="2" fontId="41" fillId="0" borderId="0" xfId="0" applyNumberFormat="1" applyFont="1" applyAlignment="1" applyProtection="1">
      <alignment horizontal="left" vertical="top"/>
      <protection locked="0"/>
    </xf>
    <xf numFmtId="0" fontId="41" fillId="0" borderId="120" xfId="0" applyFont="1" applyBorder="1" applyAlignment="1" applyProtection="1">
      <alignment horizontal="left" vertical="top"/>
      <protection locked="0"/>
    </xf>
    <xf numFmtId="194" fontId="41" fillId="0" borderId="0" xfId="0" applyNumberFormat="1" applyFont="1" applyAlignment="1" applyProtection="1">
      <alignment horizontal="left" vertical="top"/>
      <protection locked="0"/>
    </xf>
    <xf numFmtId="4" fontId="41" fillId="0" borderId="0" xfId="0" applyNumberFormat="1" applyFont="1" applyAlignment="1" applyProtection="1">
      <alignment horizontal="left" vertical="top"/>
      <protection locked="0"/>
    </xf>
    <xf numFmtId="0" fontId="41" fillId="25" borderId="0" xfId="0" applyFont="1" applyFill="1" applyAlignment="1" applyProtection="1">
      <alignment horizontal="left" vertical="top" wrapText="1"/>
      <protection locked="0"/>
    </xf>
    <xf numFmtId="0" fontId="41" fillId="0" borderId="21" xfId="0" applyFont="1" applyBorder="1" applyAlignment="1" applyProtection="1">
      <alignment horizontal="left" vertical="top"/>
      <protection locked="0"/>
    </xf>
    <xf numFmtId="0" fontId="41" fillId="0" borderId="21" xfId="0" applyFont="1" applyBorder="1" applyAlignment="1" applyProtection="1">
      <alignment horizontal="left" vertical="top" wrapText="1"/>
      <protection locked="0"/>
    </xf>
    <xf numFmtId="0" fontId="41" fillId="0" borderId="12" xfId="0" applyFont="1" applyBorder="1" applyAlignment="1" applyProtection="1">
      <alignment horizontal="left" vertical="top"/>
      <protection locked="0"/>
    </xf>
    <xf numFmtId="0" fontId="41" fillId="0" borderId="22" xfId="0" applyFont="1" applyBorder="1" applyAlignment="1" applyProtection="1">
      <alignment horizontal="left" vertical="top"/>
      <protection locked="0"/>
    </xf>
    <xf numFmtId="0" fontId="77" fillId="0" borderId="0" xfId="0" applyFont="1" applyAlignment="1" applyProtection="1">
      <alignment horizontal="left" vertical="top"/>
      <protection locked="0"/>
    </xf>
    <xf numFmtId="0" fontId="77" fillId="0" borderId="121" xfId="0" applyFont="1" applyBorder="1" applyAlignment="1">
      <alignment horizontal="left" vertical="top"/>
    </xf>
    <xf numFmtId="0" fontId="77" fillId="0" borderId="0" xfId="0" applyFont="1" applyAlignment="1" applyProtection="1">
      <alignment vertical="top"/>
      <protection locked="0"/>
    </xf>
    <xf numFmtId="0" fontId="77" fillId="0" borderId="0" xfId="0" applyFont="1" applyAlignment="1" applyProtection="1">
      <alignment vertical="top" wrapText="1"/>
      <protection locked="0"/>
    </xf>
    <xf numFmtId="185" fontId="41" fillId="0" borderId="0" xfId="0" applyNumberFormat="1" applyFont="1" applyAlignment="1" applyProtection="1">
      <alignment horizontal="left" vertical="top"/>
      <protection locked="0"/>
    </xf>
    <xf numFmtId="179" fontId="41" fillId="0" borderId="0" xfId="0" applyNumberFormat="1" applyFont="1" applyAlignment="1" applyProtection="1">
      <alignment horizontal="left" vertical="top" wrapText="1"/>
      <protection locked="0"/>
    </xf>
    <xf numFmtId="164" fontId="41" fillId="0" borderId="0" xfId="0" applyNumberFormat="1" applyFont="1" applyAlignment="1" applyProtection="1">
      <alignment horizontal="left" vertical="top"/>
      <protection locked="0"/>
    </xf>
    <xf numFmtId="164" fontId="41" fillId="0" borderId="0" xfId="0" applyNumberFormat="1" applyFont="1" applyAlignment="1" applyProtection="1">
      <alignment horizontal="left" vertical="top" wrapText="1"/>
      <protection locked="0"/>
    </xf>
    <xf numFmtId="0" fontId="78" fillId="0" borderId="0" xfId="0" applyFont="1" applyAlignment="1" applyProtection="1">
      <alignment horizontal="left" vertical="top"/>
      <protection locked="0"/>
    </xf>
    <xf numFmtId="164" fontId="78" fillId="0" borderId="0" xfId="0" applyNumberFormat="1" applyFont="1" applyAlignment="1" applyProtection="1">
      <alignment horizontal="left" vertical="top"/>
      <protection locked="0"/>
    </xf>
    <xf numFmtId="0" fontId="79" fillId="24" borderId="122" xfId="0" applyFont="1" applyFill="1" applyBorder="1" applyAlignment="1">
      <alignment vertical="top" wrapText="1"/>
    </xf>
    <xf numFmtId="0" fontId="79" fillId="24" borderId="123" xfId="0" applyFont="1" applyFill="1" applyBorder="1" applyAlignment="1">
      <alignment vertical="top" wrapText="1"/>
    </xf>
    <xf numFmtId="0" fontId="80" fillId="24" borderId="123" xfId="0" applyFont="1" applyFill="1" applyBorder="1" applyAlignment="1">
      <alignment vertical="top" wrapText="1"/>
    </xf>
    <xf numFmtId="0" fontId="81" fillId="0" borderId="0" xfId="0" applyFont="1" applyAlignment="1" applyProtection="1">
      <alignment horizontal="left" vertical="top"/>
      <protection locked="0"/>
    </xf>
    <xf numFmtId="0" fontId="82" fillId="0" borderId="0" xfId="0" applyFont="1" applyAlignment="1" applyProtection="1">
      <alignment horizontal="left" vertical="top"/>
      <protection locked="0"/>
    </xf>
    <xf numFmtId="0" fontId="69" fillId="0" borderId="0" xfId="0" applyFont="1" applyAlignment="1">
      <alignment wrapText="1"/>
    </xf>
    <xf numFmtId="0" fontId="79" fillId="24" borderId="124" xfId="0" applyFont="1" applyFill="1" applyBorder="1" applyAlignment="1">
      <alignment vertical="top" wrapText="1"/>
    </xf>
    <xf numFmtId="0" fontId="79" fillId="24" borderId="125" xfId="0" applyFont="1" applyFill="1" applyBorder="1" applyAlignment="1">
      <alignment vertical="top" wrapText="1"/>
    </xf>
    <xf numFmtId="2" fontId="77" fillId="0" borderId="0" xfId="0" applyNumberFormat="1" applyFont="1" applyAlignment="1">
      <alignment horizontal="left" vertical="top"/>
    </xf>
    <xf numFmtId="0" fontId="77" fillId="0" borderId="126" xfId="0" applyFont="1" applyBorder="1" applyAlignment="1" applyProtection="1">
      <alignment vertical="top"/>
      <protection locked="0"/>
    </xf>
    <xf numFmtId="49" fontId="83" fillId="0" borderId="127" xfId="0" applyNumberFormat="1" applyFont="1" applyBorder="1" applyAlignment="1" applyProtection="1">
      <alignment horizontal="left" vertical="top"/>
      <protection locked="0"/>
    </xf>
    <xf numFmtId="49" fontId="83" fillId="0" borderId="0" xfId="0" applyNumberFormat="1" applyFont="1" applyAlignment="1" applyProtection="1">
      <alignment horizontal="left" vertical="top"/>
      <protection locked="0"/>
    </xf>
    <xf numFmtId="49" fontId="83" fillId="0" borderId="0" xfId="0" applyNumberFormat="1" applyFont="1" applyAlignment="1" applyProtection="1">
      <alignment vertical="top"/>
      <protection locked="0"/>
    </xf>
    <xf numFmtId="49" fontId="83" fillId="0" borderId="128" xfId="0" applyNumberFormat="1" applyFont="1" applyBorder="1" applyAlignment="1" applyProtection="1">
      <alignment horizontal="left" vertical="top"/>
      <protection locked="0"/>
    </xf>
    <xf numFmtId="49" fontId="84" fillId="0" borderId="0" xfId="0" applyNumberFormat="1" applyFont="1" applyAlignment="1" applyProtection="1">
      <alignment horizontal="left" vertical="top"/>
      <protection locked="0"/>
    </xf>
    <xf numFmtId="0" fontId="83" fillId="0" borderId="0" xfId="0" applyFont="1" applyAlignment="1" applyProtection="1">
      <alignment horizontal="left" vertical="top"/>
      <protection locked="0"/>
    </xf>
    <xf numFmtId="0" fontId="14" fillId="0" borderId="0" xfId="0" applyFont="1" applyAlignment="1">
      <alignment vertical="top" wrapText="1"/>
    </xf>
    <xf numFmtId="0" fontId="83" fillId="0" borderId="0" xfId="0" applyFont="1" applyAlignment="1" applyProtection="1">
      <alignment vertical="top" wrapText="1"/>
      <protection locked="0"/>
    </xf>
    <xf numFmtId="49" fontId="41" fillId="0" borderId="127" xfId="0" applyNumberFormat="1" applyFont="1" applyBorder="1" applyAlignment="1" applyProtection="1">
      <alignment horizontal="left" vertical="top"/>
      <protection locked="0"/>
    </xf>
    <xf numFmtId="0" fontId="41" fillId="0" borderId="84" xfId="0" applyFont="1" applyBorder="1" applyAlignment="1" applyProtection="1">
      <alignment horizontal="left" vertical="top"/>
      <protection locked="0"/>
    </xf>
    <xf numFmtId="0" fontId="82" fillId="0" borderId="85" xfId="0" applyFont="1" applyBorder="1" applyAlignment="1" applyProtection="1">
      <alignment horizontal="left" vertical="top"/>
      <protection locked="0"/>
    </xf>
    <xf numFmtId="0" fontId="41" fillId="0" borderId="85" xfId="0" applyFont="1" applyBorder="1" applyAlignment="1" applyProtection="1">
      <alignment horizontal="left" vertical="top"/>
      <protection locked="0"/>
    </xf>
    <xf numFmtId="0" fontId="41" fillId="0" borderId="0" xfId="0" applyFont="1" applyAlignment="1">
      <alignment horizontal="left" vertical="top"/>
    </xf>
    <xf numFmtId="0" fontId="86" fillId="0" borderId="0" xfId="0" applyFont="1" applyAlignment="1">
      <alignment horizontal="left" vertical="top"/>
    </xf>
    <xf numFmtId="0" fontId="82" fillId="0" borderId="0" xfId="0" applyFont="1" applyAlignment="1" applyProtection="1">
      <alignment vertical="top"/>
      <protection locked="0"/>
    </xf>
    <xf numFmtId="180" fontId="41" fillId="0" borderId="0" xfId="0" applyNumberFormat="1" applyFont="1" applyAlignment="1" applyProtection="1">
      <alignment horizontal="left" vertical="top"/>
      <protection locked="0"/>
    </xf>
    <xf numFmtId="0" fontId="87" fillId="0" borderId="129" xfId="0" applyFont="1" applyBorder="1" applyAlignment="1">
      <alignment vertical="top"/>
    </xf>
    <xf numFmtId="0" fontId="0" fillId="0" borderId="0" xfId="0" applyAlignment="1">
      <alignment vertical="top" wrapText="1"/>
    </xf>
    <xf numFmtId="0" fontId="41" fillId="0" borderId="9" xfId="0" applyFont="1" applyBorder="1" applyAlignment="1" applyProtection="1">
      <alignment horizontal="left" vertical="top"/>
      <protection locked="0"/>
    </xf>
    <xf numFmtId="0" fontId="41" fillId="0" borderId="83" xfId="0" applyFont="1" applyBorder="1" applyAlignment="1" applyProtection="1">
      <alignment horizontal="left" vertical="top"/>
      <protection locked="0"/>
    </xf>
    <xf numFmtId="0" fontId="0" fillId="25" borderId="0" xfId="0" applyFill="1" applyAlignment="1">
      <alignment vertical="top" wrapText="1"/>
    </xf>
    <xf numFmtId="0" fontId="41" fillId="0" borderId="86" xfId="0" applyFont="1" applyBorder="1" applyAlignment="1" applyProtection="1">
      <alignment horizontal="left" vertical="top"/>
      <protection locked="0"/>
    </xf>
    <xf numFmtId="0" fontId="41" fillId="0" borderId="87" xfId="0" applyFont="1" applyBorder="1" applyAlignment="1" applyProtection="1">
      <alignment horizontal="left" vertical="top"/>
      <protection locked="0"/>
    </xf>
    <xf numFmtId="0" fontId="82" fillId="0" borderId="83" xfId="0" applyFont="1" applyBorder="1" applyAlignment="1" applyProtection="1">
      <alignment horizontal="left" vertical="top"/>
      <protection locked="0"/>
    </xf>
    <xf numFmtId="0" fontId="82" fillId="0" borderId="87" xfId="0" applyFont="1" applyBorder="1" applyAlignment="1" applyProtection="1">
      <alignment horizontal="left" vertical="top"/>
      <protection locked="0"/>
    </xf>
    <xf numFmtId="0" fontId="89" fillId="25" borderId="0" xfId="0" applyFont="1" applyFill="1" applyAlignment="1">
      <alignment vertical="top" wrapText="1"/>
    </xf>
    <xf numFmtId="0" fontId="89" fillId="0" borderId="0" xfId="0" applyFont="1" applyAlignment="1">
      <alignment vertical="top" wrapText="1"/>
    </xf>
    <xf numFmtId="49" fontId="91" fillId="0" borderId="130" xfId="0" applyNumberFormat="1" applyFont="1" applyBorder="1" applyAlignment="1" applyProtection="1">
      <alignment horizontal="left" vertical="top" shrinkToFit="1"/>
      <protection locked="0"/>
    </xf>
    <xf numFmtId="0" fontId="91" fillId="0" borderId="131" xfId="0" applyFont="1" applyBorder="1" applyAlignment="1" applyProtection="1">
      <alignment horizontal="left" vertical="top" shrinkToFit="1"/>
      <protection locked="0"/>
    </xf>
    <xf numFmtId="0" fontId="91" fillId="0" borderId="0" xfId="0" applyFont="1" applyAlignment="1" applyProtection="1">
      <alignment horizontal="left" vertical="top" shrinkToFit="1"/>
      <protection locked="0"/>
    </xf>
    <xf numFmtId="182" fontId="91" fillId="0" borderId="131" xfId="0" applyNumberFormat="1" applyFont="1" applyBorder="1" applyAlignment="1" applyProtection="1">
      <alignment horizontal="left" vertical="top" shrinkToFit="1"/>
      <protection locked="0"/>
    </xf>
    <xf numFmtId="0" fontId="92" fillId="0" borderId="131" xfId="0" applyFont="1" applyBorder="1" applyAlignment="1">
      <alignment horizontal="left" vertical="top" shrinkToFit="1"/>
    </xf>
    <xf numFmtId="0" fontId="91" fillId="0" borderId="0" xfId="0" applyFont="1" applyAlignment="1" applyProtection="1">
      <alignment vertical="top" shrinkToFit="1"/>
      <protection locked="0"/>
    </xf>
    <xf numFmtId="180" fontId="91" fillId="0" borderId="0" xfId="0" applyNumberFormat="1" applyFont="1" applyAlignment="1" applyProtection="1">
      <alignment horizontal="left" vertical="top" shrinkToFit="1"/>
      <protection locked="0"/>
    </xf>
    <xf numFmtId="0" fontId="93" fillId="0" borderId="0" xfId="0" applyFont="1" applyAlignment="1" applyProtection="1">
      <alignment horizontal="left" vertical="top" shrinkToFit="1"/>
      <protection locked="0"/>
    </xf>
    <xf numFmtId="0" fontId="91" fillId="0" borderId="0" xfId="0" applyFont="1" applyAlignment="1" applyProtection="1">
      <alignment horizontal="left" vertical="top"/>
      <protection locked="0"/>
    </xf>
    <xf numFmtId="0" fontId="87" fillId="0" borderId="64" xfId="0" applyFont="1" applyBorder="1" applyAlignment="1">
      <alignment vertical="top"/>
    </xf>
    <xf numFmtId="0" fontId="86" fillId="0" borderId="0" xfId="0" applyFont="1" applyAlignment="1" applyProtection="1">
      <alignment horizontal="left" vertical="top"/>
      <protection locked="0"/>
    </xf>
    <xf numFmtId="49" fontId="41" fillId="0" borderId="0" xfId="0" applyNumberFormat="1" applyFont="1" applyAlignment="1" applyProtection="1">
      <alignment horizontal="left" vertical="top"/>
      <protection locked="0"/>
    </xf>
    <xf numFmtId="0" fontId="94" fillId="0" borderId="0" xfId="0" applyFont="1" applyAlignment="1" applyProtection="1">
      <alignment horizontal="left" vertical="top"/>
      <protection locked="0"/>
    </xf>
    <xf numFmtId="0" fontId="94" fillId="0" borderId="0" xfId="0" applyFont="1" applyAlignment="1">
      <alignment horizontal="left" vertical="top"/>
    </xf>
    <xf numFmtId="195" fontId="41" fillId="0" borderId="0" xfId="0" applyNumberFormat="1" applyFont="1" applyAlignment="1" applyProtection="1">
      <alignment horizontal="left" vertical="top"/>
      <protection locked="0"/>
    </xf>
    <xf numFmtId="0" fontId="95" fillId="0" borderId="0" xfId="0" applyFont="1" applyAlignment="1">
      <alignment horizontal="center" vertical="top"/>
    </xf>
    <xf numFmtId="0" fontId="39" fillId="0" borderId="0" xfId="0" applyFont="1" applyAlignment="1">
      <alignment horizontal="center" vertical="top"/>
    </xf>
    <xf numFmtId="180" fontId="41" fillId="0" borderId="132" xfId="0" applyNumberFormat="1" applyFont="1" applyBorder="1" applyAlignment="1">
      <alignment horizontal="left" vertical="top"/>
    </xf>
    <xf numFmtId="0" fontId="41" fillId="0" borderId="133" xfId="0" applyFont="1" applyBorder="1" applyAlignment="1" applyProtection="1">
      <alignment horizontal="left" vertical="top"/>
      <protection locked="0"/>
    </xf>
    <xf numFmtId="0" fontId="41" fillId="0" borderId="134" xfId="0" applyFont="1" applyBorder="1" applyAlignment="1" applyProtection="1">
      <alignment horizontal="left" vertical="top"/>
      <protection locked="0"/>
    </xf>
    <xf numFmtId="0" fontId="41" fillId="0" borderId="134" xfId="0" applyFont="1" applyBorder="1" applyAlignment="1" applyProtection="1">
      <alignment horizontal="left" vertical="top" wrapText="1"/>
      <protection locked="0"/>
    </xf>
    <xf numFmtId="0" fontId="41" fillId="0" borderId="120" xfId="0" applyFont="1" applyBorder="1" applyAlignment="1">
      <alignment horizontal="left" vertical="top"/>
    </xf>
    <xf numFmtId="0" fontId="77" fillId="0" borderId="120" xfId="0" applyFont="1" applyBorder="1" applyAlignment="1">
      <alignment horizontal="left" vertical="top" wrapText="1"/>
    </xf>
    <xf numFmtId="0" fontId="77" fillId="0" borderId="0" xfId="0" applyFont="1" applyAlignment="1">
      <alignment horizontal="left" vertical="top" wrapText="1"/>
    </xf>
    <xf numFmtId="0" fontId="96" fillId="13" borderId="133" xfId="0" applyFont="1" applyFill="1" applyBorder="1" applyAlignment="1" applyProtection="1">
      <alignment horizontal="left" vertical="top"/>
      <protection locked="0"/>
    </xf>
    <xf numFmtId="0" fontId="96" fillId="13" borderId="120" xfId="0" applyFont="1" applyFill="1" applyBorder="1" applyAlignment="1" applyProtection="1">
      <alignment horizontal="left" vertical="top"/>
      <protection locked="0"/>
    </xf>
    <xf numFmtId="0" fontId="96" fillId="13" borderId="0" xfId="0" applyFont="1" applyFill="1" applyAlignment="1" applyProtection="1">
      <alignment horizontal="left" vertical="top"/>
      <protection locked="0"/>
    </xf>
    <xf numFmtId="0" fontId="41" fillId="7" borderId="133" xfId="0" applyFont="1" applyFill="1" applyBorder="1" applyAlignment="1" applyProtection="1">
      <alignment horizontal="left" vertical="top"/>
      <protection locked="0"/>
    </xf>
    <xf numFmtId="0" fontId="41" fillId="7" borderId="120" xfId="0" applyFont="1" applyFill="1" applyBorder="1" applyAlignment="1" applyProtection="1">
      <alignment horizontal="left" vertical="top"/>
      <protection locked="0"/>
    </xf>
    <xf numFmtId="0" fontId="41" fillId="7" borderId="120" xfId="0" applyFont="1" applyFill="1" applyBorder="1" applyAlignment="1" applyProtection="1">
      <alignment horizontal="left" vertical="top" wrapText="1"/>
      <protection locked="0"/>
    </xf>
    <xf numFmtId="0" fontId="82" fillId="7" borderId="120" xfId="0" applyFont="1" applyFill="1" applyBorder="1" applyAlignment="1" applyProtection="1">
      <alignment horizontal="left" vertical="top"/>
      <protection locked="0"/>
    </xf>
    <xf numFmtId="0" fontId="82" fillId="7" borderId="0" xfId="0" applyFont="1" applyFill="1" applyAlignment="1" applyProtection="1">
      <alignment horizontal="left" vertical="top"/>
      <protection locked="0"/>
    </xf>
    <xf numFmtId="0" fontId="41" fillId="0" borderId="0" xfId="0" applyFont="1"/>
    <xf numFmtId="0" fontId="41" fillId="7" borderId="0" xfId="0" applyFont="1" applyFill="1" applyAlignment="1" applyProtection="1">
      <alignment horizontal="left" vertical="top"/>
      <protection locked="0"/>
    </xf>
    <xf numFmtId="183" fontId="41" fillId="0" borderId="0" xfId="0" applyNumberFormat="1" applyFont="1" applyAlignment="1" applyProtection="1">
      <alignment horizontal="left" vertical="top"/>
      <protection locked="0"/>
    </xf>
    <xf numFmtId="0" fontId="41" fillId="0" borderId="135" xfId="0" applyFont="1" applyBorder="1" applyAlignment="1" applyProtection="1">
      <alignment horizontal="left" vertical="top"/>
      <protection locked="0"/>
    </xf>
    <xf numFmtId="183" fontId="41" fillId="0" borderId="135" xfId="0" applyNumberFormat="1" applyFont="1" applyBorder="1" applyAlignment="1" applyProtection="1">
      <alignment horizontal="left" vertical="top"/>
      <protection locked="0"/>
    </xf>
    <xf numFmtId="0" fontId="41" fillId="0" borderId="135" xfId="0" applyFont="1" applyBorder="1" applyAlignment="1" applyProtection="1">
      <alignment horizontal="left" vertical="top" wrapText="1"/>
      <protection locked="0"/>
    </xf>
    <xf numFmtId="0" fontId="97" fillId="0" borderId="0" xfId="0" applyFont="1" applyAlignment="1" applyProtection="1">
      <alignment horizontal="left" vertical="top"/>
      <protection locked="0"/>
    </xf>
    <xf numFmtId="183" fontId="97" fillId="0" borderId="0" xfId="0" applyNumberFormat="1" applyFont="1" applyAlignment="1" applyProtection="1">
      <alignment horizontal="left" vertical="top"/>
      <protection locked="0"/>
    </xf>
    <xf numFmtId="0" fontId="97" fillId="0" borderId="0" xfId="0" applyFont="1" applyAlignment="1" applyProtection="1">
      <alignment horizontal="left" vertical="top" wrapText="1"/>
      <protection locked="0"/>
    </xf>
    <xf numFmtId="0" fontId="97" fillId="0" borderId="0" xfId="0" applyFont="1" applyAlignment="1" applyProtection="1">
      <alignment vertical="top"/>
      <protection locked="0"/>
    </xf>
    <xf numFmtId="0" fontId="86" fillId="0" borderId="47" xfId="0" applyFont="1" applyBorder="1" applyAlignment="1" applyProtection="1">
      <alignment horizontal="left" vertical="top"/>
      <protection locked="0"/>
    </xf>
    <xf numFmtId="0" fontId="86" fillId="0" borderId="48" xfId="0" applyFont="1" applyBorder="1" applyAlignment="1" applyProtection="1">
      <alignment horizontal="left" vertical="top"/>
      <protection locked="0"/>
    </xf>
    <xf numFmtId="0" fontId="86" fillId="0" borderId="49" xfId="0" applyFont="1" applyBorder="1" applyAlignment="1" applyProtection="1">
      <alignment horizontal="left" vertical="top"/>
      <protection locked="0"/>
    </xf>
    <xf numFmtId="0" fontId="86" fillId="0" borderId="51" xfId="0" applyFont="1" applyBorder="1" applyAlignment="1" applyProtection="1">
      <alignment horizontal="left" vertical="top"/>
      <protection locked="0"/>
    </xf>
    <xf numFmtId="0" fontId="86" fillId="0" borderId="52" xfId="0" applyFont="1" applyBorder="1" applyAlignment="1" applyProtection="1">
      <alignment horizontal="left" vertical="top"/>
      <protection locked="0"/>
    </xf>
    <xf numFmtId="0" fontId="86" fillId="0" borderId="54" xfId="0" applyFont="1" applyBorder="1" applyAlignment="1" applyProtection="1">
      <alignment horizontal="left" vertical="top"/>
      <protection locked="0"/>
    </xf>
    <xf numFmtId="0" fontId="86" fillId="0" borderId="55" xfId="0" applyFont="1" applyBorder="1" applyAlignment="1" applyProtection="1">
      <alignment horizontal="left" vertical="top"/>
      <protection locked="0"/>
    </xf>
    <xf numFmtId="0" fontId="86" fillId="0" borderId="56" xfId="0" applyFont="1" applyBorder="1" applyAlignment="1" applyProtection="1">
      <alignment horizontal="left" vertical="top"/>
      <protection locked="0"/>
    </xf>
    <xf numFmtId="0" fontId="98" fillId="0" borderId="0" xfId="0" applyFont="1" applyAlignment="1" applyProtection="1">
      <alignment vertical="top"/>
      <protection locked="0"/>
    </xf>
    <xf numFmtId="0" fontId="99" fillId="0" borderId="0" xfId="0" applyFont="1"/>
    <xf numFmtId="193" fontId="41" fillId="0" borderId="0" xfId="0" applyNumberFormat="1" applyFont="1" applyAlignment="1" applyProtection="1">
      <alignment horizontal="left" vertical="top"/>
      <protection locked="0"/>
    </xf>
    <xf numFmtId="2" fontId="41" fillId="0" borderId="0" xfId="0" applyNumberFormat="1" applyFont="1" applyAlignment="1" applyProtection="1">
      <alignment horizontal="left" vertical="top" wrapText="1"/>
      <protection locked="0"/>
    </xf>
    <xf numFmtId="0" fontId="100" fillId="0" borderId="0" xfId="0" applyFont="1" applyAlignment="1" applyProtection="1">
      <alignment horizontal="left" vertical="top"/>
      <protection locked="0"/>
    </xf>
    <xf numFmtId="0" fontId="41" fillId="0" borderId="121" xfId="0" applyFont="1" applyBorder="1" applyAlignment="1" applyProtection="1">
      <alignment horizontal="left" vertical="top"/>
      <protection locked="0"/>
    </xf>
    <xf numFmtId="0" fontId="77" fillId="24" borderId="12" xfId="0" applyFont="1" applyFill="1" applyBorder="1" applyAlignment="1">
      <alignment horizontal="left" vertical="top" wrapText="1"/>
    </xf>
    <xf numFmtId="0" fontId="41" fillId="24" borderId="61" xfId="0" applyFont="1" applyFill="1" applyBorder="1" applyAlignment="1">
      <alignment horizontal="left" vertical="top" wrapText="1"/>
    </xf>
    <xf numFmtId="0" fontId="41" fillId="0" borderId="0" xfId="0" applyFont="1" applyAlignment="1">
      <alignment horizontal="left" vertical="top" wrapText="1"/>
    </xf>
    <xf numFmtId="0" fontId="82" fillId="0" borderId="0" xfId="0" applyFont="1" applyAlignment="1" applyProtection="1">
      <alignment vertical="top" wrapText="1"/>
      <protection locked="0"/>
    </xf>
    <xf numFmtId="0" fontId="82" fillId="0" borderId="0" xfId="0" applyFont="1" applyAlignment="1">
      <alignment horizontal="left" vertical="top"/>
    </xf>
    <xf numFmtId="0" fontId="101" fillId="13" borderId="47" xfId="0" applyFont="1" applyFill="1" applyBorder="1" applyAlignment="1">
      <alignment horizontal="left" vertical="top"/>
    </xf>
    <xf numFmtId="0" fontId="82" fillId="0" borderId="0" xfId="0" applyFont="1" applyAlignment="1" applyProtection="1">
      <alignment horizontal="left" vertical="top" wrapText="1"/>
      <protection locked="0"/>
    </xf>
    <xf numFmtId="49" fontId="102" fillId="27" borderId="39" xfId="0" applyNumberFormat="1" applyFont="1" applyFill="1" applyBorder="1" applyAlignment="1" applyProtection="1">
      <alignment horizontal="left" vertical="top"/>
      <protection locked="0"/>
    </xf>
    <xf numFmtId="0" fontId="103" fillId="0" borderId="0" xfId="0" applyFont="1" applyAlignment="1" applyProtection="1">
      <alignment horizontal="left" vertical="top"/>
      <protection locked="0"/>
    </xf>
    <xf numFmtId="171" fontId="82" fillId="0" borderId="0" xfId="0" applyNumberFormat="1" applyFont="1" applyAlignment="1">
      <alignment horizontal="left" vertical="top"/>
    </xf>
    <xf numFmtId="0" fontId="41" fillId="0" borderId="47" xfId="0" applyFont="1" applyBorder="1" applyAlignment="1">
      <alignment horizontal="left" vertical="top"/>
    </xf>
    <xf numFmtId="0" fontId="103" fillId="0" borderId="82" xfId="0" applyFont="1" applyBorder="1" applyAlignment="1">
      <alignment horizontal="left" vertical="top"/>
    </xf>
    <xf numFmtId="0" fontId="41" fillId="7" borderId="42" xfId="0" applyFont="1" applyFill="1" applyBorder="1" applyAlignment="1" applyProtection="1">
      <alignment horizontal="left" vertical="top"/>
      <protection locked="0"/>
    </xf>
    <xf numFmtId="0" fontId="23" fillId="0" borderId="0" xfId="0" applyFont="1" applyAlignment="1">
      <alignment horizontal="left"/>
    </xf>
    <xf numFmtId="0" fontId="104" fillId="0" borderId="0" xfId="0" applyFont="1" applyAlignment="1">
      <alignment horizontal="left"/>
    </xf>
    <xf numFmtId="0" fontId="98" fillId="0" borderId="0" xfId="0" applyFont="1" applyAlignment="1" applyProtection="1">
      <alignment horizontal="left" vertical="top"/>
      <protection locked="0"/>
    </xf>
    <xf numFmtId="0" fontId="41" fillId="0" borderId="51" xfId="0" applyFont="1" applyBorder="1" applyAlignment="1">
      <alignment horizontal="left" vertical="top"/>
    </xf>
    <xf numFmtId="0" fontId="77" fillId="0" borderId="82" xfId="0" applyFont="1" applyBorder="1" applyAlignment="1">
      <alignment horizontal="left" vertical="top"/>
    </xf>
    <xf numFmtId="0" fontId="77" fillId="0" borderId="120" xfId="0" applyFont="1" applyBorder="1" applyAlignment="1">
      <alignment horizontal="left" vertical="top"/>
    </xf>
    <xf numFmtId="0" fontId="103" fillId="0" borderId="120" xfId="0" applyFont="1" applyBorder="1" applyAlignment="1">
      <alignment horizontal="left" vertical="top"/>
    </xf>
    <xf numFmtId="0" fontId="105" fillId="0" borderId="0" xfId="0" applyFont="1" applyAlignment="1">
      <alignment horizontal="left"/>
    </xf>
    <xf numFmtId="0" fontId="16" fillId="0" borderId="0" xfId="0" applyFont="1" applyAlignment="1">
      <alignment horizontal="left"/>
    </xf>
    <xf numFmtId="0" fontId="78" fillId="0" borderId="0" xfId="0" applyFont="1" applyAlignment="1" applyProtection="1">
      <alignment horizontal="center" vertical="top"/>
      <protection locked="0"/>
    </xf>
    <xf numFmtId="0" fontId="78" fillId="0" borderId="0" xfId="0" applyFont="1" applyAlignment="1" applyProtection="1">
      <alignment vertical="top" wrapText="1"/>
      <protection locked="0"/>
    </xf>
    <xf numFmtId="49" fontId="106" fillId="27" borderId="38" xfId="0" applyNumberFormat="1" applyFont="1" applyFill="1" applyBorder="1" applyAlignment="1">
      <alignment horizontal="center" vertical="top"/>
    </xf>
    <xf numFmtId="49" fontId="106" fillId="27" borderId="39" xfId="0" applyNumberFormat="1" applyFont="1" applyFill="1" applyBorder="1" applyAlignment="1">
      <alignment horizontal="center" vertical="top"/>
    </xf>
    <xf numFmtId="0" fontId="78" fillId="0" borderId="0" xfId="0" applyFont="1" applyAlignment="1" applyProtection="1">
      <alignment vertical="top"/>
      <protection locked="0"/>
    </xf>
    <xf numFmtId="49" fontId="106" fillId="27" borderId="39" xfId="0" applyNumberFormat="1" applyFont="1" applyFill="1" applyBorder="1" applyAlignment="1">
      <alignment horizontal="center" vertical="top" wrapText="1"/>
    </xf>
    <xf numFmtId="49" fontId="106" fillId="27" borderId="38" xfId="0" applyNumberFormat="1" applyFont="1" applyFill="1" applyBorder="1" applyAlignment="1">
      <alignment horizontal="center" vertical="top" wrapText="1"/>
    </xf>
    <xf numFmtId="49" fontId="106" fillId="28" borderId="41" xfId="0" applyNumberFormat="1" applyFont="1" applyFill="1" applyBorder="1" applyAlignment="1">
      <alignment horizontal="center" vertical="top"/>
    </xf>
    <xf numFmtId="0" fontId="78" fillId="7" borderId="42" xfId="0" applyFont="1" applyFill="1" applyBorder="1" applyAlignment="1">
      <alignment horizontal="center" vertical="top"/>
    </xf>
    <xf numFmtId="0" fontId="78" fillId="7" borderId="43" xfId="0" applyFont="1" applyFill="1" applyBorder="1" applyAlignment="1">
      <alignment horizontal="center" vertical="top"/>
    </xf>
    <xf numFmtId="49" fontId="106" fillId="28" borderId="38" xfId="0" applyNumberFormat="1" applyFont="1" applyFill="1" applyBorder="1" applyAlignment="1">
      <alignment horizontal="center" vertical="top"/>
    </xf>
    <xf numFmtId="0" fontId="78" fillId="7" borderId="44" xfId="0" applyFont="1" applyFill="1" applyBorder="1" applyAlignment="1">
      <alignment horizontal="center" vertical="top"/>
    </xf>
    <xf numFmtId="0" fontId="78" fillId="7" borderId="136" xfId="0" applyFont="1" applyFill="1" applyBorder="1" applyAlignment="1">
      <alignment horizontal="center" vertical="top"/>
    </xf>
    <xf numFmtId="0" fontId="78" fillId="0" borderId="0" xfId="0" applyFont="1" applyAlignment="1" applyProtection="1">
      <alignment horizontal="left" vertical="top" wrapText="1"/>
      <protection locked="0"/>
    </xf>
    <xf numFmtId="0" fontId="107" fillId="40" borderId="137" xfId="0" applyFont="1" applyFill="1" applyBorder="1" applyAlignment="1">
      <alignment wrapText="1"/>
    </xf>
    <xf numFmtId="0" fontId="107" fillId="40" borderId="138" xfId="0" applyFont="1" applyFill="1" applyBorder="1" applyAlignment="1">
      <alignment wrapText="1"/>
    </xf>
    <xf numFmtId="0" fontId="107" fillId="40" borderId="139" xfId="0" applyFont="1" applyFill="1" applyBorder="1" applyAlignment="1">
      <alignment wrapText="1"/>
    </xf>
    <xf numFmtId="0" fontId="14" fillId="25" borderId="137" xfId="0" applyFont="1" applyFill="1" applyBorder="1" applyAlignment="1">
      <alignment wrapText="1"/>
    </xf>
    <xf numFmtId="0" fontId="14" fillId="25" borderId="138" xfId="0" applyFont="1" applyFill="1" applyBorder="1" applyAlignment="1">
      <alignment wrapText="1"/>
    </xf>
    <xf numFmtId="0" fontId="14" fillId="25" borderId="139" xfId="0" applyFont="1" applyFill="1" applyBorder="1" applyAlignment="1">
      <alignment wrapText="1"/>
    </xf>
    <xf numFmtId="0" fontId="73" fillId="24" borderId="137" xfId="0" applyFont="1" applyFill="1" applyBorder="1" applyAlignment="1">
      <alignment wrapText="1"/>
    </xf>
    <xf numFmtId="0" fontId="73" fillId="24" borderId="138" xfId="0" applyFont="1" applyFill="1" applyBorder="1" applyAlignment="1">
      <alignment wrapText="1"/>
    </xf>
    <xf numFmtId="0" fontId="73" fillId="24" borderId="139" xfId="0" applyFont="1" applyFill="1" applyBorder="1" applyAlignment="1">
      <alignment wrapText="1"/>
    </xf>
    <xf numFmtId="0" fontId="0" fillId="24" borderId="137" xfId="0" applyFill="1" applyBorder="1" applyAlignment="1">
      <alignment wrapText="1"/>
    </xf>
    <xf numFmtId="0" fontId="0" fillId="24" borderId="138" xfId="0" applyFill="1" applyBorder="1" applyAlignment="1">
      <alignment wrapText="1"/>
    </xf>
    <xf numFmtId="0" fontId="0" fillId="24" borderId="139" xfId="0" applyFill="1" applyBorder="1" applyAlignment="1">
      <alignment wrapText="1"/>
    </xf>
    <xf numFmtId="196" fontId="0" fillId="24" borderId="138" xfId="0" applyNumberFormat="1" applyFill="1" applyBorder="1" applyAlignment="1">
      <alignment wrapText="1"/>
    </xf>
    <xf numFmtId="196" fontId="0" fillId="24" borderId="139" xfId="0" applyNumberFormat="1" applyFill="1" applyBorder="1" applyAlignment="1">
      <alignment wrapText="1"/>
    </xf>
    <xf numFmtId="164" fontId="0" fillId="24" borderId="138" xfId="0" applyNumberFormat="1" applyFill="1" applyBorder="1" applyAlignment="1">
      <alignment wrapText="1"/>
    </xf>
    <xf numFmtId="164" fontId="0" fillId="24" borderId="139" xfId="0" applyNumberFormat="1" applyFill="1" applyBorder="1" applyAlignment="1">
      <alignment wrapText="1"/>
    </xf>
    <xf numFmtId="197" fontId="0" fillId="24" borderId="138" xfId="0" applyNumberFormat="1" applyFill="1" applyBorder="1" applyAlignment="1">
      <alignment horizontal="right" wrapText="1"/>
    </xf>
    <xf numFmtId="197" fontId="0" fillId="24" borderId="139" xfId="0" applyNumberFormat="1" applyFill="1" applyBorder="1" applyAlignment="1">
      <alignment horizontal="right" wrapText="1"/>
    </xf>
    <xf numFmtId="0" fontId="0" fillId="24" borderId="138" xfId="0" applyFill="1" applyBorder="1" applyAlignment="1">
      <alignment horizontal="right" wrapText="1"/>
    </xf>
    <xf numFmtId="0" fontId="0" fillId="24" borderId="139" xfId="0" applyFill="1" applyBorder="1" applyAlignment="1">
      <alignment horizontal="right" wrapText="1"/>
    </xf>
    <xf numFmtId="0" fontId="0" fillId="24" borderId="140" xfId="0" applyFill="1" applyBorder="1" applyAlignment="1">
      <alignment wrapText="1"/>
    </xf>
    <xf numFmtId="0" fontId="0" fillId="24" borderId="141" xfId="0" applyFill="1" applyBorder="1" applyAlignment="1">
      <alignment wrapText="1"/>
    </xf>
    <xf numFmtId="0" fontId="0" fillId="24" borderId="142" xfId="0" applyFill="1" applyBorder="1" applyAlignment="1">
      <alignment wrapText="1"/>
    </xf>
    <xf numFmtId="0" fontId="108" fillId="26" borderId="137" xfId="0" applyFont="1" applyFill="1" applyBorder="1" applyAlignment="1">
      <alignment wrapText="1"/>
    </xf>
    <xf numFmtId="0" fontId="0" fillId="26" borderId="137" xfId="0" applyFill="1" applyBorder="1" applyAlignment="1">
      <alignment wrapText="1"/>
    </xf>
    <xf numFmtId="0" fontId="73" fillId="26" borderId="137" xfId="0" applyFont="1" applyFill="1" applyBorder="1" applyAlignment="1">
      <alignment wrapText="1"/>
    </xf>
    <xf numFmtId="0" fontId="0" fillId="26" borderId="140" xfId="0" applyFill="1" applyBorder="1" applyAlignment="1">
      <alignment wrapText="1"/>
    </xf>
    <xf numFmtId="198" fontId="0" fillId="24" borderId="138" xfId="0" applyNumberFormat="1" applyFill="1" applyBorder="1" applyAlignment="1">
      <alignment wrapText="1"/>
    </xf>
    <xf numFmtId="198" fontId="0" fillId="24" borderId="139" xfId="0" applyNumberFormat="1" applyFill="1" applyBorder="1" applyAlignment="1">
      <alignment wrapText="1"/>
    </xf>
    <xf numFmtId="0" fontId="96" fillId="41" borderId="120" xfId="0" applyFont="1" applyFill="1" applyBorder="1" applyAlignment="1">
      <alignment horizontal="left" vertical="top" wrapText="1"/>
    </xf>
    <xf numFmtId="0" fontId="77" fillId="15" borderId="120" xfId="0" applyFont="1" applyFill="1" applyBorder="1" applyAlignment="1">
      <alignment horizontal="left" vertical="top"/>
    </xf>
    <xf numFmtId="0" fontId="109" fillId="0" borderId="120" xfId="0" applyFont="1" applyBorder="1" applyAlignment="1">
      <alignment horizontal="left" vertical="top"/>
    </xf>
    <xf numFmtId="0" fontId="110" fillId="0" borderId="120" xfId="0" applyFont="1" applyBorder="1" applyAlignment="1">
      <alignment horizontal="left" vertical="top"/>
    </xf>
    <xf numFmtId="0" fontId="96" fillId="17" borderId="120" xfId="0" applyFont="1" applyFill="1" applyBorder="1" applyAlignment="1">
      <alignment horizontal="left" vertical="top"/>
    </xf>
    <xf numFmtId="0" fontId="77" fillId="0" borderId="143" xfId="0" applyFont="1" applyBorder="1" applyAlignment="1">
      <alignment horizontal="left" vertical="top"/>
    </xf>
    <xf numFmtId="0" fontId="77" fillId="17" borderId="120" xfId="0" applyFont="1" applyFill="1" applyBorder="1" applyAlignment="1">
      <alignment horizontal="left" vertical="top"/>
    </xf>
    <xf numFmtId="0" fontId="77" fillId="42" borderId="120" xfId="0" applyFont="1" applyFill="1" applyBorder="1" applyAlignment="1">
      <alignment horizontal="left" vertical="top"/>
    </xf>
    <xf numFmtId="0" fontId="77" fillId="0" borderId="143" xfId="0" applyFont="1" applyBorder="1" applyAlignment="1">
      <alignment horizontal="left" vertical="top" wrapText="1"/>
    </xf>
    <xf numFmtId="0" fontId="77" fillId="10" borderId="120" xfId="0" applyFont="1" applyFill="1" applyBorder="1" applyAlignment="1">
      <alignment horizontal="left" vertical="top"/>
    </xf>
    <xf numFmtId="0" fontId="77" fillId="25" borderId="120" xfId="0" applyFont="1" applyFill="1" applyBorder="1" applyAlignment="1">
      <alignment horizontal="left" vertical="top"/>
    </xf>
    <xf numFmtId="0" fontId="77" fillId="41" borderId="120" xfId="0" applyFont="1" applyFill="1" applyBorder="1" applyAlignment="1">
      <alignment horizontal="left" vertical="top"/>
    </xf>
    <xf numFmtId="0" fontId="0" fillId="0" borderId="120" xfId="0" applyBorder="1"/>
    <xf numFmtId="0" fontId="96" fillId="13" borderId="144" xfId="0" applyFont="1" applyFill="1" applyBorder="1" applyAlignment="1" applyProtection="1">
      <alignment horizontal="left" vertical="top"/>
      <protection locked="0"/>
    </xf>
    <xf numFmtId="0" fontId="41" fillId="0" borderId="82" xfId="0" applyFont="1" applyBorder="1" applyAlignment="1" applyProtection="1">
      <alignment horizontal="left" vertical="top"/>
      <protection locked="0"/>
    </xf>
    <xf numFmtId="0" fontId="41" fillId="0" borderId="145" xfId="0" applyFont="1" applyBorder="1" applyAlignment="1" applyProtection="1">
      <alignment horizontal="left" vertical="top"/>
      <protection locked="0"/>
    </xf>
    <xf numFmtId="0" fontId="41" fillId="0" borderId="53" xfId="0" applyFont="1" applyBorder="1" applyAlignment="1" applyProtection="1">
      <alignment horizontal="left" vertical="top"/>
      <protection locked="0"/>
    </xf>
    <xf numFmtId="0" fontId="0" fillId="0" borderId="120" xfId="0" applyBorder="1" applyAlignment="1">
      <alignment horizontal="justify"/>
    </xf>
    <xf numFmtId="0" fontId="0" fillId="0" borderId="87" xfId="0" applyBorder="1" applyAlignment="1">
      <alignment horizontal="justify"/>
    </xf>
    <xf numFmtId="0" fontId="0" fillId="0" borderId="145" xfId="0" applyBorder="1" applyAlignment="1">
      <alignment horizontal="justify" wrapText="1"/>
    </xf>
    <xf numFmtId="0" fontId="0" fillId="0" borderId="145" xfId="0" applyBorder="1" applyAlignment="1">
      <alignment horizontal="justify"/>
    </xf>
    <xf numFmtId="0" fontId="0" fillId="0" borderId="86" xfId="0" applyBorder="1" applyAlignment="1">
      <alignment horizontal="justify"/>
    </xf>
    <xf numFmtId="0" fontId="0" fillId="0" borderId="145" xfId="0" applyBorder="1" applyAlignment="1" applyProtection="1">
      <alignment horizontal="justify"/>
      <protection locked="0"/>
    </xf>
    <xf numFmtId="0" fontId="0" fillId="0" borderId="133" xfId="0" applyBorder="1" applyAlignment="1">
      <alignment horizontal="justify"/>
    </xf>
    <xf numFmtId="0" fontId="0" fillId="0" borderId="146" xfId="0" applyBorder="1" applyAlignment="1">
      <alignment horizontal="justify"/>
    </xf>
    <xf numFmtId="0" fontId="0" fillId="0" borderId="120" xfId="0" applyBorder="1" applyAlignment="1">
      <alignment horizontal="justify" wrapText="1"/>
    </xf>
    <xf numFmtId="0" fontId="0" fillId="0" borderId="146" xfId="0" applyBorder="1" applyAlignment="1">
      <alignment horizontal="justify" wrapText="1"/>
    </xf>
    <xf numFmtId="0" fontId="0" fillId="0" borderId="85" xfId="0" applyBorder="1" applyAlignment="1">
      <alignment horizontal="justify"/>
    </xf>
    <xf numFmtId="0" fontId="0" fillId="0" borderId="82" xfId="0" applyBorder="1" applyAlignment="1">
      <alignment horizontal="justify"/>
    </xf>
    <xf numFmtId="0" fontId="0" fillId="0" borderId="84" xfId="0" applyBorder="1" applyAlignment="1">
      <alignment horizontal="justify"/>
    </xf>
    <xf numFmtId="0" fontId="0" fillId="0" borderId="82" xfId="0" applyBorder="1" applyAlignment="1">
      <alignment horizontal="justify" wrapText="1"/>
    </xf>
    <xf numFmtId="0" fontId="114" fillId="0" borderId="65" xfId="0" applyFont="1" applyBorder="1" applyAlignment="1">
      <alignment wrapText="1"/>
    </xf>
    <xf numFmtId="0" fontId="14" fillId="0" borderId="12" xfId="0" applyFont="1" applyBorder="1" applyAlignment="1">
      <alignment horizontal="center" vertical="center"/>
    </xf>
    <xf numFmtId="0" fontId="41" fillId="0" borderId="0" xfId="0" applyFont="1" applyAlignment="1" applyProtection="1">
      <alignment horizontal="center" vertical="center"/>
      <protection locked="0"/>
    </xf>
    <xf numFmtId="0" fontId="14" fillId="0" borderId="19" xfId="0" applyFont="1" applyBorder="1" applyAlignment="1" applyProtection="1">
      <alignment horizontal="center" vertical="center"/>
      <protection locked="0"/>
    </xf>
    <xf numFmtId="0" fontId="98" fillId="0" borderId="0" xfId="0" applyFont="1" applyAlignment="1">
      <alignment horizontal="center" vertical="center"/>
    </xf>
    <xf numFmtId="0" fontId="0" fillId="0" borderId="19" xfId="0" applyBorder="1" applyAlignment="1">
      <alignment horizontal="center" vertical="center"/>
    </xf>
    <xf numFmtId="0" fontId="41" fillId="0" borderId="0" xfId="0" applyFont="1" applyAlignment="1" applyProtection="1">
      <alignment horizontal="center" vertical="top"/>
      <protection locked="0"/>
    </xf>
    <xf numFmtId="0" fontId="115" fillId="0" borderId="147" xfId="0" applyFont="1" applyBorder="1" applyAlignment="1">
      <alignment vertical="top" wrapText="1"/>
    </xf>
    <xf numFmtId="0" fontId="115" fillId="0" borderId="150" xfId="0" applyFont="1" applyBorder="1" applyAlignment="1">
      <alignment vertical="top" wrapText="1"/>
    </xf>
    <xf numFmtId="0" fontId="115" fillId="0" borderId="12" xfId="0" applyFont="1" applyBorder="1" applyAlignment="1">
      <alignment vertical="top" wrapText="1"/>
    </xf>
    <xf numFmtId="0" fontId="115" fillId="0" borderId="151" xfId="0" applyFont="1" applyBorder="1" applyAlignment="1">
      <alignment vertical="top" wrapText="1"/>
    </xf>
    <xf numFmtId="0" fontId="117" fillId="0" borderId="12" xfId="0" applyFont="1" applyBorder="1" applyAlignment="1">
      <alignment vertical="top" wrapText="1"/>
    </xf>
    <xf numFmtId="0" fontId="117" fillId="0" borderId="151" xfId="0" applyFont="1" applyBorder="1" applyAlignment="1">
      <alignment vertical="top" wrapText="1"/>
    </xf>
    <xf numFmtId="0" fontId="24" fillId="0" borderId="12" xfId="0" applyFont="1" applyBorder="1" applyAlignment="1">
      <alignment vertical="top" wrapText="1"/>
    </xf>
    <xf numFmtId="0" fontId="118" fillId="0" borderId="12" xfId="0" applyFont="1" applyBorder="1" applyAlignment="1">
      <alignment vertical="top" wrapText="1"/>
    </xf>
    <xf numFmtId="0" fontId="118" fillId="0" borderId="151" xfId="0" applyFont="1" applyBorder="1" applyAlignment="1">
      <alignment vertical="top" wrapText="1"/>
    </xf>
    <xf numFmtId="0" fontId="115" fillId="0" borderId="152" xfId="0" applyFont="1" applyBorder="1" applyAlignment="1">
      <alignment vertical="top" wrapText="1"/>
    </xf>
    <xf numFmtId="0" fontId="115" fillId="0" borderId="153" xfId="0" applyFont="1" applyBorder="1" applyAlignment="1">
      <alignment vertical="top" wrapText="1"/>
    </xf>
    <xf numFmtId="0" fontId="117" fillId="0" borderId="153" xfId="0" applyFont="1" applyBorder="1" applyAlignment="1">
      <alignment vertical="top" wrapText="1"/>
    </xf>
    <xf numFmtId="0" fontId="115" fillId="0" borderId="154" xfId="0" applyFont="1" applyBorder="1" applyAlignment="1">
      <alignment vertical="top" wrapText="1"/>
    </xf>
    <xf numFmtId="0" fontId="119" fillId="0" borderId="0" xfId="0" applyFont="1" applyAlignment="1">
      <alignment horizontal="left" indent="15"/>
    </xf>
    <xf numFmtId="0" fontId="0" fillId="0" borderId="53" xfId="0" applyBorder="1" applyAlignment="1">
      <alignment horizontal="center" wrapText="1"/>
    </xf>
    <xf numFmtId="0" fontId="0" fillId="0" borderId="55" xfId="0" applyBorder="1" applyAlignment="1">
      <alignment horizontal="center" wrapText="1"/>
    </xf>
    <xf numFmtId="0" fontId="0" fillId="0" borderId="0" xfId="0" applyAlignment="1" applyProtection="1">
      <alignment horizontal="left" vertical="top" wrapText="1"/>
      <protection locked="0"/>
    </xf>
    <xf numFmtId="0" fontId="0" fillId="0" borderId="56" xfId="0" applyBorder="1" applyAlignment="1">
      <alignment horizontal="center" wrapText="1"/>
    </xf>
    <xf numFmtId="0" fontId="14" fillId="0" borderId="56" xfId="0" applyFont="1" applyBorder="1" applyAlignment="1">
      <alignment horizontal="center" wrapText="1"/>
    </xf>
    <xf numFmtId="0" fontId="0" fillId="0" borderId="55" xfId="0" applyBorder="1" applyAlignment="1">
      <alignment wrapText="1"/>
    </xf>
    <xf numFmtId="0" fontId="0" fillId="0" borderId="50" xfId="0" applyBorder="1" applyAlignment="1">
      <alignment horizontal="center" wrapText="1"/>
    </xf>
    <xf numFmtId="0" fontId="0" fillId="0" borderId="52" xfId="0" applyBorder="1" applyAlignment="1">
      <alignment horizontal="center" wrapText="1"/>
    </xf>
    <xf numFmtId="0" fontId="14" fillId="0" borderId="52" xfId="0" applyFont="1" applyBorder="1" applyAlignment="1">
      <alignment horizontal="center" wrapText="1"/>
    </xf>
    <xf numFmtId="0" fontId="120" fillId="43" borderId="155" xfId="0" applyFont="1" applyFill="1" applyBorder="1" applyAlignment="1">
      <alignment horizontal="center" vertical="center" wrapText="1"/>
    </xf>
    <xf numFmtId="0" fontId="121" fillId="43" borderId="155" xfId="2" applyFill="1" applyBorder="1" applyAlignment="1" applyProtection="1">
      <alignment horizontal="center" vertical="center" wrapText="1"/>
    </xf>
    <xf numFmtId="0" fontId="122" fillId="44" borderId="155" xfId="0" applyFont="1" applyFill="1" applyBorder="1" applyAlignment="1">
      <alignment horizontal="right" wrapText="1"/>
    </xf>
    <xf numFmtId="0" fontId="122" fillId="35" borderId="155" xfId="0" applyFont="1" applyFill="1" applyBorder="1" applyAlignment="1">
      <alignment wrapText="1"/>
    </xf>
    <xf numFmtId="0" fontId="41" fillId="25" borderId="0" xfId="0" applyFont="1" applyFill="1" applyAlignment="1" applyProtection="1">
      <alignment horizontal="left" vertical="top"/>
      <protection locked="0"/>
    </xf>
    <xf numFmtId="0" fontId="122" fillId="35" borderId="155" xfId="0" applyFont="1" applyFill="1" applyBorder="1" applyAlignment="1">
      <alignment vertical="top"/>
    </xf>
    <xf numFmtId="0" fontId="122" fillId="35" borderId="155" xfId="0" applyFont="1" applyFill="1" applyBorder="1" applyAlignment="1">
      <alignment horizontal="left" vertical="top" wrapText="1"/>
    </xf>
    <xf numFmtId="0" fontId="122" fillId="23" borderId="155" xfId="0" applyFont="1" applyFill="1" applyBorder="1" applyAlignment="1">
      <alignment wrapText="1"/>
    </xf>
    <xf numFmtId="0" fontId="122" fillId="23" borderId="155" xfId="0" applyFont="1" applyFill="1" applyBorder="1" applyAlignment="1">
      <alignment vertical="top" wrapText="1"/>
    </xf>
    <xf numFmtId="0" fontId="120" fillId="23" borderId="155" xfId="0" applyFont="1" applyFill="1" applyBorder="1" applyAlignment="1">
      <alignment wrapText="1"/>
    </xf>
    <xf numFmtId="0" fontId="41" fillId="34" borderId="0" xfId="0" applyFont="1" applyFill="1" applyAlignment="1" applyProtection="1">
      <alignment horizontal="left" vertical="top"/>
      <protection locked="0"/>
    </xf>
    <xf numFmtId="0" fontId="122" fillId="45" borderId="155" xfId="0" applyFont="1" applyFill="1" applyBorder="1" applyAlignment="1">
      <alignment wrapText="1"/>
    </xf>
    <xf numFmtId="0" fontId="122" fillId="45" borderId="155" xfId="0" applyFont="1" applyFill="1" applyBorder="1" applyAlignment="1">
      <alignment vertical="top" wrapText="1"/>
    </xf>
    <xf numFmtId="0" fontId="122" fillId="0" borderId="0" xfId="0" applyFont="1" applyAlignment="1" applyProtection="1">
      <alignment horizontal="center" vertical="center"/>
      <protection locked="0"/>
    </xf>
    <xf numFmtId="0" fontId="122" fillId="0" borderId="0" xfId="0" applyFont="1" applyAlignment="1" applyProtection="1">
      <alignment vertical="top" wrapText="1"/>
      <protection locked="0"/>
    </xf>
    <xf numFmtId="0" fontId="23" fillId="0" borderId="0" xfId="0" applyFont="1" applyAlignment="1">
      <alignment horizontal="center" vertical="center"/>
    </xf>
    <xf numFmtId="0" fontId="95" fillId="0" borderId="0" xfId="0" applyFont="1" applyAlignment="1">
      <alignment horizontal="center" vertical="center"/>
    </xf>
    <xf numFmtId="0" fontId="24" fillId="40" borderId="156" xfId="0" applyFont="1" applyFill="1" applyBorder="1" applyAlignment="1">
      <alignment horizontal="center" vertical="center"/>
    </xf>
    <xf numFmtId="170" fontId="24" fillId="40" borderId="156" xfId="0" applyNumberFormat="1" applyFont="1" applyFill="1" applyBorder="1" applyAlignment="1">
      <alignment horizontal="center" vertical="center"/>
    </xf>
    <xf numFmtId="0" fontId="24" fillId="40" borderId="157" xfId="0" applyFont="1" applyFill="1" applyBorder="1" applyAlignment="1">
      <alignment horizontal="center" vertical="center"/>
    </xf>
    <xf numFmtId="0" fontId="24" fillId="40" borderId="158" xfId="0" applyFont="1" applyFill="1" applyBorder="1" applyAlignment="1">
      <alignment horizontal="center" vertical="center"/>
    </xf>
    <xf numFmtId="0" fontId="23" fillId="45" borderId="158" xfId="0" applyFont="1" applyFill="1" applyBorder="1" applyAlignment="1">
      <alignment horizontal="center" vertical="center"/>
    </xf>
    <xf numFmtId="0" fontId="123" fillId="45" borderId="158" xfId="0" applyFont="1" applyFill="1" applyBorder="1" applyAlignment="1">
      <alignment horizontal="center" vertical="center"/>
    </xf>
    <xf numFmtId="0" fontId="124" fillId="45" borderId="159" xfId="0" applyFont="1" applyFill="1" applyBorder="1" applyAlignment="1">
      <alignment horizontal="center" vertical="center"/>
    </xf>
    <xf numFmtId="0" fontId="23" fillId="46" borderId="158" xfId="0" applyFont="1" applyFill="1" applyBorder="1" applyAlignment="1">
      <alignment horizontal="center" vertical="center"/>
    </xf>
    <xf numFmtId="0" fontId="123" fillId="46" borderId="158" xfId="0" applyFont="1" applyFill="1" applyBorder="1" applyAlignment="1">
      <alignment horizontal="center" vertical="center"/>
    </xf>
    <xf numFmtId="0" fontId="124" fillId="46" borderId="158" xfId="0" applyFont="1" applyFill="1" applyBorder="1" applyAlignment="1">
      <alignment horizontal="center" vertical="center"/>
    </xf>
    <xf numFmtId="0" fontId="23" fillId="46" borderId="159" xfId="0" applyFont="1" applyFill="1" applyBorder="1" applyAlignment="1">
      <alignment horizontal="center" vertical="center"/>
    </xf>
    <xf numFmtId="0" fontId="124" fillId="45" borderId="158" xfId="0" applyFont="1" applyFill="1" applyBorder="1" applyAlignment="1">
      <alignment horizontal="center" vertical="center"/>
    </xf>
    <xf numFmtId="0" fontId="23" fillId="45" borderId="159" xfId="0" applyFont="1" applyFill="1" applyBorder="1" applyAlignment="1">
      <alignment horizontal="center" vertical="center"/>
    </xf>
    <xf numFmtId="0" fontId="23" fillId="46" borderId="159" xfId="0" applyFont="1" applyFill="1" applyBorder="1" applyAlignment="1">
      <alignment horizontal="center" vertical="center" wrapText="1"/>
    </xf>
    <xf numFmtId="0" fontId="124" fillId="46" borderId="159" xfId="0" applyFont="1" applyFill="1" applyBorder="1" applyAlignment="1">
      <alignment horizontal="center" vertical="center"/>
    </xf>
    <xf numFmtId="0" fontId="24" fillId="40" borderId="160" xfId="0" applyFont="1" applyFill="1" applyBorder="1" applyAlignment="1">
      <alignment horizontal="center" vertical="center"/>
    </xf>
    <xf numFmtId="0" fontId="23" fillId="46" borderId="160" xfId="0" applyFont="1" applyFill="1" applyBorder="1" applyAlignment="1">
      <alignment horizontal="center" vertical="center"/>
    </xf>
    <xf numFmtId="0" fontId="123" fillId="46" borderId="160" xfId="0" applyFont="1" applyFill="1" applyBorder="1" applyAlignment="1">
      <alignment horizontal="center" vertical="center"/>
    </xf>
    <xf numFmtId="0" fontId="124" fillId="46" borderId="160" xfId="0" applyFont="1" applyFill="1" applyBorder="1" applyAlignment="1">
      <alignment horizontal="center" vertical="center"/>
    </xf>
    <xf numFmtId="0" fontId="23" fillId="46" borderId="0" xfId="0" applyFont="1" applyFill="1" applyAlignment="1">
      <alignment horizontal="center" vertical="center"/>
    </xf>
    <xf numFmtId="0" fontId="74" fillId="48" borderId="12" xfId="0" applyFont="1" applyFill="1" applyBorder="1" applyAlignment="1">
      <alignment horizontal="center" wrapText="1"/>
    </xf>
    <xf numFmtId="0" fontId="74" fillId="39" borderId="12" xfId="0" applyFont="1" applyFill="1" applyBorder="1" applyAlignment="1">
      <alignment horizontal="center" wrapText="1"/>
    </xf>
    <xf numFmtId="0" fontId="74" fillId="0" borderId="12" xfId="0" applyFont="1" applyBorder="1" applyAlignment="1">
      <alignment horizontal="center" wrapText="1"/>
    </xf>
    <xf numFmtId="0" fontId="127" fillId="48" borderId="12" xfId="0" applyFont="1" applyFill="1" applyBorder="1" applyAlignment="1">
      <alignment horizontal="center" wrapText="1"/>
    </xf>
    <xf numFmtId="0" fontId="127" fillId="0" borderId="12" xfId="0" applyFont="1" applyBorder="1" applyAlignment="1">
      <alignment horizontal="center" wrapText="1"/>
    </xf>
    <xf numFmtId="0" fontId="127" fillId="39" borderId="12" xfId="0" applyFont="1" applyFill="1" applyBorder="1" applyAlignment="1">
      <alignment horizontal="center" wrapText="1"/>
    </xf>
    <xf numFmtId="0" fontId="128" fillId="0" borderId="0" xfId="0" applyFont="1" applyAlignment="1" applyProtection="1">
      <alignment horizontal="left" vertical="top"/>
      <protection locked="0"/>
    </xf>
    <xf numFmtId="0" fontId="82" fillId="0" borderId="56" xfId="0" applyFont="1" applyBorder="1" applyAlignment="1">
      <alignment vertical="top" wrapText="1"/>
    </xf>
    <xf numFmtId="0" fontId="82" fillId="0" borderId="55" xfId="0" applyFont="1" applyBorder="1" applyAlignment="1">
      <alignment vertical="top" wrapText="1"/>
    </xf>
    <xf numFmtId="0" fontId="82" fillId="0" borderId="53" xfId="0" applyFont="1" applyBorder="1" applyAlignment="1" applyProtection="1">
      <alignment vertical="top" wrapText="1"/>
      <protection locked="0"/>
    </xf>
    <xf numFmtId="0" fontId="41" fillId="0" borderId="56" xfId="0" applyFont="1" applyBorder="1" applyAlignment="1">
      <alignment vertical="top" wrapText="1"/>
    </xf>
    <xf numFmtId="0" fontId="41" fillId="0" borderId="55" xfId="0" applyFont="1" applyBorder="1" applyAlignment="1">
      <alignment vertical="top" wrapText="1"/>
    </xf>
    <xf numFmtId="0" fontId="41" fillId="0" borderId="52" xfId="0" applyFont="1" applyBorder="1" applyAlignment="1" applyProtection="1">
      <alignment vertical="top" wrapText="1"/>
      <protection locked="0"/>
    </xf>
    <xf numFmtId="0" fontId="41" fillId="25" borderId="52" xfId="0" applyFont="1" applyFill="1" applyBorder="1" applyAlignment="1" applyProtection="1">
      <alignment vertical="top" wrapText="1"/>
      <protection locked="0"/>
    </xf>
    <xf numFmtId="0" fontId="41" fillId="0" borderId="52" xfId="0" applyFont="1" applyBorder="1" applyAlignment="1">
      <alignment vertical="top" wrapText="1"/>
    </xf>
    <xf numFmtId="0" fontId="41" fillId="0" borderId="0" xfId="0" applyFont="1" applyAlignment="1">
      <alignment vertical="top" wrapText="1"/>
    </xf>
    <xf numFmtId="170" fontId="41" fillId="0" borderId="0" xfId="0" applyNumberFormat="1" applyFont="1" applyAlignment="1" applyProtection="1">
      <alignment horizontal="left" vertical="top"/>
      <protection locked="0"/>
    </xf>
    <xf numFmtId="0" fontId="103" fillId="0" borderId="135" xfId="0" applyFont="1" applyBorder="1" applyAlignment="1" applyProtection="1">
      <alignment horizontal="left" vertical="top"/>
      <protection locked="0"/>
    </xf>
    <xf numFmtId="0" fontId="41" fillId="0" borderId="162" xfId="0" applyFont="1" applyBorder="1" applyAlignment="1" applyProtection="1">
      <alignment horizontal="left" vertical="top"/>
      <protection locked="0"/>
    </xf>
    <xf numFmtId="0" fontId="82" fillId="0" borderId="162" xfId="0" applyFont="1" applyBorder="1" applyAlignment="1" applyProtection="1">
      <alignment horizontal="left" vertical="top"/>
      <protection locked="0"/>
    </xf>
    <xf numFmtId="0" fontId="82" fillId="0" borderId="135" xfId="0" applyFont="1" applyBorder="1" applyAlignment="1" applyProtection="1">
      <alignment horizontal="left" vertical="top"/>
      <protection locked="0"/>
    </xf>
    <xf numFmtId="0" fontId="41" fillId="33" borderId="132" xfId="0" applyFont="1" applyFill="1" applyBorder="1" applyAlignment="1">
      <alignment horizontal="left" vertical="top"/>
    </xf>
    <xf numFmtId="0" fontId="41" fillId="0" borderId="132" xfId="0" applyFont="1" applyBorder="1" applyAlignment="1">
      <alignment horizontal="left" vertical="top"/>
    </xf>
    <xf numFmtId="0" fontId="41" fillId="33" borderId="163" xfId="0" applyFont="1" applyFill="1" applyBorder="1" applyAlignment="1">
      <alignment horizontal="left" vertical="top"/>
    </xf>
    <xf numFmtId="0" fontId="91" fillId="0" borderId="164" xfId="0" applyFont="1" applyBorder="1" applyAlignment="1">
      <alignment horizontal="left" vertical="top" shrinkToFit="1"/>
    </xf>
    <xf numFmtId="0" fontId="39" fillId="0" borderId="0" xfId="0" applyFont="1" applyAlignment="1">
      <alignment vertical="center"/>
    </xf>
    <xf numFmtId="1" fontId="38" fillId="0" borderId="165" xfId="0" applyNumberFormat="1" applyFont="1" applyBorder="1" applyAlignment="1">
      <alignment horizontal="center" vertical="center" wrapText="1"/>
    </xf>
    <xf numFmtId="1" fontId="38" fillId="0" borderId="166" xfId="0" applyNumberFormat="1" applyFont="1" applyBorder="1" applyAlignment="1">
      <alignment horizontal="center" vertical="center" wrapText="1"/>
    </xf>
    <xf numFmtId="1" fontId="38" fillId="0" borderId="167" xfId="0" applyNumberFormat="1" applyFont="1" applyBorder="1" applyAlignment="1">
      <alignment horizontal="center" vertical="center" wrapText="1"/>
    </xf>
    <xf numFmtId="1" fontId="39" fillId="0" borderId="47" xfId="0" applyNumberFormat="1" applyFont="1" applyBorder="1" applyAlignment="1">
      <alignment horizontal="center" vertical="center" wrapText="1"/>
    </xf>
    <xf numFmtId="1" fontId="38" fillId="0" borderId="168" xfId="0" applyNumberFormat="1" applyFont="1" applyBorder="1" applyAlignment="1">
      <alignment horizontal="center" vertical="center" wrapText="1"/>
    </xf>
    <xf numFmtId="1" fontId="39" fillId="0" borderId="168" xfId="0" applyNumberFormat="1" applyFont="1" applyBorder="1" applyAlignment="1">
      <alignment horizontal="center" vertical="center" wrapText="1"/>
    </xf>
    <xf numFmtId="1" fontId="39" fillId="0" borderId="169" xfId="0" applyNumberFormat="1" applyFont="1" applyBorder="1" applyAlignment="1">
      <alignment horizontal="center" vertical="center" wrapText="1"/>
    </xf>
    <xf numFmtId="1" fontId="39" fillId="0" borderId="170" xfId="0" applyNumberFormat="1" applyFont="1" applyBorder="1" applyAlignment="1">
      <alignment horizontal="center" vertical="center" wrapText="1"/>
    </xf>
    <xf numFmtId="1" fontId="39" fillId="0" borderId="165" xfId="0" applyNumberFormat="1" applyFont="1" applyBorder="1" applyAlignment="1">
      <alignment horizontal="center" vertical="center" wrapText="1"/>
    </xf>
    <xf numFmtId="1" fontId="39" fillId="0" borderId="171" xfId="0" applyNumberFormat="1" applyFont="1" applyBorder="1" applyAlignment="1">
      <alignment horizontal="center" vertical="center" wrapText="1"/>
    </xf>
    <xf numFmtId="1" fontId="38" fillId="0" borderId="170" xfId="0" applyNumberFormat="1" applyFont="1" applyBorder="1" applyAlignment="1">
      <alignment horizontal="center" vertical="center" wrapText="1"/>
    </xf>
    <xf numFmtId="1" fontId="39" fillId="0" borderId="172" xfId="0" applyNumberFormat="1" applyFont="1" applyBorder="1" applyAlignment="1">
      <alignment horizontal="center" vertical="center" wrapText="1"/>
    </xf>
    <xf numFmtId="1" fontId="38" fillId="0" borderId="173" xfId="0" applyNumberFormat="1" applyFont="1" applyBorder="1" applyAlignment="1">
      <alignment horizontal="center" vertical="center" wrapText="1"/>
    </xf>
    <xf numFmtId="1" fontId="39" fillId="0" borderId="173" xfId="0" applyNumberFormat="1" applyFont="1" applyBorder="1" applyAlignment="1">
      <alignment horizontal="center" vertical="center" wrapText="1"/>
    </xf>
    <xf numFmtId="1" fontId="39" fillId="0" borderId="174" xfId="0" applyNumberFormat="1" applyFont="1" applyBorder="1" applyAlignment="1">
      <alignment horizontal="center" vertical="center" wrapText="1"/>
    </xf>
    <xf numFmtId="1" fontId="38" fillId="0" borderId="175" xfId="0" applyNumberFormat="1" applyFont="1" applyBorder="1" applyAlignment="1">
      <alignment horizontal="center" vertical="center" wrapText="1"/>
    </xf>
    <xf numFmtId="1" fontId="38" fillId="0" borderId="176" xfId="0" applyNumberFormat="1" applyFont="1" applyBorder="1" applyAlignment="1">
      <alignment horizontal="center" vertical="center" wrapText="1"/>
    </xf>
    <xf numFmtId="1" fontId="38" fillId="0" borderId="177" xfId="0" applyNumberFormat="1" applyFont="1" applyBorder="1" applyAlignment="1">
      <alignment horizontal="center" vertical="center" wrapText="1"/>
    </xf>
    <xf numFmtId="0" fontId="175" fillId="0" borderId="0" xfId="304"/>
    <xf numFmtId="0" fontId="51" fillId="0" borderId="0" xfId="304" applyFont="1"/>
    <xf numFmtId="0" fontId="69" fillId="0" borderId="0" xfId="304" applyFont="1" applyAlignment="1">
      <alignment horizontal="center" wrapText="1"/>
    </xf>
    <xf numFmtId="0" fontId="69" fillId="0" borderId="47" xfId="304" applyFont="1" applyBorder="1" applyAlignment="1">
      <alignment horizontal="center" wrapText="1"/>
    </xf>
    <xf numFmtId="0" fontId="175" fillId="0" borderId="48" xfId="304" applyBorder="1" applyAlignment="1">
      <alignment horizontal="center"/>
    </xf>
    <xf numFmtId="0" fontId="175" fillId="0" borderId="49" xfId="304" applyBorder="1" applyAlignment="1">
      <alignment horizontal="center"/>
    </xf>
    <xf numFmtId="0" fontId="175" fillId="0" borderId="84" xfId="304" applyBorder="1"/>
    <xf numFmtId="0" fontId="175" fillId="0" borderId="85" xfId="304" applyBorder="1"/>
    <xf numFmtId="0" fontId="69" fillId="0" borderId="51" xfId="304" applyFont="1" applyBorder="1" applyAlignment="1">
      <alignment horizontal="center" wrapText="1"/>
    </xf>
    <xf numFmtId="0" fontId="175" fillId="0" borderId="0" xfId="304" applyAlignment="1">
      <alignment horizontal="center"/>
    </xf>
    <xf numFmtId="0" fontId="175" fillId="0" borderId="52" xfId="304" applyBorder="1" applyAlignment="1">
      <alignment horizontal="center"/>
    </xf>
    <xf numFmtId="0" fontId="175" fillId="0" borderId="9" xfId="304" applyBorder="1"/>
    <xf numFmtId="0" fontId="175" fillId="0" borderId="83" xfId="304" applyBorder="1"/>
    <xf numFmtId="199" fontId="175" fillId="25" borderId="0" xfId="304" applyNumberFormat="1" applyFill="1"/>
    <xf numFmtId="0" fontId="69" fillId="0" borderId="54" xfId="304" applyFont="1" applyBorder="1" applyAlignment="1">
      <alignment horizontal="center" wrapText="1"/>
    </xf>
    <xf numFmtId="0" fontId="175" fillId="0" borderId="55" xfId="304" applyBorder="1" applyAlignment="1">
      <alignment horizontal="center"/>
    </xf>
    <xf numFmtId="0" fontId="175" fillId="0" borderId="56" xfId="304" applyBorder="1" applyAlignment="1">
      <alignment horizontal="center"/>
    </xf>
    <xf numFmtId="0" fontId="175" fillId="0" borderId="86" xfId="304" applyBorder="1"/>
    <xf numFmtId="0" fontId="175" fillId="0" borderId="87" xfId="304" applyBorder="1"/>
    <xf numFmtId="0" fontId="175" fillId="0" borderId="178" xfId="304" applyBorder="1"/>
    <xf numFmtId="0" fontId="175" fillId="24" borderId="12" xfId="304" applyFill="1" applyBorder="1"/>
    <xf numFmtId="0" fontId="175" fillId="24" borderId="179" xfId="304" applyFill="1" applyBorder="1"/>
    <xf numFmtId="0" fontId="175" fillId="0" borderId="49" xfId="304" applyBorder="1"/>
    <xf numFmtId="0" fontId="175" fillId="0" borderId="12" xfId="304" applyBorder="1"/>
    <xf numFmtId="0" fontId="175" fillId="0" borderId="52" xfId="304" applyBorder="1"/>
    <xf numFmtId="199" fontId="175" fillId="0" borderId="0" xfId="304" applyNumberFormat="1"/>
    <xf numFmtId="0" fontId="175" fillId="0" borderId="68" xfId="304" applyBorder="1"/>
    <xf numFmtId="0" fontId="175" fillId="24" borderId="21" xfId="304" applyFill="1" applyBorder="1"/>
    <xf numFmtId="0" fontId="175" fillId="0" borderId="21" xfId="304" applyBorder="1"/>
    <xf numFmtId="0" fontId="175" fillId="24" borderId="69" xfId="304" applyFill="1" applyBorder="1"/>
    <xf numFmtId="0" fontId="175" fillId="0" borderId="56" xfId="304" applyBorder="1"/>
    <xf numFmtId="0" fontId="175" fillId="0" borderId="66" xfId="304" applyBorder="1"/>
    <xf numFmtId="0" fontId="175" fillId="24" borderId="180" xfId="304" applyFill="1" applyBorder="1"/>
    <xf numFmtId="0" fontId="175" fillId="0" borderId="180" xfId="304" applyBorder="1"/>
    <xf numFmtId="0" fontId="175" fillId="24" borderId="67" xfId="304" applyFill="1" applyBorder="1"/>
    <xf numFmtId="0" fontId="175" fillId="0" borderId="73" xfId="304" applyBorder="1"/>
    <xf numFmtId="0" fontId="175" fillId="24" borderId="181" xfId="304" applyFill="1" applyBorder="1"/>
    <xf numFmtId="0" fontId="175" fillId="0" borderId="181" xfId="304" applyBorder="1"/>
    <xf numFmtId="0" fontId="175" fillId="24" borderId="74" xfId="304" applyFill="1" applyBorder="1"/>
    <xf numFmtId="0" fontId="175" fillId="24" borderId="178" xfId="304" applyFill="1" applyBorder="1"/>
    <xf numFmtId="0" fontId="175" fillId="0" borderId="51" xfId="304" applyBorder="1"/>
    <xf numFmtId="0" fontId="175" fillId="0" borderId="47" xfId="304" applyBorder="1"/>
    <xf numFmtId="0" fontId="175" fillId="0" borderId="48" xfId="304" applyBorder="1"/>
    <xf numFmtId="0" fontId="175" fillId="0" borderId="54" xfId="304" applyBorder="1"/>
    <xf numFmtId="0" fontId="175" fillId="0" borderId="55" xfId="304" applyBorder="1"/>
    <xf numFmtId="200" fontId="20" fillId="22" borderId="57" xfId="0" applyNumberFormat="1" applyFont="1" applyFill="1" applyBorder="1"/>
    <xf numFmtId="200" fontId="20" fillId="0" borderId="0" xfId="0" applyNumberFormat="1" applyFont="1"/>
    <xf numFmtId="200" fontId="130" fillId="38" borderId="95" xfId="0" applyNumberFormat="1" applyFont="1" applyFill="1" applyBorder="1" applyAlignment="1">
      <alignment horizontal="center"/>
    </xf>
    <xf numFmtId="0" fontId="130" fillId="38" borderId="96" xfId="0" applyFont="1" applyFill="1" applyBorder="1" applyAlignment="1">
      <alignment horizontal="center"/>
    </xf>
    <xf numFmtId="0" fontId="130" fillId="38" borderId="97" xfId="0" applyFont="1" applyFill="1" applyBorder="1" applyAlignment="1">
      <alignment horizontal="center"/>
    </xf>
    <xf numFmtId="200" fontId="50" fillId="29" borderId="100" xfId="0" applyNumberFormat="1" applyFont="1" applyFill="1" applyBorder="1"/>
    <xf numFmtId="0" fontId="53" fillId="0" borderId="101" xfId="0" applyFont="1" applyBorder="1" applyAlignment="1">
      <alignment horizontal="center"/>
    </xf>
    <xf numFmtId="0" fontId="131" fillId="0" borderId="101" xfId="0" applyFont="1" applyBorder="1" applyAlignment="1">
      <alignment horizontal="center"/>
    </xf>
    <xf numFmtId="0" fontId="131" fillId="22" borderId="101" xfId="0" applyFont="1" applyFill="1" applyBorder="1" applyAlignment="1">
      <alignment horizontal="center"/>
    </xf>
    <xf numFmtId="0" fontId="131" fillId="22" borderId="102" xfId="0" applyFont="1" applyFill="1" applyBorder="1" applyAlignment="1">
      <alignment horizontal="center"/>
    </xf>
    <xf numFmtId="200" fontId="50" fillId="29" borderId="106" xfId="0" applyNumberFormat="1" applyFont="1" applyFill="1" applyBorder="1"/>
    <xf numFmtId="0" fontId="131" fillId="22" borderId="107" xfId="0" applyFont="1" applyFill="1" applyBorder="1" applyAlignment="1">
      <alignment horizontal="center"/>
    </xf>
    <xf numFmtId="0" fontId="131" fillId="22" borderId="108" xfId="0" applyFont="1" applyFill="1" applyBorder="1" applyAlignment="1">
      <alignment horizontal="center"/>
    </xf>
    <xf numFmtId="0" fontId="47" fillId="7" borderId="0" xfId="0" applyFont="1" applyFill="1" applyAlignment="1">
      <alignment horizontal="left"/>
    </xf>
    <xf numFmtId="0" fontId="0" fillId="7" borderId="0" xfId="0" applyFill="1"/>
    <xf numFmtId="0" fontId="20" fillId="7" borderId="0" xfId="0" applyFont="1" applyFill="1"/>
    <xf numFmtId="0" fontId="20" fillId="22" borderId="12" xfId="0" applyFont="1" applyFill="1" applyBorder="1" applyAlignment="1">
      <alignment horizontal="center"/>
    </xf>
    <xf numFmtId="0" fontId="132" fillId="0" borderId="0" xfId="0" applyFont="1" applyAlignment="1">
      <alignment horizontal="center"/>
    </xf>
    <xf numFmtId="0" fontId="20" fillId="0" borderId="0" xfId="0" applyFont="1" applyAlignment="1">
      <alignment horizontal="center"/>
    </xf>
    <xf numFmtId="0" fontId="20" fillId="23" borderId="12" xfId="0" applyFont="1" applyFill="1" applyBorder="1" applyAlignment="1">
      <alignment horizontal="center"/>
    </xf>
    <xf numFmtId="0" fontId="20" fillId="0" borderId="13" xfId="0" applyFont="1" applyBorder="1" applyAlignment="1">
      <alignment horizontal="center"/>
    </xf>
    <xf numFmtId="0" fontId="0" fillId="25" borderId="0" xfId="0" applyFill="1" applyAlignment="1">
      <alignment horizontal="center"/>
    </xf>
    <xf numFmtId="0" fontId="20" fillId="25" borderId="0" xfId="0" applyFont="1" applyFill="1" applyAlignment="1">
      <alignment horizontal="center"/>
    </xf>
    <xf numFmtId="2" fontId="20" fillId="25" borderId="0" xfId="0" applyNumberFormat="1" applyFont="1" applyFill="1" applyAlignment="1">
      <alignment horizontal="center"/>
    </xf>
    <xf numFmtId="0" fontId="0" fillId="5" borderId="0" xfId="0" applyFill="1" applyAlignment="1">
      <alignment horizontal="center" wrapText="1"/>
    </xf>
    <xf numFmtId="0" fontId="17" fillId="0" borderId="0" xfId="0" applyFont="1" applyAlignment="1">
      <alignment horizontal="center"/>
    </xf>
    <xf numFmtId="201" fontId="0" fillId="0" borderId="0" xfId="0" applyNumberFormat="1" applyAlignment="1">
      <alignment horizontal="center"/>
    </xf>
    <xf numFmtId="0" fontId="20" fillId="23" borderId="66" xfId="0" applyFont="1" applyFill="1" applyBorder="1" applyAlignment="1">
      <alignment horizontal="center"/>
    </xf>
    <xf numFmtId="200" fontId="0" fillId="0" borderId="54" xfId="0" applyNumberFormat="1" applyBorder="1" applyAlignment="1">
      <alignment horizontal="center"/>
    </xf>
    <xf numFmtId="200" fontId="0" fillId="0" borderId="55" xfId="0" applyNumberFormat="1" applyBorder="1" applyAlignment="1">
      <alignment horizontal="center"/>
    </xf>
    <xf numFmtId="200" fontId="0" fillId="0" borderId="56" xfId="0" applyNumberFormat="1" applyBorder="1" applyAlignment="1">
      <alignment horizontal="center"/>
    </xf>
    <xf numFmtId="0" fontId="0" fillId="7" borderId="0" xfId="0" applyFill="1" applyAlignment="1">
      <alignment horizontal="center"/>
    </xf>
    <xf numFmtId="200" fontId="0" fillId="0" borderId="0" xfId="0" applyNumberFormat="1" applyAlignment="1">
      <alignment horizontal="center"/>
    </xf>
    <xf numFmtId="200" fontId="133" fillId="0" borderId="0" xfId="0" applyNumberFormat="1" applyFont="1"/>
    <xf numFmtId="0" fontId="0" fillId="5" borderId="0" xfId="0" applyFill="1" applyAlignment="1">
      <alignment horizontal="center"/>
    </xf>
    <xf numFmtId="171" fontId="0" fillId="0" borderId="0" xfId="0" applyNumberFormat="1" applyAlignment="1">
      <alignment horizontal="center"/>
    </xf>
    <xf numFmtId="172" fontId="0" fillId="0" borderId="0" xfId="0" applyNumberFormat="1" applyAlignment="1">
      <alignment horizontal="center"/>
    </xf>
    <xf numFmtId="172" fontId="17" fillId="0" borderId="0" xfId="0" applyNumberFormat="1" applyFont="1" applyAlignment="1">
      <alignment horizontal="center"/>
    </xf>
    <xf numFmtId="190" fontId="0" fillId="0" borderId="0" xfId="0" applyNumberFormat="1" applyAlignment="1">
      <alignment horizontal="center"/>
    </xf>
    <xf numFmtId="2" fontId="20" fillId="0" borderId="0" xfId="0" applyNumberFormat="1" applyFont="1" applyAlignment="1">
      <alignment horizontal="center"/>
    </xf>
    <xf numFmtId="0" fontId="51" fillId="0" borderId="0" xfId="0" applyFont="1" applyAlignment="1">
      <alignment horizontal="center"/>
    </xf>
    <xf numFmtId="0" fontId="134" fillId="24" borderId="12" xfId="0" applyFont="1" applyFill="1" applyBorder="1" applyAlignment="1">
      <alignment horizontal="center" wrapText="1"/>
    </xf>
    <xf numFmtId="0" fontId="134" fillId="49" borderId="12" xfId="0" applyFont="1" applyFill="1" applyBorder="1" applyAlignment="1">
      <alignment horizontal="center" wrapText="1"/>
    </xf>
    <xf numFmtId="0" fontId="134" fillId="45" borderId="12" xfId="0" applyFont="1" applyFill="1" applyBorder="1" applyAlignment="1">
      <alignment horizontal="center" wrapText="1"/>
    </xf>
    <xf numFmtId="0" fontId="134" fillId="50" borderId="12" xfId="0" applyFont="1" applyFill="1" applyBorder="1" applyAlignment="1">
      <alignment horizontal="center" wrapText="1"/>
    </xf>
    <xf numFmtId="0" fontId="134" fillId="35" borderId="12" xfId="0" applyFont="1" applyFill="1" applyBorder="1" applyAlignment="1">
      <alignment horizontal="center" wrapText="1"/>
    </xf>
    <xf numFmtId="0" fontId="134" fillId="25" borderId="12" xfId="0" applyFont="1" applyFill="1" applyBorder="1" applyAlignment="1">
      <alignment horizontal="center" wrapText="1"/>
    </xf>
    <xf numFmtId="0" fontId="134" fillId="24" borderId="22" xfId="0" applyFont="1" applyFill="1" applyBorder="1" applyAlignment="1">
      <alignment horizontal="center" wrapText="1"/>
    </xf>
    <xf numFmtId="0" fontId="134" fillId="24" borderId="161" xfId="0" applyFont="1" applyFill="1" applyBorder="1" applyAlignment="1">
      <alignment horizontal="center" wrapText="1"/>
    </xf>
    <xf numFmtId="0" fontId="134" fillId="24" borderId="12" xfId="0" applyFont="1" applyFill="1" applyBorder="1" applyAlignment="1">
      <alignment horizontal="right" vertical="center" wrapText="1"/>
    </xf>
    <xf numFmtId="0" fontId="135" fillId="7" borderId="182" xfId="0" applyFont="1" applyFill="1" applyBorder="1" applyAlignment="1">
      <alignment horizontal="center" vertical="center" wrapText="1"/>
    </xf>
    <xf numFmtId="0" fontId="136" fillId="15" borderId="12" xfId="0" applyFont="1" applyFill="1" applyBorder="1" applyAlignment="1">
      <alignment horizontal="center" vertical="center" wrapText="1"/>
    </xf>
    <xf numFmtId="0" fontId="136" fillId="15" borderId="182" xfId="0" applyFont="1" applyFill="1" applyBorder="1" applyAlignment="1">
      <alignment horizontal="center" vertical="center" wrapText="1"/>
    </xf>
    <xf numFmtId="0" fontId="135" fillId="7" borderId="183" xfId="0" applyFont="1" applyFill="1" applyBorder="1" applyAlignment="1">
      <alignment horizontal="center" vertical="center" wrapText="1"/>
    </xf>
    <xf numFmtId="0" fontId="134" fillId="24" borderId="161" xfId="0" applyFont="1" applyFill="1" applyBorder="1" applyAlignment="1">
      <alignment horizontal="left" vertical="center" wrapText="1"/>
    </xf>
    <xf numFmtId="0" fontId="134" fillId="17" borderId="12" xfId="0" applyFont="1" applyFill="1" applyBorder="1" applyAlignment="1">
      <alignment horizontal="right" vertical="center" wrapText="1"/>
    </xf>
    <xf numFmtId="0" fontId="135" fillId="7" borderId="12" xfId="0" applyFont="1" applyFill="1" applyBorder="1" applyAlignment="1">
      <alignment horizontal="center" vertical="center" wrapText="1"/>
    </xf>
    <xf numFmtId="0" fontId="136" fillId="15" borderId="22" xfId="0" applyFont="1" applyFill="1" applyBorder="1" applyAlignment="1">
      <alignment horizontal="center" vertical="center" wrapText="1"/>
    </xf>
    <xf numFmtId="0" fontId="134" fillId="17" borderId="161" xfId="0" applyFont="1" applyFill="1" applyBorder="1" applyAlignment="1">
      <alignment horizontal="left" vertical="center" wrapText="1"/>
    </xf>
    <xf numFmtId="0" fontId="134" fillId="25" borderId="12" xfId="0" applyFont="1" applyFill="1" applyBorder="1" applyAlignment="1">
      <alignment horizontal="left" vertical="top" wrapText="1"/>
    </xf>
    <xf numFmtId="0" fontId="134" fillId="25" borderId="12" xfId="0" applyFont="1" applyFill="1" applyBorder="1" applyAlignment="1">
      <alignment horizontal="right" vertical="center" wrapText="1"/>
    </xf>
    <xf numFmtId="0" fontId="136" fillId="11" borderId="12" xfId="0" applyFont="1" applyFill="1" applyBorder="1" applyAlignment="1">
      <alignment horizontal="center" vertical="center" wrapText="1"/>
    </xf>
    <xf numFmtId="0" fontId="136" fillId="11" borderId="182" xfId="0" applyFont="1" applyFill="1" applyBorder="1" applyAlignment="1">
      <alignment horizontal="center" vertical="center" wrapText="1"/>
    </xf>
    <xf numFmtId="0" fontId="136" fillId="15" borderId="183" xfId="0" applyFont="1" applyFill="1" applyBorder="1" applyAlignment="1">
      <alignment horizontal="center" vertical="center" wrapText="1"/>
    </xf>
    <xf numFmtId="0" fontId="134" fillId="17" borderId="12" xfId="0" applyFont="1" applyFill="1" applyBorder="1" applyAlignment="1">
      <alignment horizontal="left" vertical="top" wrapText="1"/>
    </xf>
    <xf numFmtId="0" fontId="134" fillId="45" borderId="161" xfId="0" applyFont="1" applyFill="1" applyBorder="1" applyAlignment="1">
      <alignment horizontal="left" vertical="center" wrapText="1"/>
    </xf>
    <xf numFmtId="0" fontId="134" fillId="49" borderId="12" xfId="0" applyFont="1" applyFill="1" applyBorder="1" applyAlignment="1">
      <alignment horizontal="left" vertical="top" wrapText="1"/>
    </xf>
    <xf numFmtId="0" fontId="134" fillId="45" borderId="12" xfId="0" applyFont="1" applyFill="1" applyBorder="1" applyAlignment="1">
      <alignment horizontal="right" vertical="center" wrapText="1"/>
    </xf>
    <xf numFmtId="0" fontId="134" fillId="25" borderId="161" xfId="0" applyFont="1" applyFill="1" applyBorder="1" applyAlignment="1">
      <alignment horizontal="left" vertical="center" wrapText="1"/>
    </xf>
    <xf numFmtId="0" fontId="134" fillId="45" borderId="12" xfId="0" applyFont="1" applyFill="1" applyBorder="1" applyAlignment="1">
      <alignment horizontal="left" vertical="top" wrapText="1"/>
    </xf>
    <xf numFmtId="0" fontId="134" fillId="24" borderId="12" xfId="0" applyFont="1" applyFill="1" applyBorder="1" applyAlignment="1">
      <alignment horizontal="left" vertical="top" wrapText="1"/>
    </xf>
    <xf numFmtId="0" fontId="134" fillId="35" borderId="12" xfId="0" applyFont="1" applyFill="1" applyBorder="1" applyAlignment="1">
      <alignment horizontal="right" vertical="center" wrapText="1"/>
    </xf>
    <xf numFmtId="0" fontId="134" fillId="35" borderId="161" xfId="0" applyFont="1" applyFill="1" applyBorder="1" applyAlignment="1">
      <alignment horizontal="left" vertical="center" wrapText="1"/>
    </xf>
    <xf numFmtId="0" fontId="134" fillId="50" borderId="12" xfId="0" applyFont="1" applyFill="1" applyBorder="1" applyAlignment="1">
      <alignment horizontal="left" vertical="top" wrapText="1"/>
    </xf>
    <xf numFmtId="0" fontId="134" fillId="49" borderId="161" xfId="0" applyFont="1" applyFill="1" applyBorder="1" applyAlignment="1">
      <alignment horizontal="left" vertical="center" wrapText="1"/>
    </xf>
    <xf numFmtId="0" fontId="134" fillId="35" borderId="12" xfId="0" applyFont="1" applyFill="1" applyBorder="1" applyAlignment="1">
      <alignment horizontal="left" vertical="top" wrapText="1"/>
    </xf>
    <xf numFmtId="0" fontId="134" fillId="24" borderId="12" xfId="0" applyFont="1" applyFill="1" applyBorder="1" applyAlignment="1">
      <alignment vertical="top" wrapText="1"/>
    </xf>
    <xf numFmtId="0" fontId="134" fillId="24" borderId="12" xfId="0" applyFont="1" applyFill="1" applyBorder="1" applyAlignment="1">
      <alignment horizontal="center" vertical="top" wrapText="1"/>
    </xf>
    <xf numFmtId="0" fontId="134" fillId="35" borderId="12" xfId="0" applyFont="1" applyFill="1" applyBorder="1" applyAlignment="1">
      <alignment horizontal="center" vertical="top" wrapText="1"/>
    </xf>
    <xf numFmtId="0" fontId="138" fillId="25" borderId="12" xfId="0" applyFont="1" applyFill="1" applyBorder="1" applyAlignment="1">
      <alignment horizontal="center" vertical="top" wrapText="1"/>
    </xf>
    <xf numFmtId="0" fontId="134" fillId="45" borderId="12" xfId="0" applyFont="1" applyFill="1" applyBorder="1" applyAlignment="1">
      <alignment horizontal="center" vertical="top" wrapText="1"/>
    </xf>
    <xf numFmtId="0" fontId="134" fillId="17" borderId="12" xfId="0" applyFont="1" applyFill="1" applyBorder="1" applyAlignment="1">
      <alignment horizontal="center" vertical="top" wrapText="1"/>
    </xf>
    <xf numFmtId="0" fontId="134" fillId="50" borderId="12" xfId="0" applyFont="1" applyFill="1" applyBorder="1" applyAlignment="1">
      <alignment horizontal="center" vertical="top" wrapText="1"/>
    </xf>
    <xf numFmtId="0" fontId="134" fillId="24" borderId="22" xfId="0" applyFont="1" applyFill="1" applyBorder="1" applyAlignment="1">
      <alignment horizontal="center" vertical="top" wrapText="1"/>
    </xf>
    <xf numFmtId="0" fontId="0" fillId="0" borderId="21" xfId="0" applyBorder="1"/>
    <xf numFmtId="2" fontId="14" fillId="0" borderId="0" xfId="0" applyNumberFormat="1" applyFont="1"/>
    <xf numFmtId="0" fontId="14" fillId="0" borderId="0" xfId="0" applyFont="1" applyAlignment="1">
      <alignment horizontal="right"/>
    </xf>
    <xf numFmtId="2" fontId="0" fillId="0" borderId="12" xfId="0" applyNumberFormat="1" applyBorder="1" applyProtection="1">
      <protection locked="0"/>
    </xf>
    <xf numFmtId="0" fontId="0" fillId="0" borderId="12" xfId="0" applyBorder="1" applyAlignment="1">
      <alignment horizontal="right"/>
    </xf>
    <xf numFmtId="202" fontId="0" fillId="0" borderId="12" xfId="0" applyNumberFormat="1" applyBorder="1"/>
    <xf numFmtId="202" fontId="0" fillId="0" borderId="19" xfId="0" applyNumberFormat="1" applyBorder="1"/>
    <xf numFmtId="0" fontId="0" fillId="25" borderId="0" xfId="0" applyFill="1" applyAlignment="1">
      <alignment horizontal="center" vertical="center"/>
    </xf>
    <xf numFmtId="0" fontId="0" fillId="13" borderId="0" xfId="0" applyFill="1" applyAlignment="1">
      <alignment horizontal="center" vertical="center"/>
    </xf>
    <xf numFmtId="0" fontId="0" fillId="22" borderId="0" xfId="0" applyFill="1" applyAlignment="1">
      <alignment horizontal="center" vertical="center"/>
    </xf>
    <xf numFmtId="0" fontId="0" fillId="28" borderId="0" xfId="0" applyFill="1" applyAlignment="1">
      <alignment horizontal="center" vertical="center"/>
    </xf>
    <xf numFmtId="0" fontId="0" fillId="41" borderId="0" xfId="0" applyFill="1" applyAlignment="1">
      <alignment horizontal="center" vertical="center"/>
    </xf>
    <xf numFmtId="0" fontId="0" fillId="42" borderId="0" xfId="0" applyFill="1" applyAlignment="1">
      <alignment horizontal="center" vertical="center"/>
    </xf>
    <xf numFmtId="0" fontId="0" fillId="31" borderId="0" xfId="0" applyFill="1" applyAlignment="1">
      <alignment horizontal="center" vertical="center"/>
    </xf>
    <xf numFmtId="0" fontId="0" fillId="10" borderId="0" xfId="0" applyFill="1" applyAlignment="1">
      <alignment horizontal="center" vertical="center"/>
    </xf>
    <xf numFmtId="0" fontId="0" fillId="51" borderId="0" xfId="0" applyFill="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8" borderId="0" xfId="0" applyFill="1" applyAlignment="1">
      <alignment horizontal="center" vertical="center"/>
    </xf>
    <xf numFmtId="0" fontId="0" fillId="37" borderId="0" xfId="0" applyFill="1" applyAlignment="1">
      <alignment horizontal="center" vertical="center"/>
    </xf>
    <xf numFmtId="0" fontId="0" fillId="29" borderId="0" xfId="0" applyFill="1" applyAlignment="1">
      <alignment horizontal="center" vertical="center"/>
    </xf>
    <xf numFmtId="0" fontId="141" fillId="6" borderId="184" xfId="0" applyFont="1" applyFill="1" applyBorder="1" applyAlignment="1">
      <alignment horizontal="center" vertical="center"/>
    </xf>
    <xf numFmtId="0" fontId="141" fillId="6" borderId="185" xfId="0" applyFont="1" applyFill="1" applyBorder="1" applyAlignment="1">
      <alignment horizontal="center" vertical="center"/>
    </xf>
    <xf numFmtId="0" fontId="141" fillId="6" borderId="186" xfId="0" applyFont="1" applyFill="1" applyBorder="1" applyAlignment="1">
      <alignment horizontal="center" vertical="center"/>
    </xf>
    <xf numFmtId="0" fontId="141" fillId="6" borderId="187" xfId="0" applyFont="1" applyFill="1" applyBorder="1" applyAlignment="1">
      <alignment horizontal="center" vertical="center"/>
    </xf>
    <xf numFmtId="0" fontId="141" fillId="6" borderId="188" xfId="0" applyFont="1" applyFill="1" applyBorder="1" applyAlignment="1">
      <alignment horizontal="center" vertical="center"/>
    </xf>
    <xf numFmtId="0" fontId="141" fillId="6" borderId="189" xfId="0" applyFont="1" applyFill="1" applyBorder="1" applyAlignment="1">
      <alignment horizontal="center" vertical="center"/>
    </xf>
    <xf numFmtId="0" fontId="141" fillId="6" borderId="0" xfId="0" applyFont="1" applyFill="1" applyAlignment="1">
      <alignment horizontal="center" vertical="center"/>
    </xf>
    <xf numFmtId="0" fontId="141" fillId="6" borderId="190" xfId="0" applyFont="1" applyFill="1" applyBorder="1" applyAlignment="1">
      <alignment horizontal="center" vertical="center"/>
    </xf>
    <xf numFmtId="0" fontId="141" fillId="6" borderId="9" xfId="0" applyFont="1" applyFill="1" applyBorder="1" applyAlignment="1">
      <alignment horizontal="center" vertical="center"/>
    </xf>
    <xf numFmtId="0" fontId="141" fillId="6" borderId="191" xfId="0" applyFont="1" applyFill="1" applyBorder="1" applyAlignment="1">
      <alignment horizontal="center" vertical="center"/>
    </xf>
    <xf numFmtId="0" fontId="141" fillId="6" borderId="192" xfId="0" applyFont="1" applyFill="1" applyBorder="1" applyAlignment="1">
      <alignment horizontal="center" vertical="center"/>
    </xf>
    <xf numFmtId="0" fontId="141" fillId="6" borderId="193" xfId="0" applyFont="1" applyFill="1" applyBorder="1" applyAlignment="1">
      <alignment horizontal="center" vertical="center"/>
    </xf>
    <xf numFmtId="0" fontId="141" fillId="6" borderId="194" xfId="0" applyFont="1" applyFill="1" applyBorder="1" applyAlignment="1">
      <alignment horizontal="center" vertical="center"/>
    </xf>
    <xf numFmtId="0" fontId="141" fillId="6" borderId="195" xfId="0" applyFont="1" applyFill="1" applyBorder="1" applyAlignment="1">
      <alignment horizontal="center" vertical="center"/>
    </xf>
    <xf numFmtId="0" fontId="141" fillId="6" borderId="86" xfId="0" applyFont="1" applyFill="1" applyBorder="1" applyAlignment="1">
      <alignment horizontal="center" vertical="center"/>
    </xf>
    <xf numFmtId="0" fontId="141" fillId="6" borderId="89" xfId="0" applyFont="1" applyFill="1" applyBorder="1" applyAlignment="1">
      <alignment horizontal="center" vertical="center"/>
    </xf>
    <xf numFmtId="0" fontId="141" fillId="6" borderId="196" xfId="0" applyFont="1" applyFill="1" applyBorder="1" applyAlignment="1">
      <alignment horizontal="center" vertical="center"/>
    </xf>
    <xf numFmtId="0" fontId="141" fillId="6" borderId="197" xfId="0" applyFont="1" applyFill="1" applyBorder="1" applyAlignment="1">
      <alignment horizontal="center" vertical="center"/>
    </xf>
    <xf numFmtId="0" fontId="141" fillId="6" borderId="88" xfId="0" applyFont="1" applyFill="1" applyBorder="1" applyAlignment="1">
      <alignment horizontal="center" vertical="center"/>
    </xf>
    <xf numFmtId="0" fontId="141" fillId="6" borderId="85" xfId="0" applyFont="1" applyFill="1" applyBorder="1" applyAlignment="1">
      <alignment horizontal="center" vertical="center"/>
    </xf>
    <xf numFmtId="0" fontId="141" fillId="6" borderId="84" xfId="0" applyFont="1" applyFill="1" applyBorder="1" applyAlignment="1">
      <alignment horizontal="center" vertical="center"/>
    </xf>
    <xf numFmtId="0" fontId="141" fillId="6" borderId="198" xfId="0" applyFont="1" applyFill="1" applyBorder="1" applyAlignment="1">
      <alignment horizontal="center" vertical="center"/>
    </xf>
    <xf numFmtId="0" fontId="141" fillId="6" borderId="83" xfId="0" applyFont="1" applyFill="1" applyBorder="1" applyAlignment="1">
      <alignment horizontal="center" vertical="center"/>
    </xf>
    <xf numFmtId="0" fontId="141" fillId="6" borderId="199" xfId="0" applyFont="1" applyFill="1" applyBorder="1" applyAlignment="1">
      <alignment horizontal="center" vertical="center"/>
    </xf>
    <xf numFmtId="0" fontId="141" fillId="6" borderId="200" xfId="0" applyFont="1" applyFill="1" applyBorder="1" applyAlignment="1">
      <alignment horizontal="center" vertical="center"/>
    </xf>
    <xf numFmtId="0" fontId="141" fillId="6" borderId="201" xfId="0" applyFont="1" applyFill="1" applyBorder="1" applyAlignment="1">
      <alignment horizontal="center" vertical="center"/>
    </xf>
    <xf numFmtId="0" fontId="141" fillId="6" borderId="202" xfId="0" applyFont="1" applyFill="1" applyBorder="1" applyAlignment="1">
      <alignment horizontal="center" vertical="center"/>
    </xf>
    <xf numFmtId="0" fontId="141" fillId="6" borderId="203" xfId="0" applyFont="1" applyFill="1" applyBorder="1" applyAlignment="1">
      <alignment horizontal="center" vertical="center"/>
    </xf>
    <xf numFmtId="0" fontId="142" fillId="0" borderId="0" xfId="0" applyFont="1" applyAlignment="1">
      <alignment horizontal="center"/>
    </xf>
    <xf numFmtId="0" fontId="144" fillId="6" borderId="184" xfId="0" applyFont="1" applyFill="1" applyBorder="1" applyAlignment="1">
      <alignment horizontal="center" vertical="center"/>
    </xf>
    <xf numFmtId="0" fontId="144" fillId="6" borderId="185" xfId="0" applyFont="1" applyFill="1" applyBorder="1" applyAlignment="1">
      <alignment horizontal="center" vertical="center"/>
    </xf>
    <xf numFmtId="0" fontId="144" fillId="6" borderId="186" xfId="0" applyFont="1" applyFill="1" applyBorder="1" applyAlignment="1">
      <alignment horizontal="center" vertical="center"/>
    </xf>
    <xf numFmtId="0" fontId="144" fillId="6" borderId="187" xfId="0" applyFont="1" applyFill="1" applyBorder="1" applyAlignment="1">
      <alignment horizontal="center" vertical="center"/>
    </xf>
    <xf numFmtId="0" fontId="144" fillId="6" borderId="188" xfId="0" applyFont="1" applyFill="1" applyBorder="1" applyAlignment="1">
      <alignment horizontal="center" vertical="center"/>
    </xf>
    <xf numFmtId="0" fontId="144" fillId="6" borderId="189" xfId="0" applyFont="1" applyFill="1" applyBorder="1" applyAlignment="1">
      <alignment horizontal="center" vertical="center"/>
    </xf>
    <xf numFmtId="0" fontId="144" fillId="6" borderId="0" xfId="0" applyFont="1" applyFill="1" applyAlignment="1">
      <alignment horizontal="center" vertical="center"/>
    </xf>
    <xf numFmtId="0" fontId="144" fillId="6" borderId="190" xfId="0" applyFont="1" applyFill="1" applyBorder="1" applyAlignment="1">
      <alignment horizontal="center" vertical="center"/>
    </xf>
    <xf numFmtId="0" fontId="144" fillId="6" borderId="9" xfId="0" applyFont="1" applyFill="1" applyBorder="1" applyAlignment="1">
      <alignment horizontal="center" vertical="center"/>
    </xf>
    <xf numFmtId="0" fontId="144" fillId="6" borderId="191" xfId="0" applyFont="1" applyFill="1" applyBorder="1" applyAlignment="1">
      <alignment horizontal="center" vertical="center"/>
    </xf>
    <xf numFmtId="0" fontId="144" fillId="6" borderId="192" xfId="0" applyFont="1" applyFill="1" applyBorder="1" applyAlignment="1">
      <alignment horizontal="center" vertical="center"/>
    </xf>
    <xf numFmtId="0" fontId="144" fillId="6" borderId="193" xfId="0" applyFont="1" applyFill="1" applyBorder="1" applyAlignment="1">
      <alignment horizontal="center" vertical="center"/>
    </xf>
    <xf numFmtId="0" fontId="144" fillId="6" borderId="194" xfId="0" applyFont="1" applyFill="1" applyBorder="1" applyAlignment="1">
      <alignment horizontal="center" vertical="center"/>
    </xf>
    <xf numFmtId="0" fontId="144" fillId="6" borderId="195" xfId="0" applyFont="1" applyFill="1" applyBorder="1" applyAlignment="1">
      <alignment horizontal="center" vertical="center"/>
    </xf>
    <xf numFmtId="0" fontId="144" fillId="6" borderId="86" xfId="0" applyFont="1" applyFill="1" applyBorder="1" applyAlignment="1">
      <alignment horizontal="center" vertical="center"/>
    </xf>
    <xf numFmtId="0" fontId="144" fillId="6" borderId="89" xfId="0" applyFont="1" applyFill="1" applyBorder="1" applyAlignment="1">
      <alignment horizontal="center" vertical="center"/>
    </xf>
    <xf numFmtId="0" fontId="144" fillId="6" borderId="196" xfId="0" applyFont="1" applyFill="1" applyBorder="1" applyAlignment="1">
      <alignment horizontal="center" vertical="center"/>
    </xf>
    <xf numFmtId="0" fontId="144" fillId="6" borderId="197" xfId="0" applyFont="1" applyFill="1" applyBorder="1" applyAlignment="1">
      <alignment horizontal="center" vertical="center"/>
    </xf>
    <xf numFmtId="0" fontId="144" fillId="6" borderId="88" xfId="0" applyFont="1" applyFill="1" applyBorder="1" applyAlignment="1">
      <alignment horizontal="center" vertical="center"/>
    </xf>
    <xf numFmtId="0" fontId="144" fillId="6" borderId="85" xfId="0" applyFont="1" applyFill="1" applyBorder="1" applyAlignment="1">
      <alignment horizontal="center" vertical="center"/>
    </xf>
    <xf numFmtId="0" fontId="144" fillId="6" borderId="84" xfId="0" applyFont="1" applyFill="1" applyBorder="1" applyAlignment="1">
      <alignment horizontal="center" vertical="center"/>
    </xf>
    <xf numFmtId="0" fontId="144" fillId="6" borderId="198" xfId="0" applyFont="1" applyFill="1" applyBorder="1" applyAlignment="1">
      <alignment horizontal="center" vertical="center"/>
    </xf>
    <xf numFmtId="0" fontId="144" fillId="6" borderId="83" xfId="0" applyFont="1" applyFill="1" applyBorder="1" applyAlignment="1">
      <alignment horizontal="center" vertical="center"/>
    </xf>
    <xf numFmtId="0" fontId="144" fillId="6" borderId="199" xfId="0" applyFont="1" applyFill="1" applyBorder="1" applyAlignment="1">
      <alignment horizontal="center" vertical="center"/>
    </xf>
    <xf numFmtId="0" fontId="144" fillId="6" borderId="200" xfId="0" applyFont="1" applyFill="1" applyBorder="1" applyAlignment="1">
      <alignment horizontal="center" vertical="center"/>
    </xf>
    <xf numFmtId="0" fontId="144" fillId="6" borderId="201" xfId="0" applyFont="1" applyFill="1" applyBorder="1" applyAlignment="1">
      <alignment horizontal="center" vertical="center"/>
    </xf>
    <xf numFmtId="0" fontId="144" fillId="6" borderId="202" xfId="0" applyFont="1" applyFill="1" applyBorder="1" applyAlignment="1">
      <alignment horizontal="center" vertical="center"/>
    </xf>
    <xf numFmtId="0" fontId="144" fillId="6" borderId="203" xfId="0" applyFont="1" applyFill="1" applyBorder="1" applyAlignment="1">
      <alignment horizontal="center" vertical="center"/>
    </xf>
    <xf numFmtId="0" fontId="145" fillId="0" borderId="89" xfId="0" applyFont="1" applyBorder="1" applyAlignment="1">
      <alignment horizontal="center"/>
    </xf>
    <xf numFmtId="0" fontId="0" fillId="0" borderId="85" xfId="0" applyBorder="1"/>
    <xf numFmtId="0" fontId="141" fillId="6" borderId="192" xfId="0" applyFont="1" applyFill="1" applyBorder="1" applyAlignment="1">
      <alignment horizontal="center" vertical="center" wrapText="1"/>
    </xf>
    <xf numFmtId="0" fontId="145" fillId="0" borderId="9" xfId="0" applyFont="1" applyBorder="1" applyAlignment="1">
      <alignment horizontal="center" vertical="center" textRotation="90"/>
    </xf>
    <xf numFmtId="0" fontId="145" fillId="0" borderId="83" xfId="0" applyFont="1" applyBorder="1" applyAlignment="1">
      <alignment horizontal="center" vertical="center" textRotation="88"/>
    </xf>
    <xf numFmtId="0" fontId="0" fillId="0" borderId="9" xfId="0" applyBorder="1" applyAlignment="1">
      <alignment horizontal="center" vertical="center"/>
    </xf>
    <xf numFmtId="0" fontId="0" fillId="0" borderId="83" xfId="0" applyBorder="1" applyAlignment="1">
      <alignment horizontal="center" vertical="center"/>
    </xf>
    <xf numFmtId="0" fontId="148" fillId="6" borderId="192" xfId="0" applyFont="1" applyFill="1" applyBorder="1" applyAlignment="1">
      <alignment horizontal="center" vertical="center"/>
    </xf>
    <xf numFmtId="0" fontId="23" fillId="0" borderId="87" xfId="0" applyFont="1" applyBorder="1"/>
    <xf numFmtId="0" fontId="149" fillId="0" borderId="9" xfId="0" applyFont="1" applyBorder="1" applyAlignment="1">
      <alignment wrapText="1"/>
    </xf>
    <xf numFmtId="0" fontId="149" fillId="0" borderId="83" xfId="0" applyFont="1" applyBorder="1" applyAlignment="1">
      <alignment wrapText="1"/>
    </xf>
    <xf numFmtId="0" fontId="150" fillId="6" borderId="204" xfId="0" applyFont="1" applyFill="1" applyBorder="1" applyAlignment="1">
      <alignment horizontal="center" vertical="center" wrapText="1"/>
    </xf>
    <xf numFmtId="0" fontId="149" fillId="0" borderId="86" xfId="0" applyFont="1" applyBorder="1" applyAlignment="1">
      <alignment wrapText="1"/>
    </xf>
    <xf numFmtId="0" fontId="149" fillId="0" borderId="87" xfId="0" applyFont="1" applyBorder="1" applyAlignment="1">
      <alignment wrapText="1"/>
    </xf>
    <xf numFmtId="0" fontId="0" fillId="52" borderId="0" xfId="0" applyFill="1" applyAlignment="1">
      <alignment horizontal="center" vertical="center" wrapText="1"/>
    </xf>
    <xf numFmtId="0" fontId="0" fillId="42" borderId="0" xfId="0" applyFill="1" applyAlignment="1">
      <alignment horizontal="left" vertical="center" wrapText="1"/>
    </xf>
    <xf numFmtId="0" fontId="142" fillId="0" borderId="0" xfId="0" applyFont="1" applyAlignment="1">
      <alignment horizontal="center" vertical="center"/>
    </xf>
    <xf numFmtId="0" fontId="0" fillId="2" borderId="0" xfId="0" applyFill="1" applyAlignment="1">
      <alignment horizontal="center" vertical="center"/>
    </xf>
    <xf numFmtId="0" fontId="0" fillId="33" borderId="0" xfId="0" applyFill="1" applyAlignment="1">
      <alignment horizontal="center" vertical="center"/>
    </xf>
    <xf numFmtId="0" fontId="151" fillId="0" borderId="57" xfId="0" applyFont="1" applyBorder="1" applyAlignment="1">
      <alignment horizontal="justify" vertical="top" wrapText="1"/>
    </xf>
    <xf numFmtId="0" fontId="152" fillId="0" borderId="206" xfId="0" applyFont="1" applyBorder="1" applyAlignment="1">
      <alignment horizontal="justify" vertical="top" wrapText="1"/>
    </xf>
    <xf numFmtId="0" fontId="153" fillId="0" borderId="0" xfId="0" applyFont="1" applyAlignment="1">
      <alignment horizontal="center" vertical="center"/>
    </xf>
    <xf numFmtId="0" fontId="151" fillId="0" borderId="53" xfId="0" applyFont="1" applyBorder="1" applyAlignment="1">
      <alignment horizontal="justify" vertical="top" wrapText="1"/>
    </xf>
    <xf numFmtId="0" fontId="152" fillId="0" borderId="56" xfId="0" applyFont="1" applyBorder="1" applyAlignment="1">
      <alignment horizontal="justify" vertical="top" wrapText="1"/>
    </xf>
    <xf numFmtId="0" fontId="0" fillId="6" borderId="0" xfId="0" applyFill="1" applyAlignment="1">
      <alignment horizontal="center" vertical="center"/>
    </xf>
    <xf numFmtId="0" fontId="0" fillId="6" borderId="0" xfId="0" applyFill="1" applyAlignment="1">
      <alignment horizontal="right" vertical="center" wrapText="1"/>
    </xf>
    <xf numFmtId="0" fontId="0" fillId="25" borderId="0" xfId="0" applyFill="1" applyAlignment="1">
      <alignment horizontal="left" vertical="center" wrapText="1"/>
    </xf>
    <xf numFmtId="0" fontId="0" fillId="12" borderId="0" xfId="0" applyFill="1" applyAlignment="1">
      <alignment horizontal="center" vertical="center"/>
    </xf>
    <xf numFmtId="0" fontId="0" fillId="12" borderId="0" xfId="0" applyFill="1" applyAlignment="1">
      <alignment horizontal="center" vertical="center" wrapText="1"/>
    </xf>
    <xf numFmtId="0" fontId="0" fillId="6" borderId="0" xfId="0" applyFill="1" applyAlignment="1">
      <alignment horizontal="center" vertical="center" wrapText="1"/>
    </xf>
    <xf numFmtId="0" fontId="0" fillId="52" borderId="0" xfId="0" applyFill="1" applyAlignment="1">
      <alignment horizontal="left" vertical="center" wrapText="1"/>
    </xf>
    <xf numFmtId="203" fontId="175" fillId="25" borderId="0" xfId="304" applyNumberFormat="1" applyFill="1"/>
    <xf numFmtId="2" fontId="175" fillId="0" borderId="0" xfId="304" applyNumberFormat="1"/>
    <xf numFmtId="170" fontId="175" fillId="25" borderId="0" xfId="304" applyNumberFormat="1" applyFill="1"/>
    <xf numFmtId="176" fontId="175" fillId="0" borderId="0" xfId="304" applyNumberFormat="1"/>
    <xf numFmtId="0" fontId="175" fillId="25" borderId="0" xfId="304" applyFill="1"/>
    <xf numFmtId="195" fontId="0" fillId="0" borderId="0" xfId="0" applyNumberFormat="1"/>
    <xf numFmtId="183" fontId="175" fillId="0" borderId="0" xfId="304" applyNumberFormat="1"/>
    <xf numFmtId="195" fontId="14" fillId="0" borderId="0" xfId="304" applyNumberFormat="1" applyFont="1"/>
    <xf numFmtId="181" fontId="175" fillId="0" borderId="0" xfId="304" applyNumberFormat="1"/>
    <xf numFmtId="183" fontId="16" fillId="0" borderId="0" xfId="304" applyNumberFormat="1" applyFont="1"/>
    <xf numFmtId="0" fontId="175" fillId="0" borderId="0" xfId="304" applyAlignment="1">
      <alignment horizontal="left" vertical="top"/>
    </xf>
    <xf numFmtId="195" fontId="175" fillId="0" borderId="0" xfId="304" applyNumberFormat="1"/>
    <xf numFmtId="0" fontId="146" fillId="0" borderId="0" xfId="0" applyFont="1" applyAlignment="1">
      <alignment horizontal="center" vertical="center"/>
    </xf>
    <xf numFmtId="0" fontId="28" fillId="0" borderId="0" xfId="0" applyFont="1" applyAlignment="1">
      <alignment horizontal="center"/>
    </xf>
    <xf numFmtId="0" fontId="146" fillId="0" borderId="47" xfId="0" applyFont="1" applyBorder="1" applyAlignment="1">
      <alignment horizontal="center" vertical="center"/>
    </xf>
    <xf numFmtId="0" fontId="69" fillId="0" borderId="48" xfId="0" applyFont="1" applyBorder="1" applyAlignment="1">
      <alignment horizontal="center"/>
    </xf>
    <xf numFmtId="0" fontId="146" fillId="0" borderId="51" xfId="0" applyFont="1" applyBorder="1" applyAlignment="1">
      <alignment vertical="center" wrapText="1"/>
    </xf>
    <xf numFmtId="0" fontId="4" fillId="14" borderId="0" xfId="0" applyFont="1" applyFill="1" applyAlignment="1">
      <alignment vertical="center"/>
    </xf>
    <xf numFmtId="0" fontId="154" fillId="14" borderId="207" xfId="0" applyFont="1" applyFill="1" applyBorder="1" applyAlignment="1">
      <alignment horizontal="center" textRotation="90"/>
    </xf>
    <xf numFmtId="0" fontId="154" fillId="14" borderId="160" xfId="0" applyFont="1" applyFill="1" applyBorder="1" applyAlignment="1">
      <alignment horizontal="center" textRotation="90"/>
    </xf>
    <xf numFmtId="0" fontId="154" fillId="14" borderId="52" xfId="0" applyFont="1" applyFill="1" applyBorder="1" applyAlignment="1">
      <alignment horizontal="center" textRotation="90"/>
    </xf>
    <xf numFmtId="0" fontId="0" fillId="8" borderId="209" xfId="0" applyFill="1" applyBorder="1" applyAlignment="1">
      <alignment horizontal="center"/>
    </xf>
    <xf numFmtId="0" fontId="0" fillId="8" borderId="210" xfId="0" applyFill="1" applyBorder="1" applyAlignment="1">
      <alignment horizontal="center" vertical="center"/>
    </xf>
    <xf numFmtId="0" fontId="0" fillId="8" borderId="211" xfId="0" applyFill="1" applyBorder="1" applyAlignment="1">
      <alignment horizontal="center" vertical="center"/>
    </xf>
    <xf numFmtId="0" fontId="0" fillId="8" borderId="212" xfId="0" applyFill="1" applyBorder="1" applyAlignment="1">
      <alignment horizontal="center" vertical="center"/>
    </xf>
    <xf numFmtId="0" fontId="156" fillId="8" borderId="210" xfId="0" applyFont="1" applyFill="1" applyBorder="1" applyAlignment="1">
      <alignment horizontal="center" vertical="center"/>
    </xf>
    <xf numFmtId="0" fontId="157" fillId="8" borderId="212" xfId="0" applyFont="1" applyFill="1" applyBorder="1" applyAlignment="1">
      <alignment horizontal="center" vertical="center"/>
    </xf>
    <xf numFmtId="0" fontId="0" fillId="6" borderId="159" xfId="0" applyFill="1" applyBorder="1" applyAlignment="1">
      <alignment horizontal="center"/>
    </xf>
    <xf numFmtId="0" fontId="0" fillId="6" borderId="213" xfId="0" applyFill="1" applyBorder="1" applyAlignment="1">
      <alignment horizontal="center" vertical="center"/>
    </xf>
    <xf numFmtId="0" fontId="158" fillId="6" borderId="158" xfId="0" applyFont="1" applyFill="1" applyBorder="1" applyAlignment="1">
      <alignment horizontal="center" vertical="center"/>
    </xf>
    <xf numFmtId="0" fontId="0" fillId="6" borderId="214" xfId="0" applyFill="1" applyBorder="1" applyAlignment="1">
      <alignment horizontal="center" vertical="center"/>
    </xf>
    <xf numFmtId="0" fontId="0" fillId="6" borderId="158" xfId="0" applyFill="1" applyBorder="1" applyAlignment="1">
      <alignment horizontal="center" vertical="center"/>
    </xf>
    <xf numFmtId="0" fontId="156" fillId="6" borderId="213" xfId="0" applyFont="1" applyFill="1" applyBorder="1" applyAlignment="1">
      <alignment horizontal="center" vertical="center"/>
    </xf>
    <xf numFmtId="0" fontId="157" fillId="6" borderId="158" xfId="0" applyFont="1" applyFill="1" applyBorder="1" applyAlignment="1">
      <alignment horizontal="center" vertical="center"/>
    </xf>
    <xf numFmtId="0" fontId="0" fillId="8" borderId="55" xfId="0" applyFill="1" applyBorder="1" applyAlignment="1">
      <alignment horizontal="center"/>
    </xf>
    <xf numFmtId="0" fontId="0" fillId="8" borderId="215" xfId="0" applyFill="1" applyBorder="1" applyAlignment="1">
      <alignment horizontal="center" vertical="center"/>
    </xf>
    <xf numFmtId="0" fontId="0" fillId="8" borderId="216" xfId="0" applyFill="1" applyBorder="1" applyAlignment="1">
      <alignment horizontal="center" vertical="center"/>
    </xf>
    <xf numFmtId="0" fontId="0" fillId="8" borderId="56" xfId="0" applyFill="1" applyBorder="1" applyAlignment="1">
      <alignment horizontal="center" vertical="center"/>
    </xf>
    <xf numFmtId="0" fontId="156" fillId="8" borderId="215" xfId="0" applyFont="1" applyFill="1" applyBorder="1" applyAlignment="1">
      <alignment horizontal="center" vertical="center"/>
    </xf>
    <xf numFmtId="0" fontId="157" fillId="8" borderId="215" xfId="0" applyFont="1" applyFill="1" applyBorder="1" applyAlignment="1">
      <alignment horizontal="center" vertical="center"/>
    </xf>
    <xf numFmtId="0" fontId="0" fillId="6" borderId="209" xfId="0" applyFill="1" applyBorder="1" applyAlignment="1">
      <alignment horizontal="center"/>
    </xf>
    <xf numFmtId="0" fontId="0" fillId="6" borderId="210" xfId="0" applyFill="1" applyBorder="1" applyAlignment="1">
      <alignment horizontal="center" vertical="center"/>
    </xf>
    <xf numFmtId="0" fontId="0" fillId="6" borderId="211" xfId="0" applyFill="1" applyBorder="1" applyAlignment="1">
      <alignment horizontal="center" vertical="center"/>
    </xf>
    <xf numFmtId="0" fontId="0" fillId="6" borderId="212" xfId="0" applyFill="1" applyBorder="1" applyAlignment="1">
      <alignment horizontal="center" vertical="center"/>
    </xf>
    <xf numFmtId="0" fontId="156" fillId="6" borderId="211" xfId="0" applyFont="1" applyFill="1" applyBorder="1" applyAlignment="1">
      <alignment horizontal="center" vertical="center"/>
    </xf>
    <xf numFmtId="0" fontId="157" fillId="6" borderId="212" xfId="0" applyFont="1" applyFill="1" applyBorder="1" applyAlignment="1">
      <alignment horizontal="center" vertical="center"/>
    </xf>
    <xf numFmtId="0" fontId="0" fillId="8" borderId="159" xfId="0" applyFill="1" applyBorder="1" applyAlignment="1">
      <alignment horizontal="center"/>
    </xf>
    <xf numFmtId="0" fontId="0" fillId="8" borderId="213" xfId="0" applyFill="1" applyBorder="1" applyAlignment="1">
      <alignment horizontal="center" vertical="center"/>
    </xf>
    <xf numFmtId="0" fontId="0" fillId="8" borderId="158" xfId="0" applyFill="1" applyBorder="1" applyAlignment="1">
      <alignment horizontal="center" vertical="center"/>
    </xf>
    <xf numFmtId="0" fontId="0" fillId="8" borderId="214" xfId="0" applyFill="1" applyBorder="1" applyAlignment="1">
      <alignment horizontal="center" vertical="center"/>
    </xf>
    <xf numFmtId="0" fontId="156" fillId="8" borderId="158" xfId="0" applyFont="1" applyFill="1" applyBorder="1" applyAlignment="1">
      <alignment horizontal="center" vertical="center"/>
    </xf>
    <xf numFmtId="0" fontId="157" fillId="8" borderId="158" xfId="0" applyFont="1" applyFill="1" applyBorder="1" applyAlignment="1">
      <alignment horizontal="center" vertical="center"/>
    </xf>
    <xf numFmtId="0" fontId="0" fillId="6" borderId="55" xfId="0" applyFill="1" applyBorder="1" applyAlignment="1">
      <alignment horizontal="center"/>
    </xf>
    <xf numFmtId="0" fontId="0" fillId="6" borderId="215" xfId="0" applyFill="1" applyBorder="1" applyAlignment="1">
      <alignment horizontal="center" vertical="center"/>
    </xf>
    <xf numFmtId="0" fontId="0" fillId="6" borderId="216" xfId="0" applyFill="1" applyBorder="1" applyAlignment="1">
      <alignment horizontal="center" vertical="center"/>
    </xf>
    <xf numFmtId="0" fontId="0" fillId="6" borderId="56" xfId="0" applyFill="1" applyBorder="1" applyAlignment="1">
      <alignment horizontal="center" vertical="center"/>
    </xf>
    <xf numFmtId="0" fontId="157" fillId="6" borderId="56" xfId="0" applyFont="1" applyFill="1" applyBorder="1" applyAlignment="1">
      <alignment horizontal="center" vertical="center"/>
    </xf>
    <xf numFmtId="0" fontId="157" fillId="6" borderId="215" xfId="0" applyFont="1" applyFill="1" applyBorder="1" applyAlignment="1">
      <alignment horizontal="center" vertical="center"/>
    </xf>
    <xf numFmtId="0" fontId="156" fillId="6" borderId="216" xfId="0" applyFont="1" applyFill="1" applyBorder="1" applyAlignment="1">
      <alignment horizontal="center" vertical="center"/>
    </xf>
    <xf numFmtId="0" fontId="157" fillId="8" borderId="210" xfId="0" applyFont="1" applyFill="1" applyBorder="1" applyAlignment="1">
      <alignment horizontal="center" vertical="center"/>
    </xf>
    <xf numFmtId="0" fontId="156" fillId="8" borderId="211" xfId="0" applyFont="1" applyFill="1" applyBorder="1" applyAlignment="1">
      <alignment horizontal="center" vertical="center"/>
    </xf>
    <xf numFmtId="0" fontId="156" fillId="6" borderId="158" xfId="0" applyFont="1" applyFill="1" applyBorder="1" applyAlignment="1">
      <alignment horizontal="center" vertical="center"/>
    </xf>
    <xf numFmtId="0" fontId="156" fillId="8" borderId="216" xfId="0" applyFont="1" applyFill="1" applyBorder="1" applyAlignment="1">
      <alignment horizontal="center" vertical="center"/>
    </xf>
    <xf numFmtId="0" fontId="157" fillId="8" borderId="56" xfId="0" applyFont="1" applyFill="1" applyBorder="1" applyAlignment="1">
      <alignment horizontal="center" vertical="center"/>
    </xf>
    <xf numFmtId="0" fontId="157" fillId="6" borderId="210" xfId="0" applyFont="1" applyFill="1" applyBorder="1" applyAlignment="1">
      <alignment horizontal="center" vertical="center"/>
    </xf>
    <xf numFmtId="0" fontId="158" fillId="6" borderId="56" xfId="0" applyFont="1" applyFill="1" applyBorder="1" applyAlignment="1">
      <alignment horizontal="center" vertical="center"/>
    </xf>
    <xf numFmtId="0" fontId="156" fillId="8" borderId="217" xfId="0" applyFont="1" applyFill="1" applyBorder="1" applyAlignment="1">
      <alignment horizontal="center" vertical="center"/>
    </xf>
    <xf numFmtId="0" fontId="156" fillId="6" borderId="218" xfId="0" applyFont="1" applyFill="1" applyBorder="1" applyAlignment="1">
      <alignment horizontal="center" vertical="center"/>
    </xf>
    <xf numFmtId="0" fontId="156" fillId="8" borderId="219" xfId="0" applyFont="1" applyFill="1" applyBorder="1" applyAlignment="1">
      <alignment horizontal="center" vertical="center"/>
    </xf>
    <xf numFmtId="0" fontId="156" fillId="6" borderId="212" xfId="0" applyFont="1" applyFill="1" applyBorder="1" applyAlignment="1">
      <alignment horizontal="center" vertical="center"/>
    </xf>
    <xf numFmtId="0" fontId="156" fillId="8" borderId="214" xfId="0" applyFont="1" applyFill="1" applyBorder="1" applyAlignment="1">
      <alignment horizontal="center" vertical="center"/>
    </xf>
    <xf numFmtId="0" fontId="156" fillId="6" borderId="56" xfId="0" applyFont="1" applyFill="1" applyBorder="1" applyAlignment="1">
      <alignment horizontal="center" vertical="center"/>
    </xf>
    <xf numFmtId="0" fontId="158" fillId="8" borderId="210" xfId="0" applyFont="1" applyFill="1" applyBorder="1" applyAlignment="1">
      <alignment horizontal="center" vertical="center"/>
    </xf>
    <xf numFmtId="0" fontId="159" fillId="6" borderId="56" xfId="0" applyFont="1" applyFill="1" applyBorder="1" applyAlignment="1">
      <alignment horizontal="center" vertical="center"/>
    </xf>
    <xf numFmtId="0" fontId="159" fillId="6" borderId="215" xfId="0" applyFont="1" applyFill="1" applyBorder="1" applyAlignment="1">
      <alignment horizontal="center" vertical="center"/>
    </xf>
    <xf numFmtId="0" fontId="159" fillId="8" borderId="212" xfId="0" applyFont="1" applyFill="1" applyBorder="1" applyAlignment="1">
      <alignment horizontal="center" vertical="center"/>
    </xf>
    <xf numFmtId="0" fontId="159" fillId="8" borderId="210" xfId="0" applyFont="1" applyFill="1" applyBorder="1" applyAlignment="1">
      <alignment horizontal="center" vertical="center"/>
    </xf>
    <xf numFmtId="0" fontId="158" fillId="8" borderId="56" xfId="0" applyFont="1" applyFill="1" applyBorder="1" applyAlignment="1">
      <alignment horizontal="center" vertical="center"/>
    </xf>
    <xf numFmtId="0" fontId="158" fillId="8" borderId="215" xfId="0" applyFont="1" applyFill="1" applyBorder="1" applyAlignment="1">
      <alignment horizontal="center" vertical="center"/>
    </xf>
    <xf numFmtId="0" fontId="156" fillId="6" borderId="214" xfId="0" applyFont="1" applyFill="1" applyBorder="1" applyAlignment="1">
      <alignment horizontal="center" vertical="center"/>
    </xf>
    <xf numFmtId="0" fontId="157" fillId="6" borderId="214" xfId="0" applyFont="1" applyFill="1" applyBorder="1" applyAlignment="1">
      <alignment horizontal="center" vertical="center"/>
    </xf>
    <xf numFmtId="0" fontId="158" fillId="6" borderId="214" xfId="0" applyFont="1" applyFill="1" applyBorder="1" applyAlignment="1">
      <alignment horizontal="center" vertical="center"/>
    </xf>
    <xf numFmtId="0" fontId="158" fillId="6" borderId="213" xfId="0" applyFont="1" applyFill="1" applyBorder="1" applyAlignment="1">
      <alignment horizontal="center" vertical="center"/>
    </xf>
    <xf numFmtId="0" fontId="154" fillId="14" borderId="207" xfId="0" applyFont="1" applyFill="1" applyBorder="1" applyAlignment="1">
      <alignment horizontal="center" vertical="top" textRotation="90"/>
    </xf>
    <xf numFmtId="0" fontId="154" fillId="14" borderId="160" xfId="0" applyFont="1" applyFill="1" applyBorder="1" applyAlignment="1">
      <alignment horizontal="center" vertical="top" textRotation="90"/>
    </xf>
    <xf numFmtId="0" fontId="154" fillId="14" borderId="52" xfId="0" applyFont="1" applyFill="1" applyBorder="1" applyAlignment="1">
      <alignment horizontal="center" vertical="top" textRotation="90"/>
    </xf>
    <xf numFmtId="0" fontId="28" fillId="0" borderId="0" xfId="0" applyFont="1" applyAlignment="1">
      <alignment horizontal="center" textRotation="90"/>
    </xf>
    <xf numFmtId="0" fontId="146" fillId="0" borderId="47" xfId="0" applyFont="1" applyBorder="1" applyAlignment="1">
      <alignment horizontal="left" vertical="center"/>
    </xf>
    <xf numFmtId="0" fontId="69" fillId="0" borderId="48" xfId="0" applyFont="1" applyBorder="1" applyAlignment="1">
      <alignment horizontal="left"/>
    </xf>
    <xf numFmtId="0" fontId="69" fillId="0" borderId="0" xfId="0" applyFont="1" applyAlignment="1">
      <alignment horizontal="left"/>
    </xf>
    <xf numFmtId="0" fontId="146" fillId="0" borderId="0" xfId="0" applyFont="1" applyAlignment="1">
      <alignment horizontal="left" vertical="center"/>
    </xf>
    <xf numFmtId="0" fontId="160" fillId="0" borderId="0" xfId="0" applyFont="1" applyAlignment="1">
      <alignment horizontal="left" vertical="top"/>
    </xf>
    <xf numFmtId="0" fontId="161" fillId="0" borderId="0" xfId="0" applyFont="1" applyAlignment="1">
      <alignment horizontal="left" vertical="top"/>
    </xf>
    <xf numFmtId="0" fontId="157" fillId="0" borderId="0" xfId="0" applyFont="1" applyAlignment="1">
      <alignment horizontal="left"/>
    </xf>
    <xf numFmtId="0" fontId="14" fillId="0" borderId="0" xfId="0" applyFont="1" applyAlignment="1">
      <alignment horizontal="left"/>
    </xf>
    <xf numFmtId="0" fontId="162" fillId="0" borderId="0" xfId="0" applyFont="1" applyAlignment="1">
      <alignment horizontal="left"/>
    </xf>
    <xf numFmtId="0" fontId="163" fillId="0" borderId="0" xfId="0" applyFont="1" applyAlignment="1">
      <alignment horizontal="left" vertical="center"/>
    </xf>
    <xf numFmtId="0" fontId="164" fillId="31" borderId="12" xfId="0" applyFont="1" applyFill="1" applyBorder="1" applyAlignment="1">
      <alignment horizontal="center"/>
    </xf>
    <xf numFmtId="0" fontId="165" fillId="31" borderId="12" xfId="0" applyFont="1" applyFill="1" applyBorder="1" applyAlignment="1">
      <alignment horizontal="center"/>
    </xf>
    <xf numFmtId="0" fontId="166" fillId="0" borderId="0" xfId="0" applyFont="1" applyAlignment="1">
      <alignment horizontal="left"/>
    </xf>
    <xf numFmtId="0" fontId="23" fillId="24" borderId="0" xfId="0" applyFont="1" applyFill="1" applyAlignment="1">
      <alignment horizontal="center"/>
    </xf>
    <xf numFmtId="0" fontId="166" fillId="24" borderId="12" xfId="0" applyFont="1" applyFill="1" applyBorder="1"/>
    <xf numFmtId="0" fontId="23" fillId="24" borderId="12" xfId="0" applyFont="1" applyFill="1" applyBorder="1"/>
    <xf numFmtId="169" fontId="165" fillId="0" borderId="12" xfId="0" applyNumberFormat="1" applyFont="1" applyBorder="1" applyAlignment="1">
      <alignment horizontal="left"/>
    </xf>
    <xf numFmtId="169" fontId="23" fillId="24" borderId="12" xfId="0" applyNumberFormat="1" applyFont="1" applyFill="1" applyBorder="1"/>
    <xf numFmtId="0" fontId="23" fillId="24" borderId="12" xfId="0" applyFont="1" applyFill="1" applyBorder="1" applyAlignment="1">
      <alignment horizontal="center"/>
    </xf>
    <xf numFmtId="0" fontId="23" fillId="24" borderId="0" xfId="0" applyFont="1" applyFill="1"/>
    <xf numFmtId="0" fontId="167" fillId="0" borderId="0" xfId="0" applyFont="1" applyAlignment="1">
      <alignment horizontal="left"/>
    </xf>
    <xf numFmtId="169" fontId="23" fillId="24" borderId="0" xfId="0" applyNumberFormat="1" applyFont="1" applyFill="1"/>
    <xf numFmtId="0" fontId="14" fillId="25" borderId="0" xfId="0" applyFont="1" applyFill="1"/>
    <xf numFmtId="0" fontId="14" fillId="36" borderId="0" xfId="0" applyFont="1" applyFill="1"/>
    <xf numFmtId="203" fontId="166" fillId="0" borderId="0" xfId="0" applyNumberFormat="1" applyFont="1" applyAlignment="1">
      <alignment horizontal="left"/>
    </xf>
    <xf numFmtId="195" fontId="166" fillId="0" borderId="0" xfId="0" applyNumberFormat="1" applyFont="1" applyAlignment="1">
      <alignment horizontal="left"/>
    </xf>
    <xf numFmtId="195" fontId="23" fillId="25" borderId="0" xfId="0" applyNumberFormat="1" applyFont="1" applyFill="1" applyAlignment="1">
      <alignment horizontal="left"/>
    </xf>
    <xf numFmtId="0" fontId="168" fillId="0" borderId="0" xfId="0" applyFont="1"/>
    <xf numFmtId="0" fontId="168" fillId="0" borderId="0" xfId="0" applyFont="1" applyAlignment="1">
      <alignment horizontal="center"/>
    </xf>
    <xf numFmtId="0" fontId="166" fillId="43" borderId="12" xfId="0" applyFont="1" applyFill="1" applyBorder="1"/>
    <xf numFmtId="0" fontId="23" fillId="43" borderId="12" xfId="0" applyFont="1" applyFill="1" applyBorder="1"/>
    <xf numFmtId="169" fontId="165" fillId="43" borderId="12" xfId="0" applyNumberFormat="1" applyFont="1" applyFill="1" applyBorder="1" applyAlignment="1">
      <alignment horizontal="left"/>
    </xf>
    <xf numFmtId="169" fontId="23" fillId="43" borderId="12" xfId="0" applyNumberFormat="1" applyFont="1" applyFill="1" applyBorder="1"/>
    <xf numFmtId="0" fontId="23" fillId="43" borderId="12" xfId="0" applyFont="1" applyFill="1" applyBorder="1" applyAlignment="1">
      <alignment horizontal="center"/>
    </xf>
    <xf numFmtId="195" fontId="167" fillId="0" borderId="0" xfId="0" applyNumberFormat="1" applyFont="1" applyAlignment="1">
      <alignment horizontal="left"/>
    </xf>
    <xf numFmtId="169" fontId="165" fillId="0" borderId="0" xfId="0" applyNumberFormat="1" applyFont="1" applyAlignment="1">
      <alignment horizontal="left"/>
    </xf>
    <xf numFmtId="0" fontId="175" fillId="0" borderId="0" xfId="255"/>
    <xf numFmtId="204" fontId="175" fillId="0" borderId="0" xfId="255" applyNumberFormat="1"/>
    <xf numFmtId="205" fontId="175" fillId="0" borderId="0" xfId="255" applyNumberFormat="1"/>
    <xf numFmtId="195" fontId="175" fillId="0" borderId="0" xfId="255" applyNumberFormat="1"/>
    <xf numFmtId="0" fontId="169" fillId="0" borderId="0" xfId="255" applyFont="1" applyAlignment="1">
      <alignment horizontal="center"/>
    </xf>
    <xf numFmtId="0" fontId="175" fillId="0" borderId="0" xfId="255" applyAlignment="1">
      <alignment horizontal="center"/>
    </xf>
    <xf numFmtId="206" fontId="175" fillId="0" borderId="0" xfId="255" applyNumberFormat="1" applyAlignment="1">
      <alignment horizontal="center"/>
    </xf>
    <xf numFmtId="0" fontId="69" fillId="0" borderId="0" xfId="0" applyFont="1" applyAlignment="1">
      <alignment vertical="center"/>
    </xf>
    <xf numFmtId="0" fontId="69" fillId="0" borderId="66" xfId="0" applyFont="1" applyBorder="1" applyAlignment="1">
      <alignment vertical="center" wrapText="1"/>
    </xf>
    <xf numFmtId="0" fontId="69" fillId="0" borderId="58" xfId="0" applyFont="1" applyBorder="1" applyAlignment="1">
      <alignment vertical="center" wrapText="1"/>
    </xf>
    <xf numFmtId="0" fontId="69" fillId="0" borderId="67" xfId="0" applyFont="1" applyBorder="1" applyAlignment="1">
      <alignment vertical="center" wrapText="1"/>
    </xf>
    <xf numFmtId="0" fontId="69" fillId="0" borderId="220" xfId="0" applyFont="1" applyBorder="1" applyAlignment="1">
      <alignment vertical="center" wrapText="1"/>
    </xf>
    <xf numFmtId="0" fontId="69" fillId="0" borderId="221" xfId="0" applyFont="1" applyBorder="1" applyAlignment="1">
      <alignment vertical="center" wrapText="1"/>
    </xf>
    <xf numFmtId="206" fontId="175" fillId="0" borderId="0" xfId="255" applyNumberFormat="1"/>
    <xf numFmtId="0" fontId="69" fillId="0" borderId="73" xfId="0" applyFont="1" applyBorder="1" applyAlignment="1">
      <alignment vertical="center" wrapText="1"/>
    </xf>
    <xf numFmtId="0" fontId="69" fillId="0" borderId="59" xfId="0" applyFont="1" applyBorder="1" applyAlignment="1">
      <alignment vertical="center" wrapText="1"/>
    </xf>
    <xf numFmtId="0" fontId="69" fillId="0" borderId="74" xfId="0" applyFont="1" applyBorder="1" applyAlignment="1">
      <alignment vertical="center" wrapText="1"/>
    </xf>
    <xf numFmtId="201" fontId="0" fillId="0" borderId="0" xfId="0" applyNumberFormat="1"/>
    <xf numFmtId="207" fontId="0" fillId="0" borderId="0" xfId="0" applyNumberFormat="1"/>
    <xf numFmtId="203" fontId="0" fillId="0" borderId="0" xfId="0" applyNumberFormat="1"/>
    <xf numFmtId="0" fontId="0" fillId="22" borderId="12" xfId="0" applyFill="1" applyBorder="1"/>
    <xf numFmtId="2" fontId="19" fillId="0" borderId="0" xfId="0" applyNumberFormat="1" applyFont="1"/>
    <xf numFmtId="187" fontId="0" fillId="0" borderId="0" xfId="0" applyNumberFormat="1"/>
    <xf numFmtId="49" fontId="0" fillId="0" borderId="12" xfId="0" applyNumberFormat="1" applyBorder="1"/>
    <xf numFmtId="0" fontId="0" fillId="0" borderId="0" xfId="0" applyAlignment="1">
      <alignment vertical="top"/>
    </xf>
    <xf numFmtId="181" fontId="0" fillId="0" borderId="0" xfId="0" applyNumberFormat="1" applyAlignment="1">
      <alignment vertical="top"/>
    </xf>
    <xf numFmtId="168" fontId="0" fillId="0" borderId="0" xfId="0" applyNumberFormat="1" applyAlignment="1">
      <alignment vertical="top"/>
    </xf>
    <xf numFmtId="2" fontId="0" fillId="0" borderId="0" xfId="0" applyNumberFormat="1" applyAlignment="1">
      <alignment vertical="top"/>
    </xf>
    <xf numFmtId="0" fontId="0" fillId="0" borderId="0" xfId="0" applyAlignment="1">
      <alignment horizontal="center" vertical="top"/>
    </xf>
    <xf numFmtId="0" fontId="0" fillId="0" borderId="85" xfId="0" applyBorder="1" applyAlignment="1">
      <alignment vertical="top"/>
    </xf>
    <xf numFmtId="0" fontId="0" fillId="0" borderId="83" xfId="0" applyBorder="1" applyAlignment="1">
      <alignment vertical="top"/>
    </xf>
    <xf numFmtId="0" fontId="0" fillId="0" borderId="84" xfId="0" applyBorder="1" applyAlignment="1">
      <alignment vertical="top"/>
    </xf>
    <xf numFmtId="0" fontId="14" fillId="0" borderId="88" xfId="0" applyFont="1" applyBorder="1" applyAlignment="1">
      <alignment vertical="top"/>
    </xf>
    <xf numFmtId="0" fontId="0" fillId="0" borderId="88" xfId="0" applyBorder="1" applyAlignment="1">
      <alignment vertical="top"/>
    </xf>
    <xf numFmtId="181" fontId="14" fillId="0" borderId="88" xfId="0" applyNumberFormat="1" applyFont="1" applyBorder="1" applyAlignment="1">
      <alignment vertical="top"/>
    </xf>
    <xf numFmtId="0" fontId="0" fillId="0" borderId="9" xfId="0" applyBorder="1" applyAlignment="1">
      <alignment vertical="top"/>
    </xf>
    <xf numFmtId="188" fontId="0" fillId="0" borderId="0" xfId="0" applyNumberFormat="1" applyAlignment="1">
      <alignment vertical="top"/>
    </xf>
    <xf numFmtId="0" fontId="170" fillId="0" borderId="0" xfId="0" applyFont="1" applyAlignment="1">
      <alignment vertical="top"/>
    </xf>
    <xf numFmtId="181" fontId="170" fillId="0" borderId="0" xfId="0" applyNumberFormat="1" applyFont="1" applyAlignment="1">
      <alignment vertical="top"/>
    </xf>
    <xf numFmtId="0" fontId="0" fillId="0" borderId="87" xfId="0" applyBorder="1" applyAlignment="1">
      <alignment vertical="top"/>
    </xf>
    <xf numFmtId="0" fontId="0" fillId="0" borderId="86" xfId="0" applyBorder="1" applyAlignment="1">
      <alignment vertical="top"/>
    </xf>
    <xf numFmtId="0" fontId="0" fillId="0" borderId="89" xfId="0" applyBorder="1" applyAlignment="1">
      <alignment vertical="top"/>
    </xf>
    <xf numFmtId="0" fontId="170" fillId="0" borderId="89" xfId="0" applyFont="1" applyBorder="1" applyAlignment="1">
      <alignment vertical="top"/>
    </xf>
    <xf numFmtId="168" fontId="0" fillId="0" borderId="89" xfId="0" applyNumberFormat="1" applyBorder="1" applyAlignment="1">
      <alignment vertical="top"/>
    </xf>
    <xf numFmtId="181" fontId="0" fillId="0" borderId="89" xfId="0" applyNumberFormat="1" applyBorder="1" applyAlignment="1">
      <alignment vertical="top"/>
    </xf>
    <xf numFmtId="0" fontId="170" fillId="0" borderId="88" xfId="0" applyFont="1" applyBorder="1" applyAlignment="1">
      <alignment vertical="top"/>
    </xf>
    <xf numFmtId="168" fontId="0" fillId="0" borderId="88" xfId="0" applyNumberFormat="1" applyBorder="1" applyAlignment="1">
      <alignment vertical="top"/>
    </xf>
    <xf numFmtId="181" fontId="0" fillId="0" borderId="88" xfId="0" applyNumberFormat="1" applyBorder="1" applyAlignment="1">
      <alignment vertical="top"/>
    </xf>
    <xf numFmtId="181" fontId="169" fillId="0" borderId="0" xfId="0" applyNumberFormat="1" applyFont="1" applyAlignment="1">
      <alignment vertical="top"/>
    </xf>
    <xf numFmtId="0" fontId="169" fillId="0" borderId="0" xfId="0" applyFont="1" applyAlignment="1">
      <alignment vertical="top"/>
    </xf>
    <xf numFmtId="0" fontId="171" fillId="0" borderId="0" xfId="0" applyFont="1" applyAlignment="1">
      <alignment vertical="top"/>
    </xf>
    <xf numFmtId="0" fontId="73" fillId="0" borderId="0" xfId="0" applyFont="1" applyAlignment="1">
      <alignment vertical="top"/>
    </xf>
    <xf numFmtId="0" fontId="171" fillId="0" borderId="0" xfId="0" applyFont="1" applyAlignment="1">
      <alignment vertical="top" wrapText="1"/>
    </xf>
    <xf numFmtId="0" fontId="151" fillId="0" borderId="0" xfId="0" applyFont="1"/>
    <xf numFmtId="0" fontId="173" fillId="0" borderId="0" xfId="0" applyFont="1"/>
    <xf numFmtId="0" fontId="175" fillId="0" borderId="0" xfId="256" applyAlignment="1">
      <alignment horizontal="center" vertical="center"/>
    </xf>
    <xf numFmtId="195" fontId="175" fillId="0" borderId="0" xfId="256" applyNumberFormat="1" applyAlignment="1">
      <alignment horizontal="center" vertical="center"/>
    </xf>
    <xf numFmtId="0" fontId="175" fillId="0" borderId="0" xfId="256" applyAlignment="1">
      <alignment horizontal="left" vertical="top"/>
    </xf>
    <xf numFmtId="170" fontId="174" fillId="0" borderId="0" xfId="256" applyNumberFormat="1" applyFont="1" applyAlignment="1">
      <alignment horizontal="center" vertical="center"/>
    </xf>
    <xf numFmtId="0" fontId="175" fillId="0" borderId="0" xfId="256" applyAlignment="1">
      <alignment vertical="center"/>
    </xf>
    <xf numFmtId="0" fontId="175" fillId="0" borderId="0" xfId="256" applyAlignment="1">
      <alignment horizontal="center" vertical="center" wrapText="1"/>
    </xf>
    <xf numFmtId="170" fontId="51" fillId="0" borderId="0" xfId="256" applyNumberFormat="1" applyFont="1" applyAlignment="1">
      <alignment horizontal="center" vertical="center"/>
    </xf>
    <xf numFmtId="170" fontId="175" fillId="0" borderId="0" xfId="256" applyNumberFormat="1" applyAlignment="1">
      <alignment horizontal="center" vertical="center"/>
    </xf>
    <xf numFmtId="0" fontId="51" fillId="0" borderId="0" xfId="256" applyFont="1" applyAlignment="1">
      <alignment horizontal="center" vertical="center"/>
    </xf>
    <xf numFmtId="0" fontId="51" fillId="0" borderId="48" xfId="256" applyFont="1" applyBorder="1" applyAlignment="1">
      <alignment horizontal="center" vertical="center"/>
    </xf>
    <xf numFmtId="0" fontId="175" fillId="0" borderId="48" xfId="256" applyBorder="1" applyAlignment="1">
      <alignment horizontal="center" vertical="center"/>
    </xf>
    <xf numFmtId="0" fontId="175" fillId="0" borderId="49" xfId="256" applyBorder="1" applyAlignment="1">
      <alignment horizontal="center" vertical="center"/>
    </xf>
    <xf numFmtId="0" fontId="175" fillId="0" borderId="47" xfId="256" applyBorder="1" applyAlignment="1">
      <alignment horizontal="center" vertical="center"/>
    </xf>
    <xf numFmtId="0" fontId="51" fillId="0" borderId="47" xfId="256" applyFont="1" applyBorder="1" applyAlignment="1">
      <alignment horizontal="center" vertical="center"/>
    </xf>
    <xf numFmtId="0" fontId="175" fillId="0" borderId="52" xfId="256" applyBorder="1" applyAlignment="1">
      <alignment horizontal="center" vertical="center"/>
    </xf>
    <xf numFmtId="0" fontId="175" fillId="0" borderId="51" xfId="256" applyBorder="1" applyAlignment="1">
      <alignment horizontal="center" vertical="center"/>
    </xf>
    <xf numFmtId="0" fontId="51" fillId="0" borderId="51" xfId="256" applyFont="1" applyBorder="1" applyAlignment="1">
      <alignment horizontal="center" vertical="center"/>
    </xf>
    <xf numFmtId="0" fontId="51" fillId="0" borderId="55" xfId="256" applyFont="1" applyBorder="1" applyAlignment="1">
      <alignment horizontal="center" vertical="center"/>
    </xf>
    <xf numFmtId="0" fontId="175" fillId="0" borderId="55" xfId="256" applyBorder="1" applyAlignment="1">
      <alignment horizontal="center" vertical="center"/>
    </xf>
    <xf numFmtId="0" fontId="175" fillId="0" borderId="56" xfId="256" applyBorder="1" applyAlignment="1">
      <alignment horizontal="center" vertical="center"/>
    </xf>
    <xf numFmtId="0" fontId="175" fillId="0" borderId="54" xfId="256" applyBorder="1" applyAlignment="1">
      <alignment horizontal="center" vertical="center"/>
    </xf>
    <xf numFmtId="0" fontId="51" fillId="0" borderId="54" xfId="256" applyFont="1" applyBorder="1" applyAlignment="1">
      <alignment horizontal="center" vertical="center"/>
    </xf>
    <xf numFmtId="0" fontId="175" fillId="0" borderId="46" xfId="256" applyBorder="1" applyAlignment="1">
      <alignment horizontal="center" vertical="center" wrapText="1"/>
    </xf>
    <xf numFmtId="0" fontId="174" fillId="0" borderId="0" xfId="256" applyFont="1" applyAlignment="1">
      <alignment horizontal="center" vertical="center"/>
    </xf>
    <xf numFmtId="0" fontId="175" fillId="0" borderId="50" xfId="256" applyBorder="1" applyAlignment="1">
      <alignment horizontal="center" vertical="center"/>
    </xf>
    <xf numFmtId="0" fontId="175" fillId="0" borderId="53" xfId="256" applyBorder="1" applyAlignment="1">
      <alignment horizontal="center" vertical="center"/>
    </xf>
    <xf numFmtId="0" fontId="175" fillId="0" borderId="0" xfId="256"/>
    <xf numFmtId="0" fontId="73" fillId="0" borderId="0" xfId="256" applyFont="1"/>
    <xf numFmtId="0" fontId="175" fillId="35" borderId="0" xfId="256" applyFill="1"/>
    <xf numFmtId="13" fontId="175" fillId="0" borderId="0" xfId="256" applyNumberFormat="1" applyAlignment="1">
      <alignment horizontal="left" vertical="top"/>
    </xf>
    <xf numFmtId="13" fontId="169" fillId="0" borderId="0" xfId="256" applyNumberFormat="1" applyFont="1" applyAlignment="1">
      <alignment horizontal="left" vertical="top"/>
    </xf>
    <xf numFmtId="13" fontId="175" fillId="0" borderId="222" xfId="256" applyNumberFormat="1" applyBorder="1" applyAlignment="1">
      <alignment horizontal="left" vertical="top"/>
    </xf>
    <xf numFmtId="13" fontId="16" fillId="0" borderId="222" xfId="256" applyNumberFormat="1" applyFont="1" applyBorder="1" applyAlignment="1">
      <alignment horizontal="left" vertical="top"/>
    </xf>
    <xf numFmtId="13" fontId="175" fillId="0" borderId="223" xfId="256" applyNumberFormat="1" applyBorder="1" applyAlignment="1">
      <alignment horizontal="left" vertical="top"/>
    </xf>
    <xf numFmtId="13" fontId="16" fillId="0" borderId="223" xfId="256" applyNumberFormat="1" applyFont="1" applyBorder="1" applyAlignment="1">
      <alignment horizontal="left" vertical="top"/>
    </xf>
    <xf numFmtId="0" fontId="0" fillId="0" borderId="0" xfId="0" applyAlignment="1">
      <alignment vertical="center" wrapText="1"/>
    </xf>
    <xf numFmtId="0" fontId="0" fillId="0" borderId="0" xfId="0" applyAlignment="1">
      <alignment vertical="center" textRotation="180" wrapText="1"/>
    </xf>
    <xf numFmtId="0" fontId="0" fillId="0" borderId="224" xfId="0" applyBorder="1" applyAlignment="1">
      <alignment vertical="center" wrapText="1"/>
    </xf>
    <xf numFmtId="0" fontId="0" fillId="0" borderId="225" xfId="0" applyBorder="1" applyAlignment="1">
      <alignment vertical="center" wrapText="1"/>
    </xf>
    <xf numFmtId="0" fontId="0" fillId="0" borderId="226" xfId="0" applyBorder="1" applyAlignment="1">
      <alignment vertical="center" wrapText="1"/>
    </xf>
    <xf numFmtId="0" fontId="0" fillId="0" borderId="227" xfId="0" applyBorder="1" applyAlignment="1">
      <alignment vertical="center" wrapText="1"/>
    </xf>
    <xf numFmtId="0" fontId="0" fillId="0" borderId="188" xfId="0" applyBorder="1" applyAlignment="1">
      <alignment vertical="center" wrapText="1"/>
    </xf>
    <xf numFmtId="0" fontId="0" fillId="0" borderId="228" xfId="0" applyBorder="1" applyAlignment="1">
      <alignment vertical="center" wrapText="1"/>
    </xf>
    <xf numFmtId="0" fontId="0" fillId="0" borderId="231" xfId="0" applyBorder="1" applyAlignment="1">
      <alignment vertical="center" textRotation="180" wrapText="1"/>
    </xf>
    <xf numFmtId="0" fontId="0" fillId="0" borderId="231" xfId="0" applyBorder="1" applyAlignment="1">
      <alignment vertical="center" wrapText="1"/>
    </xf>
    <xf numFmtId="0" fontId="0" fillId="0" borderId="224" xfId="0" applyBorder="1" applyAlignment="1">
      <alignment vertical="center" textRotation="180" wrapText="1"/>
    </xf>
    <xf numFmtId="0" fontId="0" fillId="0" borderId="228" xfId="0" applyBorder="1" applyAlignment="1">
      <alignment vertical="center" textRotation="180" wrapText="1"/>
    </xf>
    <xf numFmtId="0" fontId="0" fillId="0" borderId="203" xfId="0" applyBorder="1" applyAlignment="1">
      <alignment vertical="center" textRotation="180" wrapText="1"/>
    </xf>
    <xf numFmtId="0" fontId="0" fillId="0" borderId="46" xfId="0" applyBorder="1" applyAlignment="1">
      <alignment horizontal="center" vertical="center" textRotation="90"/>
    </xf>
    <xf numFmtId="0" fontId="0" fillId="0" borderId="57" xfId="0" applyBorder="1" applyAlignment="1">
      <alignment horizontal="center" textRotation="90"/>
    </xf>
    <xf numFmtId="0" fontId="0" fillId="0" borderId="53" xfId="0" applyBorder="1" applyAlignment="1">
      <alignment horizontal="center" textRotation="90"/>
    </xf>
    <xf numFmtId="0" fontId="0" fillId="0" borderId="50" xfId="0" applyBorder="1" applyAlignment="1">
      <alignment horizontal="center" textRotation="90" wrapText="1"/>
    </xf>
    <xf numFmtId="0" fontId="0" fillId="0" borderId="50" xfId="0" applyBorder="1" applyAlignment="1">
      <alignment horizontal="center" vertical="center" textRotation="90"/>
    </xf>
    <xf numFmtId="0" fontId="0" fillId="0" borderId="53" xfId="0" applyBorder="1" applyAlignment="1">
      <alignment horizontal="center" vertical="center" textRotation="90"/>
    </xf>
    <xf numFmtId="0" fontId="0" fillId="0" borderId="0" xfId="0" applyAlignment="1">
      <alignment horizontal="center" vertical="center"/>
    </xf>
    <xf numFmtId="0" fontId="0" fillId="0" borderId="11" xfId="0" applyBorder="1"/>
    <xf numFmtId="184" fontId="0" fillId="0" borderId="11" xfId="0" applyNumberFormat="1" applyBorder="1"/>
    <xf numFmtId="0" fontId="0" fillId="0" borderId="0" xfId="0" applyAlignment="1">
      <alignment horizontal="right"/>
    </xf>
    <xf numFmtId="0" fontId="42" fillId="0" borderId="60" xfId="0" applyFont="1" applyBorder="1"/>
    <xf numFmtId="176" fontId="51" fillId="0" borderId="0" xfId="0" applyNumberFormat="1" applyFont="1"/>
    <xf numFmtId="0" fontId="51" fillId="0" borderId="11" xfId="0" applyFont="1" applyBorder="1"/>
    <xf numFmtId="0" fontId="51" fillId="0" borderId="11" xfId="0" applyFont="1" applyBorder="1" applyAlignment="1">
      <alignment horizontal="left"/>
    </xf>
    <xf numFmtId="0" fontId="14" fillId="0" borderId="0" xfId="0" applyFont="1" applyAlignment="1">
      <alignment horizontal="center"/>
    </xf>
    <xf numFmtId="0" fontId="0" fillId="0" borderId="0" xfId="0" applyAlignment="1">
      <alignment wrapText="1"/>
    </xf>
    <xf numFmtId="0" fontId="14" fillId="0" borderId="82" xfId="0" applyFont="1" applyBorder="1" applyAlignment="1">
      <alignment horizontal="center" shrinkToFit="1"/>
    </xf>
    <xf numFmtId="0" fontId="66" fillId="0" borderId="82" xfId="0" applyFont="1" applyBorder="1" applyAlignment="1">
      <alignment horizontal="center" shrinkToFit="1"/>
    </xf>
    <xf numFmtId="0" fontId="0" fillId="0" borderId="0" xfId="0" applyAlignment="1">
      <alignment horizontal="center" wrapText="1" shrinkToFit="1"/>
    </xf>
    <xf numFmtId="0" fontId="175" fillId="35" borderId="90" xfId="257" applyFill="1" applyBorder="1" applyAlignment="1">
      <alignment horizontal="center" vertical="center"/>
    </xf>
    <xf numFmtId="0" fontId="175" fillId="33" borderId="90" xfId="257" applyFill="1" applyBorder="1" applyAlignment="1">
      <alignment horizontal="center" vertical="center"/>
    </xf>
    <xf numFmtId="0" fontId="69" fillId="36" borderId="91" xfId="0" applyFont="1" applyFill="1" applyBorder="1"/>
    <xf numFmtId="0" fontId="69" fillId="0" borderId="0" xfId="0" applyFont="1" applyAlignment="1">
      <alignment horizontal="center" vertical="center"/>
    </xf>
    <xf numFmtId="0" fontId="69" fillId="0" borderId="0" xfId="0" applyFont="1" applyAlignment="1">
      <alignment horizontal="center" vertical="center" wrapText="1"/>
    </xf>
    <xf numFmtId="0" fontId="69" fillId="0" borderId="0" xfId="0" applyFont="1" applyAlignment="1">
      <alignment horizontal="center"/>
    </xf>
    <xf numFmtId="0" fontId="8" fillId="0" borderId="4" xfId="303" applyAlignment="1" applyProtection="1">
      <alignment horizontal="center"/>
    </xf>
    <xf numFmtId="0" fontId="8" fillId="0" borderId="94" xfId="303" applyBorder="1" applyAlignment="1" applyProtection="1">
      <alignment horizontal="center"/>
    </xf>
    <xf numFmtId="0" fontId="69" fillId="0" borderId="0" xfId="0" applyFont="1"/>
    <xf numFmtId="0" fontId="69" fillId="24" borderId="0" xfId="0" applyFont="1" applyFill="1" applyAlignment="1">
      <alignment horizontal="center" vertical="center"/>
    </xf>
    <xf numFmtId="0" fontId="77" fillId="0" borderId="0" xfId="0" applyFont="1" applyAlignment="1" applyProtection="1">
      <alignment horizontal="center" vertical="top"/>
      <protection locked="0"/>
    </xf>
    <xf numFmtId="0" fontId="41" fillId="0" borderId="0" xfId="0" applyFont="1" applyAlignment="1">
      <alignment horizontal="left" vertical="top" wrapText="1"/>
    </xf>
    <xf numFmtId="0" fontId="103" fillId="0" borderId="120" xfId="0" applyFont="1" applyBorder="1" applyAlignment="1">
      <alignment horizontal="left" vertical="top"/>
    </xf>
    <xf numFmtId="0" fontId="77" fillId="0" borderId="120" xfId="0" applyFont="1" applyBorder="1" applyAlignment="1">
      <alignment horizontal="left" vertical="top"/>
    </xf>
    <xf numFmtId="0" fontId="41" fillId="0" borderId="0" xfId="0" applyFont="1" applyAlignment="1">
      <alignment horizontal="left" vertical="top"/>
    </xf>
    <xf numFmtId="0" fontId="0" fillId="0" borderId="120" xfId="0" applyBorder="1" applyAlignment="1">
      <alignment horizontal="justify"/>
    </xf>
    <xf numFmtId="0" fontId="114" fillId="0" borderId="65" xfId="0" applyFont="1" applyBorder="1" applyAlignment="1">
      <alignment horizontal="center" wrapText="1"/>
    </xf>
    <xf numFmtId="0" fontId="116" fillId="0" borderId="148" xfId="0" applyFont="1" applyBorder="1" applyAlignment="1">
      <alignment vertical="top" wrapText="1"/>
    </xf>
    <xf numFmtId="0" fontId="116" fillId="0" borderId="149" xfId="0" applyFont="1" applyBorder="1" applyAlignment="1">
      <alignment vertical="top" wrapText="1"/>
    </xf>
    <xf numFmtId="0" fontId="125" fillId="47" borderId="161" xfId="0" applyFont="1" applyFill="1" applyBorder="1" applyAlignment="1">
      <alignment horizontal="justify" vertical="center" wrapText="1"/>
    </xf>
    <xf numFmtId="0" fontId="126" fillId="16" borderId="161" xfId="0" applyFont="1" applyFill="1" applyBorder="1" applyAlignment="1">
      <alignment horizontal="justify" vertical="center" wrapText="1"/>
    </xf>
    <xf numFmtId="0" fontId="175" fillId="0" borderId="0" xfId="304"/>
    <xf numFmtId="0" fontId="69" fillId="0" borderId="0" xfId="304" applyFont="1" applyAlignment="1">
      <alignment horizontal="center" wrapText="1"/>
    </xf>
    <xf numFmtId="0" fontId="175" fillId="23" borderId="144" xfId="304" applyFill="1" applyBorder="1" applyAlignment="1">
      <alignment horizontal="center"/>
    </xf>
    <xf numFmtId="0" fontId="175" fillId="23" borderId="178" xfId="304" applyFill="1" applyBorder="1" applyAlignment="1">
      <alignment horizontal="center"/>
    </xf>
    <xf numFmtId="0" fontId="175" fillId="0" borderId="178" xfId="304" applyBorder="1" applyAlignment="1">
      <alignment horizontal="center" vertical="center" wrapText="1"/>
    </xf>
    <xf numFmtId="0" fontId="175" fillId="0" borderId="48" xfId="304" applyBorder="1" applyAlignment="1">
      <alignment horizontal="center"/>
    </xf>
    <xf numFmtId="200" fontId="43" fillId="0" borderId="0" xfId="0" applyNumberFormat="1" applyFont="1"/>
    <xf numFmtId="0" fontId="20" fillId="0" borderId="11" xfId="0" applyFont="1" applyBorder="1" applyAlignment="1">
      <alignment horizontal="center"/>
    </xf>
    <xf numFmtId="0" fontId="134" fillId="24" borderId="12" xfId="0" applyFont="1" applyFill="1" applyBorder="1" applyAlignment="1">
      <alignment horizontal="center" wrapText="1"/>
    </xf>
    <xf numFmtId="0" fontId="134" fillId="24" borderId="12" xfId="0" applyFont="1" applyFill="1" applyBorder="1" applyAlignment="1">
      <alignment horizontal="left" vertical="center" wrapText="1"/>
    </xf>
    <xf numFmtId="0" fontId="19" fillId="0" borderId="12" xfId="0" applyFont="1" applyBorder="1" applyAlignment="1">
      <alignment horizontal="left" vertical="center" wrapText="1"/>
    </xf>
    <xf numFmtId="0" fontId="0" fillId="13" borderId="0" xfId="0" applyFill="1" applyAlignment="1">
      <alignment horizontal="center" vertical="center"/>
    </xf>
    <xf numFmtId="0" fontId="0" fillId="28" borderId="0" xfId="0" applyFill="1" applyAlignment="1">
      <alignment horizontal="center" vertical="center"/>
    </xf>
    <xf numFmtId="0" fontId="0" fillId="42" borderId="0" xfId="0" applyFill="1" applyAlignment="1">
      <alignment horizontal="center" vertical="center"/>
    </xf>
    <xf numFmtId="0" fontId="0" fillId="10" borderId="0" xfId="0" applyFill="1" applyAlignment="1">
      <alignment horizontal="center" vertical="center"/>
    </xf>
    <xf numFmtId="0" fontId="0" fillId="31" borderId="0" xfId="0" applyFill="1" applyAlignment="1">
      <alignment horizontal="center" vertical="center"/>
    </xf>
    <xf numFmtId="0" fontId="0" fillId="41" borderId="0" xfId="0" applyFill="1" applyAlignment="1">
      <alignment horizontal="center" vertical="center"/>
    </xf>
    <xf numFmtId="0" fontId="0" fillId="22" borderId="0" xfId="0" applyFill="1" applyAlignment="1">
      <alignment horizontal="center" vertical="center"/>
    </xf>
    <xf numFmtId="0" fontId="0" fillId="25" borderId="0" xfId="0" applyFill="1" applyAlignment="1">
      <alignment horizontal="center" vertical="center"/>
    </xf>
    <xf numFmtId="0" fontId="23" fillId="0" borderId="84" xfId="0" applyFont="1" applyBorder="1" applyAlignment="1">
      <alignment horizontal="center"/>
    </xf>
    <xf numFmtId="0" fontId="139" fillId="0" borderId="0" xfId="0" applyFont="1" applyAlignment="1">
      <alignment horizontal="center"/>
    </xf>
    <xf numFmtId="0" fontId="140" fillId="0" borderId="9" xfId="0" applyFont="1" applyBorder="1" applyAlignment="1">
      <alignment horizontal="center" vertical="center"/>
    </xf>
    <xf numFmtId="0" fontId="140" fillId="0" borderId="83" xfId="0" applyFont="1" applyBorder="1" applyAlignment="1">
      <alignment horizontal="center" vertical="center"/>
    </xf>
    <xf numFmtId="0" fontId="140" fillId="0" borderId="89" xfId="0" applyFont="1" applyBorder="1" applyAlignment="1">
      <alignment horizontal="center"/>
    </xf>
    <xf numFmtId="0" fontId="0" fillId="0" borderId="84" xfId="0" applyBorder="1" applyAlignment="1">
      <alignment horizontal="center"/>
    </xf>
    <xf numFmtId="0" fontId="142" fillId="0" borderId="0" xfId="0" applyFont="1" applyAlignment="1">
      <alignment horizontal="center"/>
    </xf>
    <xf numFmtId="0" fontId="143" fillId="0" borderId="9" xfId="0" applyFont="1" applyBorder="1" applyAlignment="1">
      <alignment horizontal="center" vertical="center" textRotation="90"/>
    </xf>
    <xf numFmtId="0" fontId="145" fillId="0" borderId="83" xfId="0" applyFont="1" applyBorder="1" applyAlignment="1">
      <alignment horizontal="center" vertical="center"/>
    </xf>
    <xf numFmtId="0" fontId="145" fillId="0" borderId="89" xfId="0" applyFont="1" applyBorder="1" applyAlignment="1">
      <alignment horizontal="center"/>
    </xf>
    <xf numFmtId="0" fontId="146" fillId="0" borderId="88" xfId="0" applyFont="1" applyBorder="1" applyAlignment="1">
      <alignment horizontal="center"/>
    </xf>
    <xf numFmtId="0" fontId="147" fillId="0" borderId="9" xfId="0" applyFont="1" applyBorder="1" applyAlignment="1">
      <alignment horizontal="center" vertical="center" textRotation="90"/>
    </xf>
    <xf numFmtId="0" fontId="140" fillId="0" borderId="83" xfId="0" applyFont="1" applyBorder="1" applyAlignment="1">
      <alignment horizontal="center" vertical="center" textRotation="88"/>
    </xf>
    <xf numFmtId="0" fontId="149" fillId="0" borderId="84" xfId="0" applyFont="1" applyBorder="1" applyAlignment="1">
      <alignment horizontal="center" wrapText="1"/>
    </xf>
    <xf numFmtId="0" fontId="149" fillId="0" borderId="0" xfId="0" applyFont="1" applyAlignment="1">
      <alignment horizontal="center" wrapText="1"/>
    </xf>
    <xf numFmtId="0" fontId="149" fillId="0" borderId="9" xfId="0" applyFont="1" applyBorder="1" applyAlignment="1">
      <alignment horizontal="right" vertical="center" textRotation="90" wrapText="1"/>
    </xf>
    <xf numFmtId="0" fontId="149" fillId="0" borderId="205" xfId="0" applyFont="1" applyBorder="1" applyAlignment="1">
      <alignment horizontal="center" vertical="center" textRotation="88" wrapText="1"/>
    </xf>
    <xf numFmtId="0" fontId="149" fillId="0" borderId="89" xfId="0" applyFont="1" applyBorder="1" applyAlignment="1">
      <alignment horizontal="center" wrapText="1"/>
    </xf>
    <xf numFmtId="0" fontId="69" fillId="0" borderId="46" xfId="0" applyFont="1" applyBorder="1" applyAlignment="1">
      <alignment horizontal="center" vertical="center"/>
    </xf>
    <xf numFmtId="0" fontId="146" fillId="0" borderId="208" xfId="0" applyFont="1" applyBorder="1" applyAlignment="1">
      <alignment horizontal="center" vertical="center" wrapText="1"/>
    </xf>
    <xf numFmtId="0" fontId="146" fillId="0" borderId="54" xfId="0" applyFont="1" applyBorder="1" applyAlignment="1">
      <alignment horizontal="center" vertical="center" wrapText="1"/>
    </xf>
    <xf numFmtId="0" fontId="69" fillId="0" borderId="46" xfId="0" applyFont="1" applyBorder="1" applyAlignment="1">
      <alignment horizontal="left" vertical="center"/>
    </xf>
    <xf numFmtId="0" fontId="23" fillId="24" borderId="0" xfId="0" applyFont="1" applyFill="1" applyAlignment="1">
      <alignment horizontal="center"/>
    </xf>
    <xf numFmtId="0" fontId="69" fillId="0" borderId="57" xfId="0" applyFont="1" applyBorder="1" applyAlignment="1">
      <alignment horizontal="center" vertical="center"/>
    </xf>
    <xf numFmtId="0" fontId="0" fillId="0" borderId="0" xfId="0" applyAlignment="1">
      <alignment vertical="top"/>
    </xf>
    <xf numFmtId="0" fontId="175" fillId="0" borderId="0" xfId="256" applyAlignment="1">
      <alignment horizontal="center" vertical="center"/>
    </xf>
    <xf numFmtId="0" fontId="175" fillId="0" borderId="57" xfId="256" applyBorder="1" applyAlignment="1">
      <alignment horizontal="center" vertical="center" wrapText="1"/>
    </xf>
    <xf numFmtId="0" fontId="174" fillId="0" borderId="51" xfId="256" applyFont="1" applyBorder="1" applyAlignment="1">
      <alignment horizontal="center" vertical="center" wrapText="1"/>
    </xf>
    <xf numFmtId="0" fontId="174" fillId="0" borderId="51" xfId="256" applyFont="1" applyBorder="1" applyAlignment="1">
      <alignment horizontal="center" vertical="center"/>
    </xf>
    <xf numFmtId="0" fontId="175" fillId="0" borderId="51" xfId="256" applyBorder="1" applyAlignment="1">
      <alignment horizontal="center" vertical="center" wrapText="1"/>
    </xf>
    <xf numFmtId="0" fontId="0" fillId="0" borderId="90" xfId="0" applyBorder="1" applyAlignment="1">
      <alignment horizontal="center" vertical="center" wrapText="1"/>
    </xf>
    <xf numFmtId="0" fontId="0" fillId="0" borderId="225" xfId="0" applyBorder="1" applyAlignment="1">
      <alignment horizontal="center" vertical="center" wrapText="1"/>
    </xf>
    <xf numFmtId="0" fontId="160" fillId="0" borderId="56" xfId="0" applyFont="1" applyBorder="1" applyAlignment="1">
      <alignment horizontal="center" vertical="center" wrapText="1"/>
    </xf>
    <xf numFmtId="0" fontId="160" fillId="0" borderId="229" xfId="0" applyFont="1" applyBorder="1" applyAlignment="1">
      <alignment horizontal="center" vertical="center" wrapText="1"/>
    </xf>
    <xf numFmtId="0" fontId="160" fillId="0" borderId="230" xfId="0" applyFont="1" applyBorder="1" applyAlignment="1">
      <alignment horizontal="center" vertical="center" wrapText="1"/>
    </xf>
    <xf numFmtId="0" fontId="160" fillId="0" borderId="55" xfId="0" applyFont="1" applyBorder="1" applyAlignment="1">
      <alignment horizontal="center" vertical="center" wrapText="1"/>
    </xf>
    <xf numFmtId="0" fontId="0" fillId="0" borderId="90" xfId="0" applyBorder="1" applyAlignment="1">
      <alignment horizontal="center" vertical="center" textRotation="180" wrapText="1"/>
    </xf>
    <xf numFmtId="0" fontId="160" fillId="0" borderId="232" xfId="0" applyFont="1" applyBorder="1" applyAlignment="1">
      <alignment horizontal="center" vertical="center" wrapText="1"/>
    </xf>
    <xf numFmtId="0" fontId="160" fillId="0" borderId="32" xfId="0" applyFont="1" applyBorder="1" applyAlignment="1">
      <alignment horizontal="center" vertical="center" wrapText="1"/>
    </xf>
    <xf numFmtId="0" fontId="160" fillId="0" borderId="49" xfId="0" applyFont="1" applyBorder="1" applyAlignment="1">
      <alignment horizontal="center" vertical="center" wrapText="1"/>
    </xf>
    <xf numFmtId="0" fontId="160" fillId="0" borderId="50" xfId="0" applyFont="1" applyBorder="1" applyAlignment="1">
      <alignment horizontal="center" vertical="center" wrapText="1"/>
    </xf>
    <xf numFmtId="0" fontId="160" fillId="0" borderId="47" xfId="0" applyFont="1" applyBorder="1" applyAlignment="1">
      <alignment horizontal="center" vertical="center" wrapText="1"/>
    </xf>
  </cellXfs>
  <cellStyles count="305">
    <cellStyle name="20% - Accent1 1" xfId="3" xr:uid="{00000000-0005-0000-0000-000006000000}"/>
    <cellStyle name="20% - Accent1 2" xfId="4" xr:uid="{00000000-0005-0000-0000-000007000000}"/>
    <cellStyle name="20% - Accent1 3" xfId="5" xr:uid="{00000000-0005-0000-0000-000008000000}"/>
    <cellStyle name="20% - Accent1 4" xfId="6" xr:uid="{00000000-0005-0000-0000-000009000000}"/>
    <cellStyle name="20% - Accent1 5" xfId="7" xr:uid="{00000000-0005-0000-0000-00000A000000}"/>
    <cellStyle name="20% - Accent1 6" xfId="8" xr:uid="{00000000-0005-0000-0000-00000B000000}"/>
    <cellStyle name="20% - Accent1 7" xfId="9" xr:uid="{00000000-0005-0000-0000-00000C000000}"/>
    <cellStyle name="20% - Accent2 1" xfId="10" xr:uid="{00000000-0005-0000-0000-00000D000000}"/>
    <cellStyle name="20% - Accent2 2" xfId="11" xr:uid="{00000000-0005-0000-0000-00000E000000}"/>
    <cellStyle name="20% - Accent2 3" xfId="12" xr:uid="{00000000-0005-0000-0000-00000F000000}"/>
    <cellStyle name="20% - Accent2 4" xfId="13" xr:uid="{00000000-0005-0000-0000-000010000000}"/>
    <cellStyle name="20% - Accent2 5" xfId="14" xr:uid="{00000000-0005-0000-0000-000011000000}"/>
    <cellStyle name="20% - Accent2 6" xfId="15" xr:uid="{00000000-0005-0000-0000-000012000000}"/>
    <cellStyle name="20% - Accent2 7" xfId="16" xr:uid="{00000000-0005-0000-0000-000013000000}"/>
    <cellStyle name="20% - Accent3 1" xfId="17" xr:uid="{00000000-0005-0000-0000-000014000000}"/>
    <cellStyle name="20% - Accent3 2" xfId="18" xr:uid="{00000000-0005-0000-0000-000015000000}"/>
    <cellStyle name="20% - Accent3 3" xfId="19" xr:uid="{00000000-0005-0000-0000-000016000000}"/>
    <cellStyle name="20% - Accent3 4" xfId="20" xr:uid="{00000000-0005-0000-0000-000017000000}"/>
    <cellStyle name="20% - Accent3 5" xfId="21" xr:uid="{00000000-0005-0000-0000-000018000000}"/>
    <cellStyle name="20% - Accent3 6" xfId="22" xr:uid="{00000000-0005-0000-0000-000019000000}"/>
    <cellStyle name="20% - Accent3 7" xfId="23" xr:uid="{00000000-0005-0000-0000-00001A000000}"/>
    <cellStyle name="20% - Accent4 1" xfId="24" xr:uid="{00000000-0005-0000-0000-00001B000000}"/>
    <cellStyle name="20% - Accent4 2" xfId="25" xr:uid="{00000000-0005-0000-0000-00001C000000}"/>
    <cellStyle name="20% - Accent4 3" xfId="26" xr:uid="{00000000-0005-0000-0000-00001D000000}"/>
    <cellStyle name="20% - Accent4 4" xfId="27" xr:uid="{00000000-0005-0000-0000-00001E000000}"/>
    <cellStyle name="20% - Accent4 5" xfId="28" xr:uid="{00000000-0005-0000-0000-00001F000000}"/>
    <cellStyle name="20% - Accent4 6" xfId="29" xr:uid="{00000000-0005-0000-0000-000020000000}"/>
    <cellStyle name="20% - Accent4 7" xfId="30" xr:uid="{00000000-0005-0000-0000-000021000000}"/>
    <cellStyle name="20% - Accent5 1" xfId="31" xr:uid="{00000000-0005-0000-0000-000022000000}"/>
    <cellStyle name="20% - Accent5 2" xfId="32" xr:uid="{00000000-0005-0000-0000-000023000000}"/>
    <cellStyle name="20% - Accent5 3" xfId="33" xr:uid="{00000000-0005-0000-0000-000024000000}"/>
    <cellStyle name="20% - Accent5 4" xfId="34" xr:uid="{00000000-0005-0000-0000-000025000000}"/>
    <cellStyle name="20% - Accent5 5" xfId="35" xr:uid="{00000000-0005-0000-0000-000026000000}"/>
    <cellStyle name="20% - Accent5 6" xfId="36" xr:uid="{00000000-0005-0000-0000-000027000000}"/>
    <cellStyle name="20% - Accent5 7" xfId="37" xr:uid="{00000000-0005-0000-0000-000028000000}"/>
    <cellStyle name="20% - Accent6 1" xfId="38" xr:uid="{00000000-0005-0000-0000-000029000000}"/>
    <cellStyle name="20% - Accent6 2" xfId="39" xr:uid="{00000000-0005-0000-0000-00002A000000}"/>
    <cellStyle name="20% - Accent6 3" xfId="40" xr:uid="{00000000-0005-0000-0000-00002B000000}"/>
    <cellStyle name="20% - Accent6 4" xfId="41" xr:uid="{00000000-0005-0000-0000-00002C000000}"/>
    <cellStyle name="20% - Accent6 5" xfId="42" xr:uid="{00000000-0005-0000-0000-00002D000000}"/>
    <cellStyle name="20% - Accent6 6" xfId="43" xr:uid="{00000000-0005-0000-0000-00002E000000}"/>
    <cellStyle name="20% - Accent6 7" xfId="44" xr:uid="{00000000-0005-0000-0000-00002F000000}"/>
    <cellStyle name="40% - Accent1 1" xfId="45" xr:uid="{00000000-0005-0000-0000-000030000000}"/>
    <cellStyle name="40% - Accent1 2" xfId="46" xr:uid="{00000000-0005-0000-0000-000031000000}"/>
    <cellStyle name="40% - Accent1 3" xfId="47" xr:uid="{00000000-0005-0000-0000-000032000000}"/>
    <cellStyle name="40% - Accent1 4" xfId="48" xr:uid="{00000000-0005-0000-0000-000033000000}"/>
    <cellStyle name="40% - Accent1 5" xfId="49" xr:uid="{00000000-0005-0000-0000-000034000000}"/>
    <cellStyle name="40% - Accent1 6" xfId="50" xr:uid="{00000000-0005-0000-0000-000035000000}"/>
    <cellStyle name="40% - Accent1 7" xfId="51" xr:uid="{00000000-0005-0000-0000-000036000000}"/>
    <cellStyle name="40% - Accent2 1" xfId="52" xr:uid="{00000000-0005-0000-0000-000037000000}"/>
    <cellStyle name="40% - Accent2 2" xfId="53" xr:uid="{00000000-0005-0000-0000-000038000000}"/>
    <cellStyle name="40% - Accent2 3" xfId="54" xr:uid="{00000000-0005-0000-0000-000039000000}"/>
    <cellStyle name="40% - Accent2 4" xfId="55" xr:uid="{00000000-0005-0000-0000-00003A000000}"/>
    <cellStyle name="40% - Accent2 5" xfId="56" xr:uid="{00000000-0005-0000-0000-00003B000000}"/>
    <cellStyle name="40% - Accent2 6" xfId="57" xr:uid="{00000000-0005-0000-0000-00003C000000}"/>
    <cellStyle name="40% - Accent2 7" xfId="58" xr:uid="{00000000-0005-0000-0000-00003D000000}"/>
    <cellStyle name="40% - Accent3 1" xfId="59" xr:uid="{00000000-0005-0000-0000-00003E000000}"/>
    <cellStyle name="40% - Accent3 2" xfId="60" xr:uid="{00000000-0005-0000-0000-00003F000000}"/>
    <cellStyle name="40% - Accent3 3" xfId="61" xr:uid="{00000000-0005-0000-0000-000040000000}"/>
    <cellStyle name="40% - Accent3 4" xfId="62" xr:uid="{00000000-0005-0000-0000-000041000000}"/>
    <cellStyle name="40% - Accent3 5" xfId="63" xr:uid="{00000000-0005-0000-0000-000042000000}"/>
    <cellStyle name="40% - Accent3 6" xfId="64" xr:uid="{00000000-0005-0000-0000-000043000000}"/>
    <cellStyle name="40% - Accent3 7" xfId="65" xr:uid="{00000000-0005-0000-0000-000044000000}"/>
    <cellStyle name="40% - Accent4 1" xfId="66" xr:uid="{00000000-0005-0000-0000-000045000000}"/>
    <cellStyle name="40% - Accent4 2" xfId="67" xr:uid="{00000000-0005-0000-0000-000046000000}"/>
    <cellStyle name="40% - Accent4 3" xfId="68" xr:uid="{00000000-0005-0000-0000-000047000000}"/>
    <cellStyle name="40% - Accent4 4" xfId="69" xr:uid="{00000000-0005-0000-0000-000048000000}"/>
    <cellStyle name="40% - Accent4 5" xfId="70" xr:uid="{00000000-0005-0000-0000-000049000000}"/>
    <cellStyle name="40% - Accent4 6" xfId="71" xr:uid="{00000000-0005-0000-0000-00004A000000}"/>
    <cellStyle name="40% - Accent4 7" xfId="72" xr:uid="{00000000-0005-0000-0000-00004B000000}"/>
    <cellStyle name="40% - Accent5 1" xfId="73" xr:uid="{00000000-0005-0000-0000-00004C000000}"/>
    <cellStyle name="40% - Accent5 2" xfId="74" xr:uid="{00000000-0005-0000-0000-00004D000000}"/>
    <cellStyle name="40% - Accent5 3" xfId="75" xr:uid="{00000000-0005-0000-0000-00004E000000}"/>
    <cellStyle name="40% - Accent5 4" xfId="76" xr:uid="{00000000-0005-0000-0000-00004F000000}"/>
    <cellStyle name="40% - Accent5 5" xfId="77" xr:uid="{00000000-0005-0000-0000-000050000000}"/>
    <cellStyle name="40% - Accent5 6" xfId="78" xr:uid="{00000000-0005-0000-0000-000051000000}"/>
    <cellStyle name="40% - Accent5 7" xfId="79" xr:uid="{00000000-0005-0000-0000-000052000000}"/>
    <cellStyle name="40% - Accent6 1" xfId="80" xr:uid="{00000000-0005-0000-0000-000053000000}"/>
    <cellStyle name="40% - Accent6 2" xfId="81" xr:uid="{00000000-0005-0000-0000-000054000000}"/>
    <cellStyle name="40% - Accent6 3" xfId="82" xr:uid="{00000000-0005-0000-0000-000055000000}"/>
    <cellStyle name="40% - Accent6 4" xfId="83" xr:uid="{00000000-0005-0000-0000-000056000000}"/>
    <cellStyle name="40% - Accent6 5" xfId="84" xr:uid="{00000000-0005-0000-0000-000057000000}"/>
    <cellStyle name="40% - Accent6 6" xfId="85" xr:uid="{00000000-0005-0000-0000-000058000000}"/>
    <cellStyle name="40% - Accent6 7" xfId="86" xr:uid="{00000000-0005-0000-0000-000059000000}"/>
    <cellStyle name="60% - Accent1 1" xfId="87" xr:uid="{00000000-0005-0000-0000-00005A000000}"/>
    <cellStyle name="60% - Accent1 2" xfId="88" xr:uid="{00000000-0005-0000-0000-00005B000000}"/>
    <cellStyle name="60% - Accent1 3" xfId="89" xr:uid="{00000000-0005-0000-0000-00005C000000}"/>
    <cellStyle name="60% - Accent1 4" xfId="90" xr:uid="{00000000-0005-0000-0000-00005D000000}"/>
    <cellStyle name="60% - Accent1 5" xfId="91" xr:uid="{00000000-0005-0000-0000-00005E000000}"/>
    <cellStyle name="60% - Accent1 6" xfId="92" xr:uid="{00000000-0005-0000-0000-00005F000000}"/>
    <cellStyle name="60% - Accent1 7" xfId="93" xr:uid="{00000000-0005-0000-0000-000060000000}"/>
    <cellStyle name="60% - Accent2 1" xfId="94" xr:uid="{00000000-0005-0000-0000-000061000000}"/>
    <cellStyle name="60% - Accent2 2" xfId="95" xr:uid="{00000000-0005-0000-0000-000062000000}"/>
    <cellStyle name="60% - Accent2 3" xfId="96" xr:uid="{00000000-0005-0000-0000-000063000000}"/>
    <cellStyle name="60% - Accent2 4" xfId="97" xr:uid="{00000000-0005-0000-0000-000064000000}"/>
    <cellStyle name="60% - Accent2 5" xfId="98" xr:uid="{00000000-0005-0000-0000-000065000000}"/>
    <cellStyle name="60% - Accent2 6" xfId="99" xr:uid="{00000000-0005-0000-0000-000066000000}"/>
    <cellStyle name="60% - Accent2 7" xfId="100" xr:uid="{00000000-0005-0000-0000-000067000000}"/>
    <cellStyle name="60% - Accent3 1" xfId="101" xr:uid="{00000000-0005-0000-0000-000068000000}"/>
    <cellStyle name="60% - Accent3 2" xfId="102" xr:uid="{00000000-0005-0000-0000-000069000000}"/>
    <cellStyle name="60% - Accent3 3" xfId="103" xr:uid="{00000000-0005-0000-0000-00006A000000}"/>
    <cellStyle name="60% - Accent3 4" xfId="104" xr:uid="{00000000-0005-0000-0000-00006B000000}"/>
    <cellStyle name="60% - Accent3 5" xfId="105" xr:uid="{00000000-0005-0000-0000-00006C000000}"/>
    <cellStyle name="60% - Accent3 6" xfId="106" xr:uid="{00000000-0005-0000-0000-00006D000000}"/>
    <cellStyle name="60% - Accent3 7" xfId="107" xr:uid="{00000000-0005-0000-0000-00006E000000}"/>
    <cellStyle name="60% - Accent4 1" xfId="108" xr:uid="{00000000-0005-0000-0000-00006F000000}"/>
    <cellStyle name="60% - Accent4 2" xfId="109" xr:uid="{00000000-0005-0000-0000-000070000000}"/>
    <cellStyle name="60% - Accent4 3" xfId="110" xr:uid="{00000000-0005-0000-0000-000071000000}"/>
    <cellStyle name="60% - Accent4 4" xfId="111" xr:uid="{00000000-0005-0000-0000-000072000000}"/>
    <cellStyle name="60% - Accent4 5" xfId="112" xr:uid="{00000000-0005-0000-0000-000073000000}"/>
    <cellStyle name="60% - Accent4 6" xfId="113" xr:uid="{00000000-0005-0000-0000-000074000000}"/>
    <cellStyle name="60% - Accent4 7" xfId="114" xr:uid="{00000000-0005-0000-0000-000075000000}"/>
    <cellStyle name="60% - Accent5 1" xfId="115" xr:uid="{00000000-0005-0000-0000-000076000000}"/>
    <cellStyle name="60% - Accent5 2" xfId="116" xr:uid="{00000000-0005-0000-0000-000077000000}"/>
    <cellStyle name="60% - Accent5 3" xfId="117" xr:uid="{00000000-0005-0000-0000-000078000000}"/>
    <cellStyle name="60% - Accent5 4" xfId="118" xr:uid="{00000000-0005-0000-0000-000079000000}"/>
    <cellStyle name="60% - Accent5 5" xfId="119" xr:uid="{00000000-0005-0000-0000-00007A000000}"/>
    <cellStyle name="60% - Accent5 6" xfId="120" xr:uid="{00000000-0005-0000-0000-00007B000000}"/>
    <cellStyle name="60% - Accent5 7" xfId="121" xr:uid="{00000000-0005-0000-0000-00007C000000}"/>
    <cellStyle name="60% - Accent6 1" xfId="122" xr:uid="{00000000-0005-0000-0000-00007D000000}"/>
    <cellStyle name="60% - Accent6 2" xfId="123" xr:uid="{00000000-0005-0000-0000-00007E000000}"/>
    <cellStyle name="60% - Accent6 3" xfId="124" xr:uid="{00000000-0005-0000-0000-00007F000000}"/>
    <cellStyle name="60% - Accent6 4" xfId="125" xr:uid="{00000000-0005-0000-0000-000080000000}"/>
    <cellStyle name="60% - Accent6 5" xfId="126" xr:uid="{00000000-0005-0000-0000-000081000000}"/>
    <cellStyle name="60% - Accent6 6" xfId="127" xr:uid="{00000000-0005-0000-0000-000082000000}"/>
    <cellStyle name="60% - Accent6 7" xfId="128" xr:uid="{00000000-0005-0000-0000-000083000000}"/>
    <cellStyle name="Accent1 1" xfId="129" xr:uid="{00000000-0005-0000-0000-000084000000}"/>
    <cellStyle name="Accent1 2" xfId="130" xr:uid="{00000000-0005-0000-0000-000085000000}"/>
    <cellStyle name="Accent1 3" xfId="131" xr:uid="{00000000-0005-0000-0000-000086000000}"/>
    <cellStyle name="Accent1 4" xfId="132" xr:uid="{00000000-0005-0000-0000-000087000000}"/>
    <cellStyle name="Accent1 5" xfId="133" xr:uid="{00000000-0005-0000-0000-000088000000}"/>
    <cellStyle name="Accent1 6" xfId="134" xr:uid="{00000000-0005-0000-0000-000089000000}"/>
    <cellStyle name="Accent1 7" xfId="135" xr:uid="{00000000-0005-0000-0000-00008A000000}"/>
    <cellStyle name="Accent2 1" xfId="136" xr:uid="{00000000-0005-0000-0000-00008B000000}"/>
    <cellStyle name="Accent2 2" xfId="137" xr:uid="{00000000-0005-0000-0000-00008C000000}"/>
    <cellStyle name="Accent2 3" xfId="138" xr:uid="{00000000-0005-0000-0000-00008D000000}"/>
    <cellStyle name="Accent2 4" xfId="139" xr:uid="{00000000-0005-0000-0000-00008E000000}"/>
    <cellStyle name="Accent2 5" xfId="140" xr:uid="{00000000-0005-0000-0000-00008F000000}"/>
    <cellStyle name="Accent2 6" xfId="141" xr:uid="{00000000-0005-0000-0000-000090000000}"/>
    <cellStyle name="Accent2 7" xfId="142" xr:uid="{00000000-0005-0000-0000-000091000000}"/>
    <cellStyle name="Accent3 1" xfId="143" xr:uid="{00000000-0005-0000-0000-000092000000}"/>
    <cellStyle name="Accent3 2" xfId="144" xr:uid="{00000000-0005-0000-0000-000093000000}"/>
    <cellStyle name="Accent3 3" xfId="145" xr:uid="{00000000-0005-0000-0000-000094000000}"/>
    <cellStyle name="Accent3 4" xfId="146" xr:uid="{00000000-0005-0000-0000-000095000000}"/>
    <cellStyle name="Accent3 5" xfId="147" xr:uid="{00000000-0005-0000-0000-000096000000}"/>
    <cellStyle name="Accent3 6" xfId="148" xr:uid="{00000000-0005-0000-0000-000097000000}"/>
    <cellStyle name="Accent3 7" xfId="149" xr:uid="{00000000-0005-0000-0000-000098000000}"/>
    <cellStyle name="Accent4 1" xfId="150" xr:uid="{00000000-0005-0000-0000-000099000000}"/>
    <cellStyle name="Accent4 2" xfId="151" xr:uid="{00000000-0005-0000-0000-00009A000000}"/>
    <cellStyle name="Accent4 3" xfId="152" xr:uid="{00000000-0005-0000-0000-00009B000000}"/>
    <cellStyle name="Accent4 4" xfId="153" xr:uid="{00000000-0005-0000-0000-00009C000000}"/>
    <cellStyle name="Accent4 5" xfId="154" xr:uid="{00000000-0005-0000-0000-00009D000000}"/>
    <cellStyle name="Accent4 6" xfId="155" xr:uid="{00000000-0005-0000-0000-00009E000000}"/>
    <cellStyle name="Accent4 7" xfId="156" xr:uid="{00000000-0005-0000-0000-00009F000000}"/>
    <cellStyle name="Accent5 1" xfId="157" xr:uid="{00000000-0005-0000-0000-0000A0000000}"/>
    <cellStyle name="Accent5 2" xfId="158" xr:uid="{00000000-0005-0000-0000-0000A1000000}"/>
    <cellStyle name="Accent5 3" xfId="159" xr:uid="{00000000-0005-0000-0000-0000A2000000}"/>
    <cellStyle name="Accent5 4" xfId="160" xr:uid="{00000000-0005-0000-0000-0000A3000000}"/>
    <cellStyle name="Accent5 5" xfId="161" xr:uid="{00000000-0005-0000-0000-0000A4000000}"/>
    <cellStyle name="Accent5 6" xfId="162" xr:uid="{00000000-0005-0000-0000-0000A5000000}"/>
    <cellStyle name="Accent5 7" xfId="163" xr:uid="{00000000-0005-0000-0000-0000A6000000}"/>
    <cellStyle name="Accent6 1" xfId="164" xr:uid="{00000000-0005-0000-0000-0000A7000000}"/>
    <cellStyle name="Accent6 2" xfId="165" xr:uid="{00000000-0005-0000-0000-0000A8000000}"/>
    <cellStyle name="Accent6 3" xfId="166" xr:uid="{00000000-0005-0000-0000-0000A9000000}"/>
    <cellStyle name="Accent6 4" xfId="167" xr:uid="{00000000-0005-0000-0000-0000AA000000}"/>
    <cellStyle name="Accent6 5" xfId="168" xr:uid="{00000000-0005-0000-0000-0000AB000000}"/>
    <cellStyle name="Accent6 6" xfId="169" xr:uid="{00000000-0005-0000-0000-0000AC000000}"/>
    <cellStyle name="Accent6 7" xfId="170" xr:uid="{00000000-0005-0000-0000-0000AD000000}"/>
    <cellStyle name="Bad 1" xfId="171" xr:uid="{00000000-0005-0000-0000-0000AE000000}"/>
    <cellStyle name="Bad 2" xfId="172" xr:uid="{00000000-0005-0000-0000-0000AF000000}"/>
    <cellStyle name="Bad 3" xfId="173" xr:uid="{00000000-0005-0000-0000-0000B0000000}"/>
    <cellStyle name="Bad 4" xfId="174" xr:uid="{00000000-0005-0000-0000-0000B1000000}"/>
    <cellStyle name="Bad 5" xfId="175" xr:uid="{00000000-0005-0000-0000-0000B2000000}"/>
    <cellStyle name="Bad 6" xfId="176" xr:uid="{00000000-0005-0000-0000-0000B3000000}"/>
    <cellStyle name="Bad 7" xfId="177" xr:uid="{00000000-0005-0000-0000-0000B4000000}"/>
    <cellStyle name="Calculation 1" xfId="178" xr:uid="{00000000-0005-0000-0000-0000B5000000}"/>
    <cellStyle name="Calculation 2" xfId="179" xr:uid="{00000000-0005-0000-0000-0000B6000000}"/>
    <cellStyle name="Calculation 3" xfId="180" xr:uid="{00000000-0005-0000-0000-0000B7000000}"/>
    <cellStyle name="Calculation 4" xfId="181" xr:uid="{00000000-0005-0000-0000-0000B8000000}"/>
    <cellStyle name="Calculation 5" xfId="182" xr:uid="{00000000-0005-0000-0000-0000B9000000}"/>
    <cellStyle name="Calculation 6" xfId="183" xr:uid="{00000000-0005-0000-0000-0000BA000000}"/>
    <cellStyle name="Calculation 7" xfId="184" xr:uid="{00000000-0005-0000-0000-0000BB000000}"/>
    <cellStyle name="Check Cell 1" xfId="185" xr:uid="{00000000-0005-0000-0000-0000BC000000}"/>
    <cellStyle name="Check Cell 2" xfId="186" xr:uid="{00000000-0005-0000-0000-0000BD000000}"/>
    <cellStyle name="Check Cell 3" xfId="187" xr:uid="{00000000-0005-0000-0000-0000BE000000}"/>
    <cellStyle name="Check Cell 4" xfId="188" xr:uid="{00000000-0005-0000-0000-0000BF000000}"/>
    <cellStyle name="Check Cell 5" xfId="189" xr:uid="{00000000-0005-0000-0000-0000C0000000}"/>
    <cellStyle name="Check Cell 6" xfId="190" xr:uid="{00000000-0005-0000-0000-0000C1000000}"/>
    <cellStyle name="Check Cell 7" xfId="191" xr:uid="{00000000-0005-0000-0000-0000C2000000}"/>
    <cellStyle name="Comma" xfId="1" builtinId="3"/>
    <cellStyle name="Excel Built-in Heading 2" xfId="303" xr:uid="{00000000-0005-0000-0000-000032010000}"/>
    <cellStyle name="Excel Built-in Neutral" xfId="302" xr:uid="{00000000-0005-0000-0000-000031010000}"/>
    <cellStyle name="Excel Built-in Normal" xfId="304" xr:uid="{00000000-0005-0000-0000-000034010000}"/>
    <cellStyle name="Explanatory Text 1" xfId="192" xr:uid="{00000000-0005-0000-0000-0000C3000000}"/>
    <cellStyle name="Explanatory Text 2" xfId="193" xr:uid="{00000000-0005-0000-0000-0000C4000000}"/>
    <cellStyle name="Explanatory Text 3" xfId="194" xr:uid="{00000000-0005-0000-0000-0000C5000000}"/>
    <cellStyle name="Explanatory Text 4" xfId="195" xr:uid="{00000000-0005-0000-0000-0000C6000000}"/>
    <cellStyle name="Explanatory Text 5" xfId="196" xr:uid="{00000000-0005-0000-0000-0000C7000000}"/>
    <cellStyle name="Explanatory Text 6" xfId="197" xr:uid="{00000000-0005-0000-0000-0000C8000000}"/>
    <cellStyle name="Explanatory Text 7" xfId="198" xr:uid="{00000000-0005-0000-0000-0000C9000000}"/>
    <cellStyle name="Good 1" xfId="199" xr:uid="{00000000-0005-0000-0000-0000CA000000}"/>
    <cellStyle name="Good 2" xfId="200" xr:uid="{00000000-0005-0000-0000-0000CB000000}"/>
    <cellStyle name="Good 3" xfId="201" xr:uid="{00000000-0005-0000-0000-0000CC000000}"/>
    <cellStyle name="Good 4" xfId="202" xr:uid="{00000000-0005-0000-0000-0000CD000000}"/>
    <cellStyle name="Good 5" xfId="203" xr:uid="{00000000-0005-0000-0000-0000CE000000}"/>
    <cellStyle name="Good 6" xfId="204" xr:uid="{00000000-0005-0000-0000-0000CF000000}"/>
    <cellStyle name="Good 7" xfId="205" xr:uid="{00000000-0005-0000-0000-0000D0000000}"/>
    <cellStyle name="Heading 1 1" xfId="206" xr:uid="{00000000-0005-0000-0000-0000D1000000}"/>
    <cellStyle name="Heading 1 2" xfId="207" xr:uid="{00000000-0005-0000-0000-0000D2000000}"/>
    <cellStyle name="Heading 1 3" xfId="208" xr:uid="{00000000-0005-0000-0000-0000D3000000}"/>
    <cellStyle name="Heading 1 4" xfId="209" xr:uid="{00000000-0005-0000-0000-0000D4000000}"/>
    <cellStyle name="Heading 1 5" xfId="210" xr:uid="{00000000-0005-0000-0000-0000D5000000}"/>
    <cellStyle name="Heading 1 6" xfId="211" xr:uid="{00000000-0005-0000-0000-0000D6000000}"/>
    <cellStyle name="Heading 1 7" xfId="212" xr:uid="{00000000-0005-0000-0000-0000D7000000}"/>
    <cellStyle name="Heading 2 1" xfId="213" xr:uid="{00000000-0005-0000-0000-0000D8000000}"/>
    <cellStyle name="Heading 2 2" xfId="214" xr:uid="{00000000-0005-0000-0000-0000D9000000}"/>
    <cellStyle name="Heading 2 3" xfId="215" xr:uid="{00000000-0005-0000-0000-0000DA000000}"/>
    <cellStyle name="Heading 2 4" xfId="216" xr:uid="{00000000-0005-0000-0000-0000DB000000}"/>
    <cellStyle name="Heading 2 5" xfId="217" xr:uid="{00000000-0005-0000-0000-0000DC000000}"/>
    <cellStyle name="Heading 2 6" xfId="218" xr:uid="{00000000-0005-0000-0000-0000DD000000}"/>
    <cellStyle name="Heading 2 7" xfId="219" xr:uid="{00000000-0005-0000-0000-0000DE000000}"/>
    <cellStyle name="Heading 3 1" xfId="220" xr:uid="{00000000-0005-0000-0000-0000DF000000}"/>
    <cellStyle name="Heading 3 2" xfId="221" xr:uid="{00000000-0005-0000-0000-0000E0000000}"/>
    <cellStyle name="Heading 3 3" xfId="222" xr:uid="{00000000-0005-0000-0000-0000E1000000}"/>
    <cellStyle name="Heading 3 4" xfId="223" xr:uid="{00000000-0005-0000-0000-0000E2000000}"/>
    <cellStyle name="Heading 3 5" xfId="224" xr:uid="{00000000-0005-0000-0000-0000E3000000}"/>
    <cellStyle name="Heading 3 6" xfId="225" xr:uid="{00000000-0005-0000-0000-0000E4000000}"/>
    <cellStyle name="Heading 3 7" xfId="226" xr:uid="{00000000-0005-0000-0000-0000E5000000}"/>
    <cellStyle name="Heading 4 1" xfId="227" xr:uid="{00000000-0005-0000-0000-0000E6000000}"/>
    <cellStyle name="Heading 4 2" xfId="228" xr:uid="{00000000-0005-0000-0000-0000E7000000}"/>
    <cellStyle name="Heading 4 3" xfId="229" xr:uid="{00000000-0005-0000-0000-0000E8000000}"/>
    <cellStyle name="Heading 4 4" xfId="230" xr:uid="{00000000-0005-0000-0000-0000E9000000}"/>
    <cellStyle name="Heading 4 5" xfId="231" xr:uid="{00000000-0005-0000-0000-0000EA000000}"/>
    <cellStyle name="Heading 4 6" xfId="232" xr:uid="{00000000-0005-0000-0000-0000EB000000}"/>
    <cellStyle name="Heading 4 7" xfId="233" xr:uid="{00000000-0005-0000-0000-0000EC000000}"/>
    <cellStyle name="Hyperlink" xfId="2" builtinId="8"/>
    <cellStyle name="Input 1" xfId="234" xr:uid="{00000000-0005-0000-0000-0000ED000000}"/>
    <cellStyle name="Input 2" xfId="235" xr:uid="{00000000-0005-0000-0000-0000EE000000}"/>
    <cellStyle name="Input 3" xfId="236" xr:uid="{00000000-0005-0000-0000-0000EF000000}"/>
    <cellStyle name="Input 4" xfId="237" xr:uid="{00000000-0005-0000-0000-0000F0000000}"/>
    <cellStyle name="Input 5" xfId="238" xr:uid="{00000000-0005-0000-0000-0000F1000000}"/>
    <cellStyle name="Input 6" xfId="239" xr:uid="{00000000-0005-0000-0000-0000F2000000}"/>
    <cellStyle name="Input 7" xfId="240" xr:uid="{00000000-0005-0000-0000-0000F3000000}"/>
    <cellStyle name="Linked Cell 1" xfId="241" xr:uid="{00000000-0005-0000-0000-0000F4000000}"/>
    <cellStyle name="Linked Cell 2" xfId="242" xr:uid="{00000000-0005-0000-0000-0000F5000000}"/>
    <cellStyle name="Linked Cell 3" xfId="243" xr:uid="{00000000-0005-0000-0000-0000F6000000}"/>
    <cellStyle name="Linked Cell 4" xfId="244" xr:uid="{00000000-0005-0000-0000-0000F7000000}"/>
    <cellStyle name="Linked Cell 5" xfId="245" xr:uid="{00000000-0005-0000-0000-0000F8000000}"/>
    <cellStyle name="Linked Cell 6" xfId="246" xr:uid="{00000000-0005-0000-0000-0000F9000000}"/>
    <cellStyle name="Linked Cell 7" xfId="247" xr:uid="{00000000-0005-0000-0000-0000FA000000}"/>
    <cellStyle name="Neutral 1" xfId="248" xr:uid="{00000000-0005-0000-0000-0000FB000000}"/>
    <cellStyle name="Neutral 2" xfId="249" xr:uid="{00000000-0005-0000-0000-0000FC000000}"/>
    <cellStyle name="Neutral 3" xfId="250" xr:uid="{00000000-0005-0000-0000-0000FD000000}"/>
    <cellStyle name="Neutral 4" xfId="251" xr:uid="{00000000-0005-0000-0000-0000FE000000}"/>
    <cellStyle name="Neutral 5" xfId="252" xr:uid="{00000000-0005-0000-0000-0000FF000000}"/>
    <cellStyle name="Neutral 6" xfId="253" xr:uid="{00000000-0005-0000-0000-000000010000}"/>
    <cellStyle name="Neutral 7" xfId="254" xr:uid="{00000000-0005-0000-0000-000001010000}"/>
    <cellStyle name="Normal" xfId="0" builtinId="0"/>
    <cellStyle name="Normal 2" xfId="255" xr:uid="{00000000-0005-0000-0000-000002010000}"/>
    <cellStyle name="Normal 3" xfId="256" xr:uid="{00000000-0005-0000-0000-000003010000}"/>
    <cellStyle name="Normal 4" xfId="257" xr:uid="{00000000-0005-0000-0000-000004010000}"/>
    <cellStyle name="Normal 5" xfId="258" xr:uid="{00000000-0005-0000-0000-000005010000}"/>
    <cellStyle name="Note 1" xfId="259" xr:uid="{00000000-0005-0000-0000-000006010000}"/>
    <cellStyle name="Note 2" xfId="260" xr:uid="{00000000-0005-0000-0000-000007010000}"/>
    <cellStyle name="Note 3" xfId="261" xr:uid="{00000000-0005-0000-0000-000008010000}"/>
    <cellStyle name="Note 4" xfId="262" xr:uid="{00000000-0005-0000-0000-000009010000}"/>
    <cellStyle name="Note 5" xfId="263" xr:uid="{00000000-0005-0000-0000-00000A010000}"/>
    <cellStyle name="Note 6" xfId="264" xr:uid="{00000000-0005-0000-0000-00000B010000}"/>
    <cellStyle name="Note 7" xfId="265" xr:uid="{00000000-0005-0000-0000-00000C010000}"/>
    <cellStyle name="Output 1" xfId="266" xr:uid="{00000000-0005-0000-0000-00000D010000}"/>
    <cellStyle name="Output 2" xfId="267" xr:uid="{00000000-0005-0000-0000-00000E010000}"/>
    <cellStyle name="Output 3" xfId="268" xr:uid="{00000000-0005-0000-0000-00000F010000}"/>
    <cellStyle name="Output 4" xfId="269" xr:uid="{00000000-0005-0000-0000-000010010000}"/>
    <cellStyle name="Output 5" xfId="270" xr:uid="{00000000-0005-0000-0000-000011010000}"/>
    <cellStyle name="Output 6" xfId="271" xr:uid="{00000000-0005-0000-0000-000012010000}"/>
    <cellStyle name="Output 7" xfId="272" xr:uid="{00000000-0005-0000-0000-000013010000}"/>
    <cellStyle name="Pivot Table Category" xfId="273" xr:uid="{00000000-0005-0000-0000-000014010000}"/>
    <cellStyle name="Pivot Table Corner" xfId="274" xr:uid="{00000000-0005-0000-0000-000015010000}"/>
    <cellStyle name="Pivot Table Field" xfId="275" xr:uid="{00000000-0005-0000-0000-000016010000}"/>
    <cellStyle name="Pivot Table Result" xfId="276" xr:uid="{00000000-0005-0000-0000-000017010000}"/>
    <cellStyle name="Pivot Table Title" xfId="277" xr:uid="{00000000-0005-0000-0000-000018010000}"/>
    <cellStyle name="Pivot Table Value" xfId="278" xr:uid="{00000000-0005-0000-0000-000019010000}"/>
    <cellStyle name="Sun4" xfId="279" xr:uid="{00000000-0005-0000-0000-00001A010000}"/>
    <cellStyle name="Sun4H" xfId="280" xr:uid="{00000000-0005-0000-0000-00001B010000}"/>
    <cellStyle name="Title 1" xfId="281" xr:uid="{00000000-0005-0000-0000-00001C010000}"/>
    <cellStyle name="Title 2" xfId="282" xr:uid="{00000000-0005-0000-0000-00001D010000}"/>
    <cellStyle name="Title 3" xfId="283" xr:uid="{00000000-0005-0000-0000-00001E010000}"/>
    <cellStyle name="Title 4" xfId="284" xr:uid="{00000000-0005-0000-0000-00001F010000}"/>
    <cellStyle name="Title 5" xfId="285" xr:uid="{00000000-0005-0000-0000-000020010000}"/>
    <cellStyle name="Title 6" xfId="286" xr:uid="{00000000-0005-0000-0000-000021010000}"/>
    <cellStyle name="Title 7" xfId="287" xr:uid="{00000000-0005-0000-0000-000022010000}"/>
    <cellStyle name="Total 1" xfId="288" xr:uid="{00000000-0005-0000-0000-000023010000}"/>
    <cellStyle name="Total 2" xfId="289" xr:uid="{00000000-0005-0000-0000-000024010000}"/>
    <cellStyle name="Total 3" xfId="290" xr:uid="{00000000-0005-0000-0000-000025010000}"/>
    <cellStyle name="Total 4" xfId="291" xr:uid="{00000000-0005-0000-0000-000026010000}"/>
    <cellStyle name="Total 5" xfId="292" xr:uid="{00000000-0005-0000-0000-000027010000}"/>
    <cellStyle name="Total 6" xfId="293" xr:uid="{00000000-0005-0000-0000-000028010000}"/>
    <cellStyle name="Total 7" xfId="294" xr:uid="{00000000-0005-0000-0000-000029010000}"/>
    <cellStyle name="Warning Text 1" xfId="295" xr:uid="{00000000-0005-0000-0000-00002A010000}"/>
    <cellStyle name="Warning Text 2" xfId="296" xr:uid="{00000000-0005-0000-0000-00002B010000}"/>
    <cellStyle name="Warning Text 3" xfId="297" xr:uid="{00000000-0005-0000-0000-00002C010000}"/>
    <cellStyle name="Warning Text 4" xfId="298" xr:uid="{00000000-0005-0000-0000-00002D010000}"/>
    <cellStyle name="Warning Text 5" xfId="299" xr:uid="{00000000-0005-0000-0000-00002E010000}"/>
    <cellStyle name="Warning Text 6" xfId="300" xr:uid="{00000000-0005-0000-0000-00002F010000}"/>
    <cellStyle name="Warning Text 7" xfId="301" xr:uid="{00000000-0005-0000-0000-000030010000}"/>
  </cellStyles>
  <dxfs count="20">
    <dxf>
      <font>
        <b val="0"/>
        <i val="0"/>
        <strike val="0"/>
        <condense val="0"/>
        <extend val="0"/>
        <outline val="0"/>
        <shadow val="0"/>
        <u val="none"/>
        <vertAlign val="baseline"/>
        <sz val="9"/>
        <color rgb="FF000000"/>
        <name val="Arial Unicode MS"/>
        <family val="2"/>
        <charset val="1"/>
        <scheme val="none"/>
      </font>
      <alignment horizontal="left" vertical="top" textRotation="0" wrapText="0" indent="0" justifyLastLine="0" shrinkToFit="0" readingOrder="0"/>
      <protection locked="0" hidden="0"/>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
      <font>
        <sz val="11"/>
        <color rgb="FF000000"/>
        <name val="Calibri"/>
        <family val="2"/>
        <charset val="1"/>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40000"/>
      <rgbColor rgb="FF00800E"/>
      <rgbColor rgb="FF000080"/>
      <rgbColor rgb="FF808004"/>
      <rgbColor rgb="FF800080"/>
      <rgbColor rgb="FF017B79"/>
      <rgbColor rgb="FFC0C0C0"/>
      <rgbColor rgb="FF808080"/>
      <rgbColor rgb="FFAAAAAA"/>
      <rgbColor rgb="FFD99694"/>
      <rgbColor rgb="FFFFFFCC"/>
      <rgbColor rgb="FFCCFFFF"/>
      <rgbColor rgb="FF610476"/>
      <rgbColor rgb="FFFF8080"/>
      <rgbColor rgb="FF016BCA"/>
      <rgbColor rgb="FFCCCCFF"/>
      <rgbColor rgb="FFF4F5F4"/>
      <rgbColor rgb="FFFED3C0"/>
      <rgbColor rgb="FFFFC000"/>
      <rgbColor rgb="FFD9D9D9"/>
      <rgbColor rgb="FFE7E6F2"/>
      <rgbColor rgb="FFFDEADA"/>
      <rgbColor rgb="FF9BBB59"/>
      <rgbColor rgb="FFF0F1EF"/>
      <rgbColor rgb="FF05E4F9"/>
      <rgbColor rgb="FFDBEEF4"/>
      <rgbColor rgb="FFCCFFCC"/>
      <rgbColor rgb="FFFFFF99"/>
      <rgbColor rgb="FF99CCFF"/>
      <rgbColor rgb="FFFF99CC"/>
      <rgbColor rgb="FFCC99FF"/>
      <rgbColor rgb="FFFFCC99"/>
      <rgbColor rgb="FFCCCDCB"/>
      <rgbColor rgb="FF2AD0D5"/>
      <rgbColor rgb="FF92D050"/>
      <rgbColor rgb="FFFFCC00"/>
      <rgbColor rgb="FFFF9900"/>
      <rgbColor rgb="FFFF6600"/>
      <rgbColor rgb="FF625D67"/>
      <rgbColor rgb="FF969696"/>
      <rgbColor rgb="FF023275"/>
      <rgbColor rgb="FF339966"/>
      <rgbColor rgb="FF003300"/>
      <rgbColor rgb="FF333300"/>
      <rgbColor rgb="FFC32207"/>
      <rgbColor rgb="FFF79646"/>
      <rgbColor rgb="FFF2DFE7"/>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56160</xdr:colOff>
      <xdr:row>4</xdr:row>
      <xdr:rowOff>29160</xdr:rowOff>
    </xdr:from>
    <xdr:to>
      <xdr:col>27</xdr:col>
      <xdr:colOff>79560</xdr:colOff>
      <xdr:row>15</xdr:row>
      <xdr:rowOff>190440</xdr:rowOff>
    </xdr:to>
    <xdr:sp macro="" textlink="">
      <xdr:nvSpPr>
        <xdr:cNvPr id="2" name="CustomShape 1">
          <a:extLst>
            <a:ext uri="{FF2B5EF4-FFF2-40B4-BE49-F238E27FC236}">
              <a16:creationId xmlns:a16="http://schemas.microsoft.com/office/drawing/2014/main" id="{00000000-0008-0000-0000-000002000000}"/>
            </a:ext>
          </a:extLst>
        </xdr:cNvPr>
        <xdr:cNvSpPr/>
      </xdr:nvSpPr>
      <xdr:spPr>
        <a:xfrm>
          <a:off x="3840840" y="821520"/>
          <a:ext cx="3770280" cy="2368800"/>
        </a:xfrm>
        <a:prstGeom prst="rect">
          <a:avLst/>
        </a:prstGeom>
        <a:solidFill>
          <a:srgbClr val="729FCF"/>
        </a:solidFill>
        <a:ln w="0">
          <a:solidFill>
            <a:srgbClr val="7D5FA0"/>
          </a:solidFill>
        </a:ln>
        <a:effectLst>
          <a:outerShdw blurRad="39960" dist="20160" dir="5400000" rotWithShape="0">
            <a:srgbClr val="000000">
              <a:alpha val="38000"/>
            </a:srgbClr>
          </a:outerShdw>
        </a:effectLst>
      </xdr:spPr>
      <xdr:style>
        <a:lnRef idx="1">
          <a:schemeClr val="accent4"/>
        </a:lnRef>
        <a:fillRef idx="2">
          <a:schemeClr val="accent4"/>
        </a:fillRef>
        <a:effectRef idx="1">
          <a:schemeClr val="accent4"/>
        </a:effectRef>
        <a:fontRef idx="minor"/>
      </xdr:style>
      <xdr:txBody>
        <a:bodyPr lIns="90000" tIns="45000" rIns="90000" bIns="45000" anchor="t">
          <a:noAutofit/>
        </a:bodyPr>
        <a:lstStyle/>
        <a:p>
          <a:pPr>
            <a:lnSpc>
              <a:spcPct val="100000"/>
            </a:lnSpc>
          </a:pPr>
          <a:r>
            <a:rPr lang="en-IN" sz="1100" b="0" strike="noStrike" spc="-1">
              <a:solidFill>
                <a:srgbClr val="000000"/>
              </a:solidFill>
              <a:latin typeface="Calibri"/>
            </a:rPr>
            <a:t>*This sheet contains the text pasted from Jagannatha Hora software.  In the Jhora software open your chart, select edit copy basic calculations (this should have your chart text in clipboard) and then do paste in A2 cell here,</a:t>
          </a:r>
          <a:endParaRPr lang="en-IN" sz="1100" b="0" strike="noStrike" spc="-1">
            <a:latin typeface="Times New Roman"/>
          </a:endParaRPr>
        </a:p>
        <a:p>
          <a:pPr>
            <a:lnSpc>
              <a:spcPct val="100000"/>
            </a:lnSpc>
          </a:pPr>
          <a:r>
            <a:rPr lang="en-IN" sz="1100" b="0" strike="noStrike" spc="-1">
              <a:solidFill>
                <a:srgbClr val="000000"/>
              </a:solidFill>
              <a:latin typeface="Calibri"/>
            </a:rPr>
            <a:t>*The 2</a:t>
          </a:r>
          <a:r>
            <a:rPr lang="en-IN" sz="1100" b="0" strike="noStrike" spc="-1" baseline="33000">
              <a:solidFill>
                <a:srgbClr val="000000"/>
              </a:solidFill>
              <a:latin typeface="Calibri"/>
            </a:rPr>
            <a:t>nd</a:t>
          </a:r>
          <a:r>
            <a:rPr lang="en-IN" sz="1100" b="0" strike="noStrike" spc="-1">
              <a:solidFill>
                <a:srgbClr val="000000"/>
              </a:solidFill>
              <a:latin typeface="Calibri"/>
            </a:rPr>
            <a:t> and 3 column can be used by you to note important dates and events descriptions.</a:t>
          </a:r>
          <a:endParaRPr lang="en-IN" sz="1100" b="0" strike="noStrike" spc="-1">
            <a:latin typeface="Times New Roman"/>
          </a:endParaRPr>
        </a:p>
        <a:p>
          <a:pPr>
            <a:lnSpc>
              <a:spcPct val="100000"/>
            </a:lnSpc>
          </a:pPr>
          <a:r>
            <a:rPr lang="en-IN" sz="1100" b="0" strike="noStrike" spc="-1">
              <a:solidFill>
                <a:srgbClr val="000000"/>
              </a:solidFill>
              <a:latin typeface="Calibri"/>
            </a:rPr>
            <a:t>*You use this sheet as indirect reference to 1st sheet from HoraGanakaData.xls.</a:t>
          </a:r>
          <a:endParaRPr lang="en-IN" sz="1100" b="0" strike="noStrike" spc="-1">
            <a:latin typeface="Times New Roman"/>
          </a:endParaRPr>
        </a:p>
        <a:p>
          <a:pPr>
            <a:lnSpc>
              <a:spcPct val="100000"/>
            </a:lnSpc>
          </a:pPr>
          <a:r>
            <a:rPr lang="en-IN" sz="1100" b="0" strike="noStrike" spc="-1">
              <a:solidFill>
                <a:srgbClr val="000000"/>
              </a:solidFill>
              <a:latin typeface="Calibri"/>
            </a:rPr>
            <a:t>You can keep many charts, pasted with basic information from Jagannatha Hora Software.</a:t>
          </a:r>
          <a:endParaRPr lang="en-IN" sz="1100" b="0" strike="noStrike" spc="-1">
            <a:latin typeface="Times New Roman"/>
          </a:endParaRPr>
        </a:p>
        <a:p>
          <a:pPr>
            <a:lnSpc>
              <a:spcPct val="100000"/>
            </a:lnSpc>
          </a:pPr>
          <a:r>
            <a:rPr lang="en-IN" sz="1100" b="0" strike="noStrike" spc="-1">
              <a:solidFill>
                <a:srgbClr val="000000"/>
              </a:solidFill>
              <a:latin typeface="Calibri"/>
            </a:rPr>
            <a:t>HoraGanakaData.xls will contain the 1st sheet with Selected data for calculation in this sheet (HoraGanaka.xls).</a:t>
          </a:r>
          <a:endParaRPr lang="en-IN" sz="1100" b="0" strike="noStrike" spc="-1">
            <a:latin typeface="Times New Roman"/>
          </a:endParaRPr>
        </a:p>
        <a:p>
          <a:pPr>
            <a:lnSpc>
              <a:spcPct val="100000"/>
            </a:lnSpc>
          </a:pPr>
          <a:r>
            <a:rPr lang="en-IN" sz="1100" b="0" strike="noStrike" spc="-1">
              <a:solidFill>
                <a:srgbClr val="000000"/>
              </a:solidFill>
              <a:latin typeface="Calibri"/>
            </a:rPr>
            <a:t>Basics: Sheet will contain the degrees etc of grahas pulled from this sheet.</a:t>
          </a:r>
          <a:endParaRPr lang="en-IN" sz="1100" b="0" strike="noStrike" spc="-1">
            <a:latin typeface="Times New Roman"/>
          </a:endParaRPr>
        </a:p>
        <a:p>
          <a:pPr>
            <a:lnSpc>
              <a:spcPct val="100000"/>
            </a:lnSpc>
          </a:pPr>
          <a:endParaRPr lang="en-IN" sz="11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444240</xdr:colOff>
      <xdr:row>2</xdr:row>
      <xdr:rowOff>15840</xdr:rowOff>
    </xdr:from>
    <xdr:to>
      <xdr:col>9</xdr:col>
      <xdr:colOff>547560</xdr:colOff>
      <xdr:row>2</xdr:row>
      <xdr:rowOff>571320</xdr:rowOff>
    </xdr:to>
    <xdr:sp macro="" textlink="">
      <xdr:nvSpPr>
        <xdr:cNvPr id="2" name="Line 1">
          <a:extLst>
            <a:ext uri="{FF2B5EF4-FFF2-40B4-BE49-F238E27FC236}">
              <a16:creationId xmlns:a16="http://schemas.microsoft.com/office/drawing/2014/main" id="{00000000-0008-0000-0200-000002000000}"/>
            </a:ext>
          </a:extLst>
        </xdr:cNvPr>
        <xdr:cNvSpPr/>
      </xdr:nvSpPr>
      <xdr:spPr>
        <a:xfrm>
          <a:off x="5112720" y="1158840"/>
          <a:ext cx="686880" cy="555480"/>
        </a:xfrm>
        <a:prstGeom prst="line">
          <a:avLst/>
        </a:prstGeom>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8</xdr:col>
      <xdr:colOff>428400</xdr:colOff>
      <xdr:row>3</xdr:row>
      <xdr:rowOff>39600</xdr:rowOff>
    </xdr:from>
    <xdr:to>
      <xdr:col>9</xdr:col>
      <xdr:colOff>547560</xdr:colOff>
      <xdr:row>3</xdr:row>
      <xdr:rowOff>547560</xdr:rowOff>
    </xdr:to>
    <xdr:sp macro="" textlink="">
      <xdr:nvSpPr>
        <xdr:cNvPr id="3" name="Line 1">
          <a:extLst>
            <a:ext uri="{FF2B5EF4-FFF2-40B4-BE49-F238E27FC236}">
              <a16:creationId xmlns:a16="http://schemas.microsoft.com/office/drawing/2014/main" id="{00000000-0008-0000-0200-000003000000}"/>
            </a:ext>
          </a:extLst>
        </xdr:cNvPr>
        <xdr:cNvSpPr/>
      </xdr:nvSpPr>
      <xdr:spPr>
        <a:xfrm flipH="1">
          <a:off x="5096880" y="1754280"/>
          <a:ext cx="702720" cy="507960"/>
        </a:xfrm>
        <a:prstGeom prst="line">
          <a:avLst/>
        </a:prstGeom>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8</xdr:col>
      <xdr:colOff>23760</xdr:colOff>
      <xdr:row>3</xdr:row>
      <xdr:rowOff>0</xdr:rowOff>
    </xdr:from>
    <xdr:to>
      <xdr:col>8</xdr:col>
      <xdr:colOff>404640</xdr:colOff>
      <xdr:row>3</xdr:row>
      <xdr:rowOff>523800</xdr:rowOff>
    </xdr:to>
    <xdr:sp macro="" textlink="">
      <xdr:nvSpPr>
        <xdr:cNvPr id="4" name="Line 1">
          <a:extLst>
            <a:ext uri="{FF2B5EF4-FFF2-40B4-BE49-F238E27FC236}">
              <a16:creationId xmlns:a16="http://schemas.microsoft.com/office/drawing/2014/main" id="{00000000-0008-0000-0200-000004000000}"/>
            </a:ext>
          </a:extLst>
        </xdr:cNvPr>
        <xdr:cNvSpPr/>
      </xdr:nvSpPr>
      <xdr:spPr>
        <a:xfrm flipH="1" flipV="1">
          <a:off x="4692240" y="1714680"/>
          <a:ext cx="380880" cy="523800"/>
        </a:xfrm>
        <a:prstGeom prst="line">
          <a:avLst/>
        </a:prstGeom>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24840</xdr:colOff>
      <xdr:row>0</xdr:row>
      <xdr:rowOff>107640</xdr:rowOff>
    </xdr:from>
    <xdr:to>
      <xdr:col>10</xdr:col>
      <xdr:colOff>52920</xdr:colOff>
      <xdr:row>7</xdr:row>
      <xdr:rowOff>61200</xdr:rowOff>
    </xdr:to>
    <xdr:sp macro="" textlink="">
      <xdr:nvSpPr>
        <xdr:cNvPr id="4" name="CustomShape 1">
          <a:extLst>
            <a:ext uri="{FF2B5EF4-FFF2-40B4-BE49-F238E27FC236}">
              <a16:creationId xmlns:a16="http://schemas.microsoft.com/office/drawing/2014/main" id="{00000000-0008-0000-0A00-000004000000}"/>
            </a:ext>
          </a:extLst>
        </xdr:cNvPr>
        <xdr:cNvSpPr/>
      </xdr:nvSpPr>
      <xdr:spPr>
        <a:xfrm>
          <a:off x="3884400" y="107640"/>
          <a:ext cx="1053000" cy="1344240"/>
        </a:xfrm>
        <a:prstGeom prst="circularArrow">
          <a:avLst>
            <a:gd name="adj1" fmla="val 12500"/>
            <a:gd name="adj2" fmla="val 1142319"/>
            <a:gd name="adj3" fmla="val 20457681"/>
            <a:gd name="adj4" fmla="val 10800000"/>
            <a:gd name="adj5" fmla="val 12500"/>
          </a:avLst>
        </a:pr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23</xdr:col>
      <xdr:colOff>133200</xdr:colOff>
      <xdr:row>1</xdr:row>
      <xdr:rowOff>47520</xdr:rowOff>
    </xdr:from>
    <xdr:to>
      <xdr:col>40</xdr:col>
      <xdr:colOff>128160</xdr:colOff>
      <xdr:row>15</xdr:row>
      <xdr:rowOff>137880</xdr:rowOff>
    </xdr:to>
    <xdr:pic>
      <xdr:nvPicPr>
        <xdr:cNvPr id="5" name="Picture 4">
          <a:extLst>
            <a:ext uri="{FF2B5EF4-FFF2-40B4-BE49-F238E27FC236}">
              <a16:creationId xmlns:a16="http://schemas.microsoft.com/office/drawing/2014/main" id="{00000000-0008-0000-1100-000005000000}"/>
            </a:ext>
          </a:extLst>
        </xdr:cNvPr>
        <xdr:cNvPicPr/>
      </xdr:nvPicPr>
      <xdr:blipFill>
        <a:blip xmlns:r="http://schemas.openxmlformats.org/officeDocument/2006/relationships" r:embed="rId1"/>
        <a:stretch/>
      </xdr:blipFill>
      <xdr:spPr>
        <a:xfrm>
          <a:off x="7756920" y="390600"/>
          <a:ext cx="5630040" cy="4890960"/>
        </a:xfrm>
        <a:prstGeom prst="rect">
          <a:avLst/>
        </a:prstGeom>
        <a:ln w="9360">
          <a:noFill/>
        </a:ln>
      </xdr:spPr>
    </xdr:pic>
    <xdr:clientData/>
  </xdr:twoCellAnchor>
</xdr:wsDr>
</file>

<file path=xl/externalLinks/_rels/externalLink1.xml.rels><?xml version="1.0" encoding="UTF-8" standalone="yes"?>
<Relationships xmlns="http://schemas.openxmlformats.org/package/2006/relationships"><Relationship Id="rId2" Type="http://schemas.microsoft.com/office/2019/04/relationships/externalLinkLongPath" Target="home/tarunaashree/Desktop/sanjay/horaganaka_git/HoraGanaka/home/tarunaashree/Desktop/BACKUP/SJC%20Chennai/HoraGanaka-master/home/tarunaashree/Desktop/BACKUP/SJC%20Chennai/HoraGanaka-master/home/all/Desktop/SJC%20Chennai/HoraGanaka-master/home/all/Desktop/SJC%20Chennai/HoraGanaka-master/home/all/Desktop/SJC%20Chennai/HoraGanaka-master/home/all/Desktop/SJC%20Chennai/HoraGanaka-master/home/all/Desktop/SJC%20Chennai/HoraGanaka-master/HoraGanakaData.xls?DD40EAC5" TargetMode="External"/><Relationship Id="rId1" Type="http://schemas.openxmlformats.org/officeDocument/2006/relationships/externalLinkPath" Target="file:///\\DD40EAC5\HoraGanakaDat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elected Chart"/>
      <sheetName val="Sanjay Prabhakaran"/>
      <sheetName val="Narayan"/>
      <sheetName val="Sonia Gandhi"/>
      <sheetName val="PVR"/>
    </sheetNames>
    <sheetDataSet>
      <sheetData sheetId="0">
        <row r="2">
          <cell r="A2" t="str">
            <v>Chart</v>
          </cell>
          <cell r="B2" t="str">
            <v>Date</v>
          </cell>
          <cell r="C2" t="str">
            <v>Event</v>
          </cell>
        </row>
      </sheetData>
      <sheetData sheetId="1"/>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Date="0" createdVersion="3" recordCount="127" xr:uid="{00000000-000A-0000-FFFF-FFFF01000000}">
  <cacheSource type="worksheet">
    <worksheetSource ref="A1:S128" sheet="Yuti Yoga"/>
  </cacheSource>
  <cacheFields count="19">
    <cacheField name="Yoga#" numFmtId="0">
      <sharedItems containsSemiMixedTypes="0" containsString="0" containsNumber="1" containsInteger="1" minValue="1" maxValue="127" count="12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sharedItems>
    </cacheField>
    <cacheField name="Sat" numFmtId="0">
      <sharedItems containsSemiMixedTypes="0" containsString="0" containsNumber="1" containsInteger="1" minValue="0" maxValue="1" count="2">
        <n v="0"/>
        <n v="1"/>
      </sharedItems>
    </cacheField>
    <cacheField name="Ve" numFmtId="0">
      <sharedItems containsSemiMixedTypes="0" containsString="0" containsNumber="1" containsInteger="1" minValue="0" maxValue="1" count="2">
        <n v="0"/>
        <n v="1"/>
      </sharedItems>
    </cacheField>
    <cacheField name="Ju" numFmtId="0">
      <sharedItems containsSemiMixedTypes="0" containsString="0" containsNumber="1" containsInteger="1" minValue="0" maxValue="1" count="2">
        <n v="0"/>
        <n v="1"/>
      </sharedItems>
    </cacheField>
    <cacheField name="Me" numFmtId="0">
      <sharedItems containsSemiMixedTypes="0" containsString="0" containsNumber="1" containsInteger="1" minValue="0" maxValue="1" count="2">
        <n v="0"/>
        <n v="1"/>
      </sharedItems>
    </cacheField>
    <cacheField name="Ma" numFmtId="0">
      <sharedItems containsSemiMixedTypes="0" containsString="0" containsNumber="1" containsInteger="1" minValue="0" maxValue="1" count="2">
        <n v="0"/>
        <n v="1"/>
      </sharedItems>
    </cacheField>
    <cacheField name="Mo" numFmtId="0">
      <sharedItems containsSemiMixedTypes="0" containsString="0" containsNumber="1" containsInteger="1" minValue="0" maxValue="1" count="2">
        <n v="0"/>
        <n v="1"/>
      </sharedItems>
    </cacheField>
    <cacheField name="Su" numFmtId="0">
      <sharedItems containsSemiMixedTypes="0" containsString="0" containsNumber="1" containsInteger="1" minValue="0" maxValue="1" count="2">
        <n v="0"/>
        <n v="1"/>
      </sharedItems>
    </cacheField>
    <cacheField name="Grahas" numFmtId="0">
      <sharedItems containsSemiMixedTypes="0" containsString="0" containsNumber="1" containsInteger="1" minValue="1" maxValue="7" count="7">
        <n v="1"/>
        <n v="2"/>
        <n v="3"/>
        <n v="4"/>
        <n v="5"/>
        <n v="6"/>
        <n v="7"/>
      </sharedItems>
    </cacheField>
    <cacheField name="Yoga Name/Results" numFmtId="0">
      <sharedItems containsBlank="1" count="32">
        <s v="Dharmi,Shaastra Para, Vichitra Gunavaan"/>
        <s v="Dwi Guru"/>
        <s v="GiriVana Tapasvi Sarvavandya"/>
        <s v="Gola Yoga"/>
        <s v="Jatadhara Valka Dharini"/>
        <s v="Kustriika, pitru dooshaka, gata dhana"/>
        <s v="Muni Tapasvi"/>
        <s v="Muni Tapasvi//Tapasvi Aayata Aksha"/>
        <s v="paapaatma, krivikriya kushala"/>
        <s v="Praayamati(Dull), Sapatna(Enemy)Vashaga"/>
        <s v="Saadhu Janaa Aashraya, Atimatimaan."/>
        <s v="Shoora,Satkula,Dharma,Vitta,Gunavaan"/>
        <s v="Shraddha Karma Para, Nripapriya, Dhani"/>
        <s v="Stree Vasha, Kriya Nipuna"/>
        <s v="Strimula Archita Bandumaan, Praangya,"/>
        <s v="Tapasi"/>
        <s v="Tapasvi"/>
        <s v="Tapasvi Moola Phala Ashna"/>
        <s v="Tapasvi Shaanta"/>
        <s v="Tejasvi, Bala Satvavaan, Anrita Vaak, Paapi"/>
        <s v="Vagmi, Aushadhisha,"/>
        <s v="Vanaparya"/>
        <s v="Vidya Muni Astradooshaka"/>
        <s v="Vidya,Rupa,Balanvita, Astiramati"/>
        <s v="Vrata"/>
        <s v="Vrati"/>
        <s v="Vrati/Tapasvi Aayata Aksha"/>
        <s v="Yati Dukhita Deena"/>
        <s v="Yati Valka Phala Ashna"/>
        <s v="Yati Valka Phala Ashna (?)/GiriVana Tapasvi Sarvavandya"/>
        <s v="Yati ValkalaBhuti Dhara"/>
        <m/>
      </sharedItems>
    </cacheField>
    <cacheField name="References" numFmtId="0">
      <sharedItems containsBlank="1" count="35">
        <s v="BPHS Nabhasa Yoga"/>
        <s v="JP15.24"/>
        <s v="JP15.26"/>
        <s v="JP15.27"/>
        <s v="JP15.28"/>
        <s v="JP15.29 (1)/JP15.39 (1)"/>
        <s v="JP15.29 (2)"/>
        <s v="JP15.29 (3)"/>
        <s v="JP15.30 (1)//JP15.39 (2)"/>
        <s v="JP15.30 (2)"/>
        <s v="JP15.31  (1)"/>
        <s v="JP15.31  (2)"/>
        <s v="JP15.32 (1)"/>
        <s v="JP15.32 (2)"/>
        <s v="JP15.32 (3)"/>
        <s v="JP15.33 (1)"/>
        <s v="JP15.33 (2)"/>
        <s v="JP15.34 (1)"/>
        <s v="JP15.34 (2)"/>
        <s v="JP15.35 (1)"/>
        <s v="JP15.35 (2)"/>
        <s v="JP15.35 (3)?/JP15.36 (4)"/>
        <s v="JP15.36 (1)"/>
        <s v="JP15.36 (2)"/>
        <s v="JP15.36 (3)"/>
        <s v="JP15.36 (4)"/>
        <s v="JP15.37 (1)"/>
        <s v="JP15.37 (2)"/>
        <s v="JP15.37 (3)"/>
        <s v="JP15.38 (1)"/>
        <s v="JP15.38 (2)"/>
        <s v="JP8.1"/>
        <s v="JP8.2"/>
        <s v="JP8.3"/>
        <m/>
      </sharedItems>
    </cacheField>
    <cacheField name="Conjoined Grahas" numFmtId="0">
      <sharedItems count="127">
        <s v="Ju"/>
        <s v="Ju    Su"/>
        <s v="Ju   Mo"/>
        <s v="Ju   Mo Su"/>
        <s v="Ju  Ma"/>
        <s v="Ju  Ma  Su"/>
        <s v="Ju  Ma Mo"/>
        <s v="Ju  Ma Mo Su"/>
        <s v="Ju Me"/>
        <s v="Ju Me   Su"/>
        <s v="Ju Me  Mo"/>
        <s v="Ju Me  Mo Su"/>
        <s v="Ju Me Ma"/>
        <s v="Ju Me Ma  Su"/>
        <s v="Ju Me Ma Mo"/>
        <s v="Ju Me Ma Mo Su"/>
        <s v="Ma"/>
        <s v="Ma  Su"/>
        <s v="Ma Mo"/>
        <s v="Ma Mo Su"/>
        <s v="Me"/>
        <s v="Me   Su"/>
        <s v="Me  Mo"/>
        <s v="Me  Mo Su"/>
        <s v="Me Ma"/>
        <s v="Me Ma  Su"/>
        <s v="Me Ma Mo"/>
        <s v="Me Ma Mo Su"/>
        <s v="Mo"/>
        <s v="Mo Su"/>
        <s v="Sat"/>
        <s v="Sat      Su"/>
        <s v="Sat     Mo"/>
        <s v="Sat     Mo Su"/>
        <s v="Sat    Ma"/>
        <s v="Sat    Ma  Su"/>
        <s v="Sat    Ma Mo"/>
        <s v="Sat    Ma Mo Su"/>
        <s v="Sat   Me"/>
        <s v="Sat   Me   Su"/>
        <s v="Sat   Me  Mo"/>
        <s v="Sat   Me  Mo Su"/>
        <s v="Sat   Me Ma"/>
        <s v="Sat   Me Ma  Su"/>
        <s v="Sat   Me Ma Mo"/>
        <s v="Sat   Me Ma Mo Su"/>
        <s v="Sat  Ju"/>
        <s v="Sat  Ju    Su"/>
        <s v="Sat  Ju   Mo"/>
        <s v="Sat  Ju   Mo Su"/>
        <s v="Sat  Ju  Ma"/>
        <s v="Sat  Ju  Ma  Su"/>
        <s v="Sat  Ju  Ma Mo"/>
        <s v="Sat  Ju  Ma Mo Su"/>
        <s v="Sat  Ju Me"/>
        <s v="Sat  Ju Me   Su"/>
        <s v="Sat  Ju Me  Mo"/>
        <s v="Sat  Ju Me  Mo Su"/>
        <s v="Sat  Ju Me Ma"/>
        <s v="Sat  Ju Me Ma  Su"/>
        <s v="Sat  Ju Me Ma Mo"/>
        <s v="Sat  Ju Me Ma Mo Su"/>
        <s v="Sat Ve"/>
        <s v="Sat Ve     Su"/>
        <s v="Sat Ve    Mo"/>
        <s v="Sat Ve    Mo Su"/>
        <s v="Sat Ve   Ma"/>
        <s v="Sat Ve   Ma  Su"/>
        <s v="Sat Ve   Ma Mo"/>
        <s v="Sat Ve   Ma Mo Su"/>
        <s v="Sat Ve  Me"/>
        <s v="Sat Ve  Me   Su"/>
        <s v="Sat Ve  Me  Mo"/>
        <s v="Sat Ve  Me  Mo Su"/>
        <s v="Sat Ve  Me Ma"/>
        <s v="Sat Ve  Me Ma  Su"/>
        <s v="Sat Ve  Me Ma Mo"/>
        <s v="Sat Ve  Me Ma Mo Su"/>
        <s v="Sat Ve Ju"/>
        <s v="Sat Ve Ju    Su"/>
        <s v="Sat Ve Ju   Mo"/>
        <s v="Sat Ve Ju   Mo Su"/>
        <s v="Sat Ve Ju  Ma"/>
        <s v="Sat Ve Ju  Ma  Su"/>
        <s v="Sat Ve Ju  Ma Mo"/>
        <s v="Sat Ve Ju  Ma Mo Su"/>
        <s v="Sat Ve Ju Me"/>
        <s v="Sat Ve Ju Me   Su"/>
        <s v="Sat Ve Ju Me  Mo"/>
        <s v="Sat Ve Ju Me  Mo Su"/>
        <s v="Sat Ve Ju Me Ma"/>
        <s v="Sat Ve Ju Me Ma  Su"/>
        <s v="Sat Ve Ju Me Ma Mo"/>
        <s v="Sat Ve Ju Me Ma Mo Su"/>
        <s v="Su"/>
        <s v="Ve"/>
        <s v="Ve     Su"/>
        <s v="Ve    Mo"/>
        <s v="Ve    Mo Su"/>
        <s v="Ve   Ma"/>
        <s v="Ve   Ma  Su"/>
        <s v="Ve   Ma Mo"/>
        <s v="Ve   Ma Mo Su"/>
        <s v="Ve  Me"/>
        <s v="Ve  Me   Su"/>
        <s v="Ve  Me  Mo"/>
        <s v="Ve  Me  Mo Su"/>
        <s v="Ve  Me Ma"/>
        <s v="Ve  Me Ma  Su"/>
        <s v="Ve  Me Ma Mo"/>
        <s v="Ve  Me Ma Mo Su"/>
        <s v="Ve Ju"/>
        <s v="Ve Ju    Su"/>
        <s v="Ve Ju   Mo"/>
        <s v="Ve Ju   Mo Su"/>
        <s v="Ve Ju  Ma"/>
        <s v="Ve Ju  Ma  Su"/>
        <s v="Ve Ju  Ma Mo"/>
        <s v="Ve Ju  Ma Mo Su"/>
        <s v="Ve Ju Me"/>
        <s v="Ve Ju Me   Su"/>
        <s v="Ve Ju Me  Mo"/>
        <s v="Ve Ju Me  Mo Su"/>
        <s v="Ve Ju Me Ma"/>
        <s v="Ve Ju Me Ma  Su"/>
        <s v="Ve Ju Me Ma Mo"/>
        <s v="Ve Ju Me Ma Mo Su"/>
      </sharedItems>
    </cacheField>
    <cacheField name="Sat2" numFmtId="0">
      <sharedItems count="2">
        <s v=""/>
        <s v="Sat"/>
      </sharedItems>
    </cacheField>
    <cacheField name="Column2" numFmtId="0">
      <sharedItems count="2">
        <s v=""/>
        <s v="Ve"/>
      </sharedItems>
    </cacheField>
    <cacheField name="Column3" numFmtId="0">
      <sharedItems count="2">
        <s v=""/>
        <s v="Ju"/>
      </sharedItems>
    </cacheField>
    <cacheField name="Column4" numFmtId="0">
      <sharedItems count="2">
        <s v=""/>
        <s v="Me"/>
      </sharedItems>
    </cacheField>
    <cacheField name="Column5" numFmtId="0">
      <sharedItems count="2">
        <s v=""/>
        <s v="Ma"/>
      </sharedItems>
    </cacheField>
    <cacheField name="Column6" numFmtId="0">
      <sharedItems count="2">
        <s v=""/>
        <s v="Mo"/>
      </sharedItems>
    </cacheField>
    <cacheField name="Column7" numFmtId="0">
      <sharedItems count="2">
        <s v=""/>
        <s v="Su"/>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Date="0" createdVersion="3" recordCount="36" xr:uid="{00000000-000A-0000-FFFF-FFFF02000000}">
  <cacheSource type="worksheet">
    <worksheetSource ref="A731:E767" sheet="DATA"/>
  </cacheSource>
  <cacheFields count="5">
    <cacheField name="D3" numFmtId="0">
      <sharedItems containsSemiMixedTypes="0" containsString="0" containsNumber="1" containsInteger="1" minValue="1" maxValue="36" count="36">
        <n v="1"/>
        <n v="2"/>
        <n v="3"/>
        <n v="4"/>
        <n v="5"/>
        <n v="6"/>
        <n v="7"/>
        <n v="8"/>
        <n v="9"/>
        <n v="10"/>
        <n v="11"/>
        <n v="12"/>
        <n v="13"/>
        <n v="14"/>
        <n v="15"/>
        <n v="16"/>
        <n v="17"/>
        <n v="18"/>
        <n v="19"/>
        <n v="20"/>
        <n v="21"/>
        <n v="22"/>
        <n v="23"/>
        <n v="24"/>
        <n v="25"/>
        <n v="26"/>
        <n v="27"/>
        <n v="28"/>
        <n v="29"/>
        <n v="30"/>
        <n v="31"/>
        <n v="32"/>
        <n v="33"/>
        <n v="34"/>
        <n v="35"/>
        <n v="36"/>
      </sharedItems>
    </cacheField>
    <cacheField name="Sign" numFmtId="0">
      <sharedItems count="12">
        <s v="Dhanura"/>
        <s v="Kanya"/>
        <s v="Karka"/>
        <s v="Kumbha"/>
        <s v="Makara"/>
        <s v="Meena"/>
        <s v="Mesha"/>
        <s v="Mithuna"/>
        <s v="Simha"/>
        <s v="Tula"/>
        <s v="Vrishabha"/>
        <s v="Vrishchika"/>
      </sharedItems>
    </cacheField>
    <cacheField name="Drekkana" numFmtId="0">
      <sharedItems containsSemiMixedTypes="0" containsString="0" containsNumber="1" containsInteger="1" minValue="1" maxValue="3" count="3">
        <n v="1"/>
        <n v="2"/>
        <n v="3"/>
      </sharedItems>
    </cacheField>
    <cacheField name="VaidyanaathaDx" numFmtId="0">
      <sharedItems count="4">
        <s v="Benefic"/>
        <s v="Malefic"/>
        <s v="Mixed"/>
        <s v="WaterBearing"/>
      </sharedItems>
    </cacheField>
    <cacheField name="Varaahamihira" numFmtId="0">
      <sharedItems containsBlank="1" count="16">
        <s v="Female having lotus on head?,with bhogi, between branches of phalaasha, crying?"/>
        <s v="Man Cruel,Artist, Yellow(Kapila), Task Minded, Unprincipled, Holding Baton, Red cloth, Agressive (Chanda)"/>
        <s v="Man decorated, like varuna, many jewels,armoured with quiver and bow, skilled in dancing,arts and poetry."/>
        <s v="Man holding leaves fruits and roots, with elephant features,(forest resident?), feet like sharabha(like tiger?), horse necked"/>
        <s v="Man in Garden with armour, bow. Brave, Face like Garuda,Playful,with children,ornaments and wealth"/>
        <s v="Man knowing Agriculture and animals with carts, ox like shoulders, "/>
        <s v="Man wearing dirty clother and on shaalmali tree a vulture,a jackal, dog, crying parents, brahmans?,"/>
        <s v="Man with bears face, behaves like monkey, holds a baton, has fruits and meats, rough/curled hair?"/>
        <s v="Man with Elephant features, white teeth,legs like sharabha (like tiger), yellowish, catches of sheep and deer."/>
        <s v="Man with horse like body, wearing white garlands, wearing black blanket, fierce like lion with bow in hand and bent nose."/>
        <s v="Man with white dhoti, dark complexion, protecting with axe, red eyes "/>
        <s v="Man with Wife,jewels, travelling ocean, with ships,wearing snakes(like dress?), in search of wealth."/>
        <s v="Woman wearing Red, fond of ornaments and food, pot shapped, horse faced,thirsty,(eka paden/one legged?)"/>
        <s v="Women curled/dishealve/cut hair, pot shapped, burnt cloths, thirsty, fond of food and ornaments"/>
        <s v="Women fond of needle work,goodlooking and fond of ornaments, less children, raised hand?"/>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7">
  <r>
    <x v="0"/>
    <x v="0"/>
    <x v="0"/>
    <x v="0"/>
    <x v="0"/>
    <x v="0"/>
    <x v="0"/>
    <x v="1"/>
    <x v="0"/>
    <x v="31"/>
    <x v="34"/>
    <x v="94"/>
    <x v="0"/>
    <x v="0"/>
    <x v="0"/>
    <x v="0"/>
    <x v="0"/>
    <x v="0"/>
    <x v="1"/>
  </r>
  <r>
    <x v="1"/>
    <x v="0"/>
    <x v="0"/>
    <x v="0"/>
    <x v="0"/>
    <x v="0"/>
    <x v="1"/>
    <x v="0"/>
    <x v="0"/>
    <x v="31"/>
    <x v="34"/>
    <x v="28"/>
    <x v="0"/>
    <x v="0"/>
    <x v="0"/>
    <x v="0"/>
    <x v="0"/>
    <x v="1"/>
    <x v="0"/>
  </r>
  <r>
    <x v="2"/>
    <x v="0"/>
    <x v="0"/>
    <x v="0"/>
    <x v="0"/>
    <x v="0"/>
    <x v="1"/>
    <x v="1"/>
    <x v="1"/>
    <x v="13"/>
    <x v="31"/>
    <x v="29"/>
    <x v="0"/>
    <x v="0"/>
    <x v="0"/>
    <x v="0"/>
    <x v="0"/>
    <x v="1"/>
    <x v="1"/>
  </r>
  <r>
    <x v="3"/>
    <x v="0"/>
    <x v="0"/>
    <x v="0"/>
    <x v="0"/>
    <x v="1"/>
    <x v="0"/>
    <x v="0"/>
    <x v="0"/>
    <x v="31"/>
    <x v="34"/>
    <x v="16"/>
    <x v="0"/>
    <x v="0"/>
    <x v="0"/>
    <x v="0"/>
    <x v="1"/>
    <x v="0"/>
    <x v="0"/>
  </r>
  <r>
    <x v="4"/>
    <x v="0"/>
    <x v="0"/>
    <x v="0"/>
    <x v="0"/>
    <x v="1"/>
    <x v="0"/>
    <x v="1"/>
    <x v="1"/>
    <x v="19"/>
    <x v="31"/>
    <x v="17"/>
    <x v="0"/>
    <x v="0"/>
    <x v="0"/>
    <x v="0"/>
    <x v="1"/>
    <x v="0"/>
    <x v="1"/>
  </r>
  <r>
    <x v="5"/>
    <x v="0"/>
    <x v="0"/>
    <x v="0"/>
    <x v="0"/>
    <x v="1"/>
    <x v="1"/>
    <x v="0"/>
    <x v="1"/>
    <x v="11"/>
    <x v="32"/>
    <x v="18"/>
    <x v="0"/>
    <x v="0"/>
    <x v="0"/>
    <x v="0"/>
    <x v="1"/>
    <x v="1"/>
    <x v="0"/>
  </r>
  <r>
    <x v="6"/>
    <x v="0"/>
    <x v="0"/>
    <x v="0"/>
    <x v="0"/>
    <x v="1"/>
    <x v="1"/>
    <x v="1"/>
    <x v="2"/>
    <x v="31"/>
    <x v="34"/>
    <x v="19"/>
    <x v="0"/>
    <x v="0"/>
    <x v="0"/>
    <x v="0"/>
    <x v="1"/>
    <x v="1"/>
    <x v="1"/>
  </r>
  <r>
    <x v="7"/>
    <x v="0"/>
    <x v="0"/>
    <x v="0"/>
    <x v="1"/>
    <x v="0"/>
    <x v="0"/>
    <x v="0"/>
    <x v="0"/>
    <x v="31"/>
    <x v="34"/>
    <x v="20"/>
    <x v="0"/>
    <x v="0"/>
    <x v="0"/>
    <x v="1"/>
    <x v="0"/>
    <x v="0"/>
    <x v="0"/>
  </r>
  <r>
    <x v="8"/>
    <x v="0"/>
    <x v="0"/>
    <x v="0"/>
    <x v="1"/>
    <x v="0"/>
    <x v="0"/>
    <x v="1"/>
    <x v="1"/>
    <x v="23"/>
    <x v="31"/>
    <x v="21"/>
    <x v="0"/>
    <x v="0"/>
    <x v="0"/>
    <x v="1"/>
    <x v="0"/>
    <x v="0"/>
    <x v="1"/>
  </r>
  <r>
    <x v="9"/>
    <x v="0"/>
    <x v="0"/>
    <x v="0"/>
    <x v="1"/>
    <x v="0"/>
    <x v="1"/>
    <x v="0"/>
    <x v="1"/>
    <x v="0"/>
    <x v="32"/>
    <x v="22"/>
    <x v="0"/>
    <x v="0"/>
    <x v="0"/>
    <x v="1"/>
    <x v="0"/>
    <x v="1"/>
    <x v="0"/>
  </r>
  <r>
    <x v="10"/>
    <x v="0"/>
    <x v="0"/>
    <x v="0"/>
    <x v="1"/>
    <x v="0"/>
    <x v="1"/>
    <x v="1"/>
    <x v="2"/>
    <x v="31"/>
    <x v="34"/>
    <x v="23"/>
    <x v="0"/>
    <x v="0"/>
    <x v="0"/>
    <x v="1"/>
    <x v="0"/>
    <x v="1"/>
    <x v="1"/>
  </r>
  <r>
    <x v="11"/>
    <x v="0"/>
    <x v="0"/>
    <x v="0"/>
    <x v="1"/>
    <x v="1"/>
    <x v="0"/>
    <x v="0"/>
    <x v="1"/>
    <x v="20"/>
    <x v="34"/>
    <x v="24"/>
    <x v="0"/>
    <x v="0"/>
    <x v="0"/>
    <x v="1"/>
    <x v="1"/>
    <x v="0"/>
    <x v="0"/>
  </r>
  <r>
    <x v="12"/>
    <x v="0"/>
    <x v="0"/>
    <x v="0"/>
    <x v="1"/>
    <x v="1"/>
    <x v="0"/>
    <x v="1"/>
    <x v="2"/>
    <x v="31"/>
    <x v="34"/>
    <x v="25"/>
    <x v="0"/>
    <x v="0"/>
    <x v="0"/>
    <x v="1"/>
    <x v="1"/>
    <x v="0"/>
    <x v="1"/>
  </r>
  <r>
    <x v="13"/>
    <x v="0"/>
    <x v="0"/>
    <x v="0"/>
    <x v="1"/>
    <x v="1"/>
    <x v="1"/>
    <x v="0"/>
    <x v="2"/>
    <x v="31"/>
    <x v="34"/>
    <x v="26"/>
    <x v="0"/>
    <x v="0"/>
    <x v="0"/>
    <x v="1"/>
    <x v="1"/>
    <x v="1"/>
    <x v="0"/>
  </r>
  <r>
    <x v="14"/>
    <x v="0"/>
    <x v="0"/>
    <x v="0"/>
    <x v="1"/>
    <x v="1"/>
    <x v="1"/>
    <x v="1"/>
    <x v="3"/>
    <x v="2"/>
    <x v="23"/>
    <x v="27"/>
    <x v="0"/>
    <x v="0"/>
    <x v="0"/>
    <x v="1"/>
    <x v="1"/>
    <x v="1"/>
    <x v="1"/>
  </r>
  <r>
    <x v="15"/>
    <x v="0"/>
    <x v="0"/>
    <x v="1"/>
    <x v="0"/>
    <x v="0"/>
    <x v="0"/>
    <x v="0"/>
    <x v="0"/>
    <x v="31"/>
    <x v="34"/>
    <x v="0"/>
    <x v="0"/>
    <x v="0"/>
    <x v="1"/>
    <x v="0"/>
    <x v="0"/>
    <x v="0"/>
    <x v="0"/>
  </r>
  <r>
    <x v="16"/>
    <x v="0"/>
    <x v="0"/>
    <x v="1"/>
    <x v="0"/>
    <x v="0"/>
    <x v="0"/>
    <x v="1"/>
    <x v="1"/>
    <x v="12"/>
    <x v="31"/>
    <x v="1"/>
    <x v="0"/>
    <x v="0"/>
    <x v="1"/>
    <x v="0"/>
    <x v="0"/>
    <x v="0"/>
    <x v="1"/>
  </r>
  <r>
    <x v="17"/>
    <x v="0"/>
    <x v="0"/>
    <x v="1"/>
    <x v="0"/>
    <x v="0"/>
    <x v="1"/>
    <x v="0"/>
    <x v="1"/>
    <x v="10"/>
    <x v="33"/>
    <x v="2"/>
    <x v="0"/>
    <x v="0"/>
    <x v="1"/>
    <x v="0"/>
    <x v="0"/>
    <x v="1"/>
    <x v="0"/>
  </r>
  <r>
    <x v="18"/>
    <x v="0"/>
    <x v="0"/>
    <x v="1"/>
    <x v="0"/>
    <x v="0"/>
    <x v="1"/>
    <x v="1"/>
    <x v="2"/>
    <x v="31"/>
    <x v="34"/>
    <x v="3"/>
    <x v="0"/>
    <x v="0"/>
    <x v="1"/>
    <x v="0"/>
    <x v="0"/>
    <x v="1"/>
    <x v="1"/>
  </r>
  <r>
    <x v="19"/>
    <x v="0"/>
    <x v="0"/>
    <x v="1"/>
    <x v="0"/>
    <x v="1"/>
    <x v="0"/>
    <x v="0"/>
    <x v="1"/>
    <x v="31"/>
    <x v="34"/>
    <x v="4"/>
    <x v="0"/>
    <x v="0"/>
    <x v="1"/>
    <x v="0"/>
    <x v="1"/>
    <x v="0"/>
    <x v="0"/>
  </r>
  <r>
    <x v="20"/>
    <x v="0"/>
    <x v="0"/>
    <x v="1"/>
    <x v="0"/>
    <x v="1"/>
    <x v="0"/>
    <x v="1"/>
    <x v="2"/>
    <x v="31"/>
    <x v="34"/>
    <x v="5"/>
    <x v="0"/>
    <x v="0"/>
    <x v="1"/>
    <x v="0"/>
    <x v="1"/>
    <x v="0"/>
    <x v="1"/>
  </r>
  <r>
    <x v="21"/>
    <x v="0"/>
    <x v="0"/>
    <x v="1"/>
    <x v="0"/>
    <x v="1"/>
    <x v="1"/>
    <x v="0"/>
    <x v="2"/>
    <x v="31"/>
    <x v="34"/>
    <x v="6"/>
    <x v="0"/>
    <x v="0"/>
    <x v="1"/>
    <x v="0"/>
    <x v="1"/>
    <x v="1"/>
    <x v="0"/>
  </r>
  <r>
    <x v="22"/>
    <x v="0"/>
    <x v="0"/>
    <x v="1"/>
    <x v="0"/>
    <x v="1"/>
    <x v="1"/>
    <x v="1"/>
    <x v="3"/>
    <x v="31"/>
    <x v="34"/>
    <x v="7"/>
    <x v="0"/>
    <x v="0"/>
    <x v="1"/>
    <x v="0"/>
    <x v="1"/>
    <x v="1"/>
    <x v="1"/>
  </r>
  <r>
    <x v="23"/>
    <x v="0"/>
    <x v="0"/>
    <x v="1"/>
    <x v="1"/>
    <x v="0"/>
    <x v="0"/>
    <x v="0"/>
    <x v="1"/>
    <x v="31"/>
    <x v="34"/>
    <x v="8"/>
    <x v="0"/>
    <x v="0"/>
    <x v="1"/>
    <x v="1"/>
    <x v="0"/>
    <x v="0"/>
    <x v="0"/>
  </r>
  <r>
    <x v="24"/>
    <x v="0"/>
    <x v="0"/>
    <x v="1"/>
    <x v="1"/>
    <x v="0"/>
    <x v="0"/>
    <x v="1"/>
    <x v="2"/>
    <x v="31"/>
    <x v="34"/>
    <x v="9"/>
    <x v="0"/>
    <x v="0"/>
    <x v="1"/>
    <x v="1"/>
    <x v="0"/>
    <x v="0"/>
    <x v="1"/>
  </r>
  <r>
    <x v="25"/>
    <x v="0"/>
    <x v="0"/>
    <x v="1"/>
    <x v="1"/>
    <x v="0"/>
    <x v="1"/>
    <x v="0"/>
    <x v="2"/>
    <x v="31"/>
    <x v="34"/>
    <x v="10"/>
    <x v="0"/>
    <x v="0"/>
    <x v="1"/>
    <x v="1"/>
    <x v="0"/>
    <x v="1"/>
    <x v="0"/>
  </r>
  <r>
    <x v="26"/>
    <x v="0"/>
    <x v="0"/>
    <x v="1"/>
    <x v="1"/>
    <x v="0"/>
    <x v="1"/>
    <x v="1"/>
    <x v="3"/>
    <x v="31"/>
    <x v="34"/>
    <x v="11"/>
    <x v="0"/>
    <x v="0"/>
    <x v="1"/>
    <x v="1"/>
    <x v="0"/>
    <x v="1"/>
    <x v="1"/>
  </r>
  <r>
    <x v="27"/>
    <x v="0"/>
    <x v="0"/>
    <x v="1"/>
    <x v="1"/>
    <x v="1"/>
    <x v="0"/>
    <x v="0"/>
    <x v="2"/>
    <x v="31"/>
    <x v="34"/>
    <x v="12"/>
    <x v="0"/>
    <x v="0"/>
    <x v="1"/>
    <x v="1"/>
    <x v="1"/>
    <x v="0"/>
    <x v="0"/>
  </r>
  <r>
    <x v="28"/>
    <x v="0"/>
    <x v="0"/>
    <x v="1"/>
    <x v="1"/>
    <x v="1"/>
    <x v="0"/>
    <x v="1"/>
    <x v="3"/>
    <x v="17"/>
    <x v="14"/>
    <x v="13"/>
    <x v="0"/>
    <x v="0"/>
    <x v="1"/>
    <x v="1"/>
    <x v="1"/>
    <x v="0"/>
    <x v="1"/>
  </r>
  <r>
    <x v="29"/>
    <x v="0"/>
    <x v="0"/>
    <x v="1"/>
    <x v="1"/>
    <x v="1"/>
    <x v="1"/>
    <x v="0"/>
    <x v="3"/>
    <x v="30"/>
    <x v="16"/>
    <x v="14"/>
    <x v="0"/>
    <x v="0"/>
    <x v="1"/>
    <x v="1"/>
    <x v="1"/>
    <x v="1"/>
    <x v="0"/>
  </r>
  <r>
    <x v="30"/>
    <x v="0"/>
    <x v="0"/>
    <x v="1"/>
    <x v="1"/>
    <x v="1"/>
    <x v="1"/>
    <x v="1"/>
    <x v="4"/>
    <x v="22"/>
    <x v="4"/>
    <x v="15"/>
    <x v="0"/>
    <x v="0"/>
    <x v="1"/>
    <x v="1"/>
    <x v="1"/>
    <x v="1"/>
    <x v="1"/>
  </r>
  <r>
    <x v="31"/>
    <x v="0"/>
    <x v="1"/>
    <x v="0"/>
    <x v="0"/>
    <x v="0"/>
    <x v="0"/>
    <x v="0"/>
    <x v="0"/>
    <x v="31"/>
    <x v="34"/>
    <x v="95"/>
    <x v="0"/>
    <x v="1"/>
    <x v="0"/>
    <x v="0"/>
    <x v="0"/>
    <x v="0"/>
    <x v="0"/>
  </r>
  <r>
    <x v="32"/>
    <x v="0"/>
    <x v="1"/>
    <x v="0"/>
    <x v="0"/>
    <x v="0"/>
    <x v="0"/>
    <x v="1"/>
    <x v="1"/>
    <x v="14"/>
    <x v="32"/>
    <x v="96"/>
    <x v="0"/>
    <x v="1"/>
    <x v="0"/>
    <x v="0"/>
    <x v="0"/>
    <x v="0"/>
    <x v="1"/>
  </r>
  <r>
    <x v="33"/>
    <x v="0"/>
    <x v="1"/>
    <x v="0"/>
    <x v="0"/>
    <x v="0"/>
    <x v="1"/>
    <x v="0"/>
    <x v="1"/>
    <x v="8"/>
    <x v="33"/>
    <x v="97"/>
    <x v="0"/>
    <x v="1"/>
    <x v="0"/>
    <x v="0"/>
    <x v="0"/>
    <x v="1"/>
    <x v="0"/>
  </r>
  <r>
    <x v="34"/>
    <x v="0"/>
    <x v="1"/>
    <x v="0"/>
    <x v="0"/>
    <x v="0"/>
    <x v="1"/>
    <x v="1"/>
    <x v="2"/>
    <x v="31"/>
    <x v="34"/>
    <x v="98"/>
    <x v="0"/>
    <x v="1"/>
    <x v="0"/>
    <x v="0"/>
    <x v="0"/>
    <x v="1"/>
    <x v="1"/>
  </r>
  <r>
    <x v="35"/>
    <x v="0"/>
    <x v="1"/>
    <x v="0"/>
    <x v="0"/>
    <x v="1"/>
    <x v="0"/>
    <x v="0"/>
    <x v="1"/>
    <x v="31"/>
    <x v="34"/>
    <x v="99"/>
    <x v="0"/>
    <x v="1"/>
    <x v="0"/>
    <x v="0"/>
    <x v="1"/>
    <x v="0"/>
    <x v="0"/>
  </r>
  <r>
    <x v="36"/>
    <x v="0"/>
    <x v="1"/>
    <x v="0"/>
    <x v="0"/>
    <x v="1"/>
    <x v="0"/>
    <x v="1"/>
    <x v="2"/>
    <x v="31"/>
    <x v="34"/>
    <x v="100"/>
    <x v="0"/>
    <x v="1"/>
    <x v="0"/>
    <x v="0"/>
    <x v="1"/>
    <x v="0"/>
    <x v="1"/>
  </r>
  <r>
    <x v="37"/>
    <x v="0"/>
    <x v="1"/>
    <x v="0"/>
    <x v="0"/>
    <x v="1"/>
    <x v="1"/>
    <x v="0"/>
    <x v="2"/>
    <x v="31"/>
    <x v="34"/>
    <x v="101"/>
    <x v="0"/>
    <x v="1"/>
    <x v="0"/>
    <x v="0"/>
    <x v="1"/>
    <x v="1"/>
    <x v="0"/>
  </r>
  <r>
    <x v="38"/>
    <x v="0"/>
    <x v="1"/>
    <x v="0"/>
    <x v="0"/>
    <x v="1"/>
    <x v="1"/>
    <x v="1"/>
    <x v="3"/>
    <x v="2"/>
    <x v="22"/>
    <x v="102"/>
    <x v="0"/>
    <x v="1"/>
    <x v="0"/>
    <x v="0"/>
    <x v="1"/>
    <x v="1"/>
    <x v="1"/>
  </r>
  <r>
    <x v="39"/>
    <x v="0"/>
    <x v="1"/>
    <x v="0"/>
    <x v="1"/>
    <x v="0"/>
    <x v="0"/>
    <x v="0"/>
    <x v="1"/>
    <x v="31"/>
    <x v="34"/>
    <x v="103"/>
    <x v="0"/>
    <x v="1"/>
    <x v="0"/>
    <x v="1"/>
    <x v="0"/>
    <x v="0"/>
    <x v="0"/>
  </r>
  <r>
    <x v="40"/>
    <x v="0"/>
    <x v="1"/>
    <x v="0"/>
    <x v="1"/>
    <x v="0"/>
    <x v="0"/>
    <x v="1"/>
    <x v="2"/>
    <x v="31"/>
    <x v="34"/>
    <x v="104"/>
    <x v="0"/>
    <x v="1"/>
    <x v="0"/>
    <x v="1"/>
    <x v="0"/>
    <x v="0"/>
    <x v="1"/>
  </r>
  <r>
    <x v="41"/>
    <x v="0"/>
    <x v="1"/>
    <x v="0"/>
    <x v="1"/>
    <x v="0"/>
    <x v="1"/>
    <x v="0"/>
    <x v="2"/>
    <x v="31"/>
    <x v="34"/>
    <x v="105"/>
    <x v="0"/>
    <x v="1"/>
    <x v="0"/>
    <x v="1"/>
    <x v="0"/>
    <x v="1"/>
    <x v="0"/>
  </r>
  <r>
    <x v="42"/>
    <x v="0"/>
    <x v="1"/>
    <x v="0"/>
    <x v="1"/>
    <x v="0"/>
    <x v="1"/>
    <x v="1"/>
    <x v="3"/>
    <x v="28"/>
    <x v="19"/>
    <x v="106"/>
    <x v="0"/>
    <x v="1"/>
    <x v="0"/>
    <x v="1"/>
    <x v="0"/>
    <x v="1"/>
    <x v="1"/>
  </r>
  <r>
    <x v="43"/>
    <x v="0"/>
    <x v="1"/>
    <x v="0"/>
    <x v="1"/>
    <x v="1"/>
    <x v="0"/>
    <x v="0"/>
    <x v="2"/>
    <x v="31"/>
    <x v="34"/>
    <x v="107"/>
    <x v="0"/>
    <x v="1"/>
    <x v="0"/>
    <x v="1"/>
    <x v="1"/>
    <x v="0"/>
    <x v="0"/>
  </r>
  <r>
    <x v="44"/>
    <x v="0"/>
    <x v="1"/>
    <x v="0"/>
    <x v="1"/>
    <x v="1"/>
    <x v="0"/>
    <x v="1"/>
    <x v="3"/>
    <x v="30"/>
    <x v="15"/>
    <x v="108"/>
    <x v="0"/>
    <x v="1"/>
    <x v="0"/>
    <x v="1"/>
    <x v="1"/>
    <x v="0"/>
    <x v="1"/>
  </r>
  <r>
    <x v="45"/>
    <x v="0"/>
    <x v="1"/>
    <x v="0"/>
    <x v="1"/>
    <x v="1"/>
    <x v="1"/>
    <x v="0"/>
    <x v="3"/>
    <x v="2"/>
    <x v="25"/>
    <x v="109"/>
    <x v="0"/>
    <x v="1"/>
    <x v="0"/>
    <x v="1"/>
    <x v="1"/>
    <x v="1"/>
    <x v="0"/>
  </r>
  <r>
    <x v="46"/>
    <x v="0"/>
    <x v="1"/>
    <x v="0"/>
    <x v="1"/>
    <x v="1"/>
    <x v="1"/>
    <x v="1"/>
    <x v="4"/>
    <x v="22"/>
    <x v="4"/>
    <x v="110"/>
    <x v="0"/>
    <x v="1"/>
    <x v="0"/>
    <x v="1"/>
    <x v="1"/>
    <x v="1"/>
    <x v="1"/>
  </r>
  <r>
    <x v="47"/>
    <x v="0"/>
    <x v="1"/>
    <x v="1"/>
    <x v="0"/>
    <x v="0"/>
    <x v="0"/>
    <x v="0"/>
    <x v="1"/>
    <x v="1"/>
    <x v="34"/>
    <x v="111"/>
    <x v="0"/>
    <x v="1"/>
    <x v="1"/>
    <x v="0"/>
    <x v="0"/>
    <x v="0"/>
    <x v="0"/>
  </r>
  <r>
    <x v="48"/>
    <x v="0"/>
    <x v="1"/>
    <x v="1"/>
    <x v="0"/>
    <x v="0"/>
    <x v="0"/>
    <x v="1"/>
    <x v="2"/>
    <x v="31"/>
    <x v="34"/>
    <x v="112"/>
    <x v="0"/>
    <x v="1"/>
    <x v="1"/>
    <x v="0"/>
    <x v="0"/>
    <x v="0"/>
    <x v="1"/>
  </r>
  <r>
    <x v="49"/>
    <x v="0"/>
    <x v="1"/>
    <x v="1"/>
    <x v="0"/>
    <x v="0"/>
    <x v="1"/>
    <x v="0"/>
    <x v="2"/>
    <x v="31"/>
    <x v="34"/>
    <x v="113"/>
    <x v="0"/>
    <x v="1"/>
    <x v="1"/>
    <x v="0"/>
    <x v="0"/>
    <x v="1"/>
    <x v="0"/>
  </r>
  <r>
    <x v="50"/>
    <x v="0"/>
    <x v="1"/>
    <x v="1"/>
    <x v="0"/>
    <x v="0"/>
    <x v="1"/>
    <x v="1"/>
    <x v="3"/>
    <x v="31"/>
    <x v="34"/>
    <x v="114"/>
    <x v="0"/>
    <x v="1"/>
    <x v="1"/>
    <x v="0"/>
    <x v="0"/>
    <x v="1"/>
    <x v="1"/>
  </r>
  <r>
    <x v="51"/>
    <x v="0"/>
    <x v="1"/>
    <x v="1"/>
    <x v="0"/>
    <x v="1"/>
    <x v="0"/>
    <x v="0"/>
    <x v="2"/>
    <x v="31"/>
    <x v="34"/>
    <x v="115"/>
    <x v="0"/>
    <x v="1"/>
    <x v="1"/>
    <x v="0"/>
    <x v="1"/>
    <x v="0"/>
    <x v="0"/>
  </r>
  <r>
    <x v="52"/>
    <x v="0"/>
    <x v="1"/>
    <x v="1"/>
    <x v="0"/>
    <x v="1"/>
    <x v="0"/>
    <x v="1"/>
    <x v="3"/>
    <x v="31"/>
    <x v="34"/>
    <x v="116"/>
    <x v="0"/>
    <x v="1"/>
    <x v="1"/>
    <x v="0"/>
    <x v="1"/>
    <x v="0"/>
    <x v="1"/>
  </r>
  <r>
    <x v="53"/>
    <x v="0"/>
    <x v="1"/>
    <x v="1"/>
    <x v="0"/>
    <x v="1"/>
    <x v="1"/>
    <x v="0"/>
    <x v="3"/>
    <x v="31"/>
    <x v="34"/>
    <x v="117"/>
    <x v="0"/>
    <x v="1"/>
    <x v="1"/>
    <x v="0"/>
    <x v="1"/>
    <x v="1"/>
    <x v="0"/>
  </r>
  <r>
    <x v="54"/>
    <x v="0"/>
    <x v="1"/>
    <x v="1"/>
    <x v="0"/>
    <x v="1"/>
    <x v="1"/>
    <x v="1"/>
    <x v="4"/>
    <x v="31"/>
    <x v="34"/>
    <x v="118"/>
    <x v="0"/>
    <x v="1"/>
    <x v="1"/>
    <x v="0"/>
    <x v="1"/>
    <x v="1"/>
    <x v="1"/>
  </r>
  <r>
    <x v="55"/>
    <x v="0"/>
    <x v="1"/>
    <x v="1"/>
    <x v="1"/>
    <x v="0"/>
    <x v="0"/>
    <x v="0"/>
    <x v="2"/>
    <x v="31"/>
    <x v="34"/>
    <x v="119"/>
    <x v="0"/>
    <x v="1"/>
    <x v="1"/>
    <x v="1"/>
    <x v="0"/>
    <x v="0"/>
    <x v="0"/>
  </r>
  <r>
    <x v="56"/>
    <x v="0"/>
    <x v="1"/>
    <x v="1"/>
    <x v="1"/>
    <x v="0"/>
    <x v="0"/>
    <x v="1"/>
    <x v="3"/>
    <x v="31"/>
    <x v="34"/>
    <x v="120"/>
    <x v="0"/>
    <x v="1"/>
    <x v="1"/>
    <x v="1"/>
    <x v="0"/>
    <x v="0"/>
    <x v="1"/>
  </r>
  <r>
    <x v="57"/>
    <x v="0"/>
    <x v="1"/>
    <x v="1"/>
    <x v="1"/>
    <x v="0"/>
    <x v="1"/>
    <x v="0"/>
    <x v="3"/>
    <x v="31"/>
    <x v="34"/>
    <x v="121"/>
    <x v="0"/>
    <x v="1"/>
    <x v="1"/>
    <x v="1"/>
    <x v="0"/>
    <x v="1"/>
    <x v="0"/>
  </r>
  <r>
    <x v="58"/>
    <x v="0"/>
    <x v="1"/>
    <x v="1"/>
    <x v="1"/>
    <x v="0"/>
    <x v="1"/>
    <x v="1"/>
    <x v="4"/>
    <x v="31"/>
    <x v="34"/>
    <x v="122"/>
    <x v="0"/>
    <x v="1"/>
    <x v="1"/>
    <x v="1"/>
    <x v="0"/>
    <x v="1"/>
    <x v="1"/>
  </r>
  <r>
    <x v="59"/>
    <x v="0"/>
    <x v="1"/>
    <x v="1"/>
    <x v="1"/>
    <x v="1"/>
    <x v="0"/>
    <x v="0"/>
    <x v="3"/>
    <x v="31"/>
    <x v="34"/>
    <x v="123"/>
    <x v="0"/>
    <x v="1"/>
    <x v="1"/>
    <x v="1"/>
    <x v="1"/>
    <x v="0"/>
    <x v="0"/>
  </r>
  <r>
    <x v="60"/>
    <x v="0"/>
    <x v="1"/>
    <x v="1"/>
    <x v="1"/>
    <x v="1"/>
    <x v="0"/>
    <x v="1"/>
    <x v="4"/>
    <x v="31"/>
    <x v="34"/>
    <x v="124"/>
    <x v="0"/>
    <x v="1"/>
    <x v="1"/>
    <x v="1"/>
    <x v="1"/>
    <x v="0"/>
    <x v="1"/>
  </r>
  <r>
    <x v="61"/>
    <x v="0"/>
    <x v="1"/>
    <x v="1"/>
    <x v="1"/>
    <x v="1"/>
    <x v="1"/>
    <x v="0"/>
    <x v="4"/>
    <x v="27"/>
    <x v="27"/>
    <x v="125"/>
    <x v="0"/>
    <x v="1"/>
    <x v="1"/>
    <x v="1"/>
    <x v="1"/>
    <x v="1"/>
    <x v="0"/>
  </r>
  <r>
    <x v="62"/>
    <x v="0"/>
    <x v="1"/>
    <x v="1"/>
    <x v="1"/>
    <x v="1"/>
    <x v="1"/>
    <x v="1"/>
    <x v="5"/>
    <x v="26"/>
    <x v="5"/>
    <x v="126"/>
    <x v="0"/>
    <x v="1"/>
    <x v="1"/>
    <x v="1"/>
    <x v="1"/>
    <x v="1"/>
    <x v="1"/>
  </r>
  <r>
    <x v="63"/>
    <x v="1"/>
    <x v="0"/>
    <x v="0"/>
    <x v="0"/>
    <x v="0"/>
    <x v="0"/>
    <x v="0"/>
    <x v="0"/>
    <x v="31"/>
    <x v="34"/>
    <x v="30"/>
    <x v="1"/>
    <x v="0"/>
    <x v="0"/>
    <x v="0"/>
    <x v="0"/>
    <x v="0"/>
    <x v="0"/>
  </r>
  <r>
    <x v="64"/>
    <x v="1"/>
    <x v="0"/>
    <x v="0"/>
    <x v="0"/>
    <x v="0"/>
    <x v="0"/>
    <x v="1"/>
    <x v="1"/>
    <x v="9"/>
    <x v="32"/>
    <x v="31"/>
    <x v="1"/>
    <x v="0"/>
    <x v="0"/>
    <x v="0"/>
    <x v="0"/>
    <x v="0"/>
    <x v="1"/>
  </r>
  <r>
    <x v="65"/>
    <x v="1"/>
    <x v="0"/>
    <x v="0"/>
    <x v="0"/>
    <x v="0"/>
    <x v="1"/>
    <x v="0"/>
    <x v="1"/>
    <x v="5"/>
    <x v="33"/>
    <x v="32"/>
    <x v="1"/>
    <x v="0"/>
    <x v="0"/>
    <x v="0"/>
    <x v="0"/>
    <x v="1"/>
    <x v="0"/>
  </r>
  <r>
    <x v="66"/>
    <x v="1"/>
    <x v="0"/>
    <x v="0"/>
    <x v="0"/>
    <x v="0"/>
    <x v="1"/>
    <x v="1"/>
    <x v="2"/>
    <x v="31"/>
    <x v="34"/>
    <x v="33"/>
    <x v="1"/>
    <x v="0"/>
    <x v="0"/>
    <x v="0"/>
    <x v="0"/>
    <x v="1"/>
    <x v="1"/>
  </r>
  <r>
    <x v="67"/>
    <x v="1"/>
    <x v="0"/>
    <x v="0"/>
    <x v="0"/>
    <x v="1"/>
    <x v="0"/>
    <x v="0"/>
    <x v="1"/>
    <x v="31"/>
    <x v="34"/>
    <x v="34"/>
    <x v="1"/>
    <x v="0"/>
    <x v="0"/>
    <x v="0"/>
    <x v="1"/>
    <x v="0"/>
    <x v="0"/>
  </r>
  <r>
    <x v="68"/>
    <x v="1"/>
    <x v="0"/>
    <x v="0"/>
    <x v="0"/>
    <x v="1"/>
    <x v="0"/>
    <x v="1"/>
    <x v="2"/>
    <x v="31"/>
    <x v="34"/>
    <x v="35"/>
    <x v="1"/>
    <x v="0"/>
    <x v="0"/>
    <x v="0"/>
    <x v="1"/>
    <x v="0"/>
    <x v="1"/>
  </r>
  <r>
    <x v="69"/>
    <x v="1"/>
    <x v="0"/>
    <x v="0"/>
    <x v="0"/>
    <x v="1"/>
    <x v="1"/>
    <x v="0"/>
    <x v="2"/>
    <x v="31"/>
    <x v="34"/>
    <x v="36"/>
    <x v="1"/>
    <x v="0"/>
    <x v="0"/>
    <x v="0"/>
    <x v="1"/>
    <x v="1"/>
    <x v="0"/>
  </r>
  <r>
    <x v="70"/>
    <x v="1"/>
    <x v="0"/>
    <x v="0"/>
    <x v="0"/>
    <x v="1"/>
    <x v="1"/>
    <x v="1"/>
    <x v="3"/>
    <x v="31"/>
    <x v="34"/>
    <x v="37"/>
    <x v="1"/>
    <x v="0"/>
    <x v="0"/>
    <x v="0"/>
    <x v="1"/>
    <x v="1"/>
    <x v="1"/>
  </r>
  <r>
    <x v="71"/>
    <x v="1"/>
    <x v="0"/>
    <x v="0"/>
    <x v="1"/>
    <x v="0"/>
    <x v="0"/>
    <x v="0"/>
    <x v="1"/>
    <x v="31"/>
    <x v="34"/>
    <x v="38"/>
    <x v="1"/>
    <x v="0"/>
    <x v="0"/>
    <x v="1"/>
    <x v="0"/>
    <x v="0"/>
    <x v="0"/>
  </r>
  <r>
    <x v="72"/>
    <x v="1"/>
    <x v="0"/>
    <x v="0"/>
    <x v="1"/>
    <x v="0"/>
    <x v="0"/>
    <x v="1"/>
    <x v="2"/>
    <x v="31"/>
    <x v="34"/>
    <x v="39"/>
    <x v="1"/>
    <x v="0"/>
    <x v="0"/>
    <x v="1"/>
    <x v="0"/>
    <x v="0"/>
    <x v="1"/>
  </r>
  <r>
    <x v="73"/>
    <x v="1"/>
    <x v="0"/>
    <x v="0"/>
    <x v="1"/>
    <x v="0"/>
    <x v="1"/>
    <x v="0"/>
    <x v="2"/>
    <x v="31"/>
    <x v="34"/>
    <x v="40"/>
    <x v="1"/>
    <x v="0"/>
    <x v="0"/>
    <x v="1"/>
    <x v="0"/>
    <x v="1"/>
    <x v="0"/>
  </r>
  <r>
    <x v="74"/>
    <x v="1"/>
    <x v="0"/>
    <x v="0"/>
    <x v="1"/>
    <x v="0"/>
    <x v="1"/>
    <x v="1"/>
    <x v="3"/>
    <x v="31"/>
    <x v="34"/>
    <x v="41"/>
    <x v="1"/>
    <x v="0"/>
    <x v="0"/>
    <x v="1"/>
    <x v="0"/>
    <x v="1"/>
    <x v="1"/>
  </r>
  <r>
    <x v="75"/>
    <x v="1"/>
    <x v="0"/>
    <x v="0"/>
    <x v="1"/>
    <x v="1"/>
    <x v="0"/>
    <x v="0"/>
    <x v="2"/>
    <x v="31"/>
    <x v="34"/>
    <x v="42"/>
    <x v="1"/>
    <x v="0"/>
    <x v="0"/>
    <x v="1"/>
    <x v="1"/>
    <x v="0"/>
    <x v="0"/>
  </r>
  <r>
    <x v="76"/>
    <x v="1"/>
    <x v="0"/>
    <x v="0"/>
    <x v="1"/>
    <x v="1"/>
    <x v="0"/>
    <x v="1"/>
    <x v="3"/>
    <x v="31"/>
    <x v="34"/>
    <x v="43"/>
    <x v="1"/>
    <x v="0"/>
    <x v="0"/>
    <x v="1"/>
    <x v="1"/>
    <x v="0"/>
    <x v="1"/>
  </r>
  <r>
    <x v="77"/>
    <x v="1"/>
    <x v="0"/>
    <x v="0"/>
    <x v="1"/>
    <x v="1"/>
    <x v="1"/>
    <x v="0"/>
    <x v="3"/>
    <x v="18"/>
    <x v="17"/>
    <x v="44"/>
    <x v="1"/>
    <x v="0"/>
    <x v="0"/>
    <x v="1"/>
    <x v="1"/>
    <x v="1"/>
    <x v="0"/>
  </r>
  <r>
    <x v="78"/>
    <x v="1"/>
    <x v="0"/>
    <x v="0"/>
    <x v="1"/>
    <x v="1"/>
    <x v="1"/>
    <x v="1"/>
    <x v="4"/>
    <x v="4"/>
    <x v="30"/>
    <x v="45"/>
    <x v="1"/>
    <x v="0"/>
    <x v="0"/>
    <x v="1"/>
    <x v="1"/>
    <x v="1"/>
    <x v="1"/>
  </r>
  <r>
    <x v="79"/>
    <x v="1"/>
    <x v="0"/>
    <x v="1"/>
    <x v="0"/>
    <x v="0"/>
    <x v="0"/>
    <x v="0"/>
    <x v="1"/>
    <x v="31"/>
    <x v="34"/>
    <x v="46"/>
    <x v="1"/>
    <x v="0"/>
    <x v="1"/>
    <x v="0"/>
    <x v="0"/>
    <x v="0"/>
    <x v="0"/>
  </r>
  <r>
    <x v="80"/>
    <x v="1"/>
    <x v="0"/>
    <x v="1"/>
    <x v="0"/>
    <x v="0"/>
    <x v="0"/>
    <x v="1"/>
    <x v="2"/>
    <x v="31"/>
    <x v="34"/>
    <x v="47"/>
    <x v="1"/>
    <x v="0"/>
    <x v="1"/>
    <x v="0"/>
    <x v="0"/>
    <x v="0"/>
    <x v="1"/>
  </r>
  <r>
    <x v="81"/>
    <x v="1"/>
    <x v="0"/>
    <x v="1"/>
    <x v="0"/>
    <x v="0"/>
    <x v="1"/>
    <x v="0"/>
    <x v="2"/>
    <x v="31"/>
    <x v="34"/>
    <x v="48"/>
    <x v="1"/>
    <x v="0"/>
    <x v="1"/>
    <x v="0"/>
    <x v="0"/>
    <x v="1"/>
    <x v="0"/>
  </r>
  <r>
    <x v="82"/>
    <x v="1"/>
    <x v="0"/>
    <x v="1"/>
    <x v="0"/>
    <x v="0"/>
    <x v="1"/>
    <x v="1"/>
    <x v="3"/>
    <x v="17"/>
    <x v="12"/>
    <x v="49"/>
    <x v="1"/>
    <x v="0"/>
    <x v="1"/>
    <x v="0"/>
    <x v="0"/>
    <x v="1"/>
    <x v="1"/>
  </r>
  <r>
    <x v="83"/>
    <x v="1"/>
    <x v="0"/>
    <x v="1"/>
    <x v="0"/>
    <x v="1"/>
    <x v="0"/>
    <x v="0"/>
    <x v="2"/>
    <x v="31"/>
    <x v="34"/>
    <x v="50"/>
    <x v="1"/>
    <x v="0"/>
    <x v="1"/>
    <x v="0"/>
    <x v="1"/>
    <x v="0"/>
    <x v="0"/>
  </r>
  <r>
    <x v="84"/>
    <x v="1"/>
    <x v="0"/>
    <x v="1"/>
    <x v="0"/>
    <x v="1"/>
    <x v="0"/>
    <x v="1"/>
    <x v="3"/>
    <x v="31"/>
    <x v="34"/>
    <x v="51"/>
    <x v="1"/>
    <x v="0"/>
    <x v="1"/>
    <x v="0"/>
    <x v="1"/>
    <x v="0"/>
    <x v="1"/>
  </r>
  <r>
    <x v="85"/>
    <x v="1"/>
    <x v="0"/>
    <x v="1"/>
    <x v="0"/>
    <x v="1"/>
    <x v="1"/>
    <x v="0"/>
    <x v="3"/>
    <x v="15"/>
    <x v="1"/>
    <x v="52"/>
    <x v="1"/>
    <x v="0"/>
    <x v="1"/>
    <x v="0"/>
    <x v="1"/>
    <x v="1"/>
    <x v="0"/>
  </r>
  <r>
    <x v="86"/>
    <x v="1"/>
    <x v="0"/>
    <x v="1"/>
    <x v="0"/>
    <x v="1"/>
    <x v="1"/>
    <x v="1"/>
    <x v="4"/>
    <x v="24"/>
    <x v="2"/>
    <x v="53"/>
    <x v="1"/>
    <x v="0"/>
    <x v="1"/>
    <x v="0"/>
    <x v="1"/>
    <x v="1"/>
    <x v="1"/>
  </r>
  <r>
    <x v="87"/>
    <x v="1"/>
    <x v="0"/>
    <x v="1"/>
    <x v="1"/>
    <x v="0"/>
    <x v="0"/>
    <x v="0"/>
    <x v="2"/>
    <x v="31"/>
    <x v="34"/>
    <x v="54"/>
    <x v="1"/>
    <x v="0"/>
    <x v="1"/>
    <x v="1"/>
    <x v="0"/>
    <x v="0"/>
    <x v="0"/>
  </r>
  <r>
    <x v="88"/>
    <x v="1"/>
    <x v="0"/>
    <x v="1"/>
    <x v="1"/>
    <x v="0"/>
    <x v="0"/>
    <x v="1"/>
    <x v="3"/>
    <x v="31"/>
    <x v="34"/>
    <x v="55"/>
    <x v="1"/>
    <x v="0"/>
    <x v="1"/>
    <x v="1"/>
    <x v="0"/>
    <x v="0"/>
    <x v="1"/>
  </r>
  <r>
    <x v="89"/>
    <x v="1"/>
    <x v="0"/>
    <x v="1"/>
    <x v="1"/>
    <x v="0"/>
    <x v="1"/>
    <x v="0"/>
    <x v="3"/>
    <x v="31"/>
    <x v="34"/>
    <x v="56"/>
    <x v="1"/>
    <x v="0"/>
    <x v="1"/>
    <x v="1"/>
    <x v="0"/>
    <x v="1"/>
    <x v="0"/>
  </r>
  <r>
    <x v="90"/>
    <x v="1"/>
    <x v="0"/>
    <x v="1"/>
    <x v="1"/>
    <x v="0"/>
    <x v="1"/>
    <x v="1"/>
    <x v="4"/>
    <x v="31"/>
    <x v="34"/>
    <x v="57"/>
    <x v="1"/>
    <x v="0"/>
    <x v="1"/>
    <x v="1"/>
    <x v="0"/>
    <x v="1"/>
    <x v="1"/>
  </r>
  <r>
    <x v="91"/>
    <x v="1"/>
    <x v="0"/>
    <x v="1"/>
    <x v="1"/>
    <x v="1"/>
    <x v="0"/>
    <x v="0"/>
    <x v="3"/>
    <x v="18"/>
    <x v="18"/>
    <x v="58"/>
    <x v="1"/>
    <x v="0"/>
    <x v="1"/>
    <x v="1"/>
    <x v="1"/>
    <x v="0"/>
    <x v="0"/>
  </r>
  <r>
    <x v="92"/>
    <x v="1"/>
    <x v="0"/>
    <x v="1"/>
    <x v="1"/>
    <x v="1"/>
    <x v="0"/>
    <x v="1"/>
    <x v="4"/>
    <x v="27"/>
    <x v="28"/>
    <x v="59"/>
    <x v="1"/>
    <x v="0"/>
    <x v="1"/>
    <x v="1"/>
    <x v="1"/>
    <x v="0"/>
    <x v="1"/>
  </r>
  <r>
    <x v="93"/>
    <x v="1"/>
    <x v="0"/>
    <x v="1"/>
    <x v="1"/>
    <x v="1"/>
    <x v="1"/>
    <x v="0"/>
    <x v="4"/>
    <x v="21"/>
    <x v="3"/>
    <x v="60"/>
    <x v="1"/>
    <x v="0"/>
    <x v="1"/>
    <x v="1"/>
    <x v="1"/>
    <x v="1"/>
    <x v="0"/>
  </r>
  <r>
    <x v="94"/>
    <x v="1"/>
    <x v="0"/>
    <x v="1"/>
    <x v="1"/>
    <x v="1"/>
    <x v="1"/>
    <x v="1"/>
    <x v="5"/>
    <x v="25"/>
    <x v="6"/>
    <x v="61"/>
    <x v="1"/>
    <x v="0"/>
    <x v="1"/>
    <x v="1"/>
    <x v="1"/>
    <x v="1"/>
    <x v="1"/>
  </r>
  <r>
    <x v="95"/>
    <x v="1"/>
    <x v="1"/>
    <x v="0"/>
    <x v="0"/>
    <x v="0"/>
    <x v="0"/>
    <x v="0"/>
    <x v="1"/>
    <x v="31"/>
    <x v="34"/>
    <x v="62"/>
    <x v="1"/>
    <x v="1"/>
    <x v="0"/>
    <x v="0"/>
    <x v="0"/>
    <x v="0"/>
    <x v="0"/>
  </r>
  <r>
    <x v="96"/>
    <x v="1"/>
    <x v="1"/>
    <x v="0"/>
    <x v="0"/>
    <x v="0"/>
    <x v="0"/>
    <x v="1"/>
    <x v="2"/>
    <x v="31"/>
    <x v="34"/>
    <x v="63"/>
    <x v="1"/>
    <x v="1"/>
    <x v="0"/>
    <x v="0"/>
    <x v="0"/>
    <x v="0"/>
    <x v="1"/>
  </r>
  <r>
    <x v="97"/>
    <x v="1"/>
    <x v="1"/>
    <x v="0"/>
    <x v="0"/>
    <x v="0"/>
    <x v="1"/>
    <x v="0"/>
    <x v="2"/>
    <x v="31"/>
    <x v="34"/>
    <x v="64"/>
    <x v="1"/>
    <x v="1"/>
    <x v="0"/>
    <x v="0"/>
    <x v="0"/>
    <x v="1"/>
    <x v="0"/>
  </r>
  <r>
    <x v="98"/>
    <x v="1"/>
    <x v="1"/>
    <x v="0"/>
    <x v="0"/>
    <x v="0"/>
    <x v="1"/>
    <x v="1"/>
    <x v="3"/>
    <x v="17"/>
    <x v="13"/>
    <x v="65"/>
    <x v="1"/>
    <x v="1"/>
    <x v="0"/>
    <x v="0"/>
    <x v="0"/>
    <x v="1"/>
    <x v="1"/>
  </r>
  <r>
    <x v="99"/>
    <x v="1"/>
    <x v="1"/>
    <x v="0"/>
    <x v="0"/>
    <x v="1"/>
    <x v="0"/>
    <x v="0"/>
    <x v="2"/>
    <x v="31"/>
    <x v="34"/>
    <x v="66"/>
    <x v="1"/>
    <x v="1"/>
    <x v="0"/>
    <x v="0"/>
    <x v="1"/>
    <x v="0"/>
    <x v="0"/>
  </r>
  <r>
    <x v="100"/>
    <x v="1"/>
    <x v="1"/>
    <x v="0"/>
    <x v="0"/>
    <x v="1"/>
    <x v="0"/>
    <x v="1"/>
    <x v="3"/>
    <x v="15"/>
    <x v="1"/>
    <x v="67"/>
    <x v="1"/>
    <x v="1"/>
    <x v="0"/>
    <x v="0"/>
    <x v="1"/>
    <x v="0"/>
    <x v="1"/>
  </r>
  <r>
    <x v="101"/>
    <x v="1"/>
    <x v="1"/>
    <x v="0"/>
    <x v="0"/>
    <x v="1"/>
    <x v="1"/>
    <x v="0"/>
    <x v="3"/>
    <x v="31"/>
    <x v="34"/>
    <x v="68"/>
    <x v="1"/>
    <x v="1"/>
    <x v="0"/>
    <x v="0"/>
    <x v="1"/>
    <x v="1"/>
    <x v="0"/>
  </r>
  <r>
    <x v="102"/>
    <x v="1"/>
    <x v="1"/>
    <x v="0"/>
    <x v="0"/>
    <x v="1"/>
    <x v="1"/>
    <x v="1"/>
    <x v="4"/>
    <x v="24"/>
    <x v="2"/>
    <x v="69"/>
    <x v="1"/>
    <x v="1"/>
    <x v="0"/>
    <x v="0"/>
    <x v="1"/>
    <x v="1"/>
    <x v="1"/>
  </r>
  <r>
    <x v="103"/>
    <x v="1"/>
    <x v="1"/>
    <x v="0"/>
    <x v="1"/>
    <x v="0"/>
    <x v="0"/>
    <x v="0"/>
    <x v="2"/>
    <x v="31"/>
    <x v="34"/>
    <x v="70"/>
    <x v="1"/>
    <x v="1"/>
    <x v="0"/>
    <x v="1"/>
    <x v="0"/>
    <x v="0"/>
    <x v="0"/>
  </r>
  <r>
    <x v="104"/>
    <x v="1"/>
    <x v="1"/>
    <x v="0"/>
    <x v="1"/>
    <x v="0"/>
    <x v="0"/>
    <x v="1"/>
    <x v="3"/>
    <x v="31"/>
    <x v="34"/>
    <x v="71"/>
    <x v="1"/>
    <x v="1"/>
    <x v="0"/>
    <x v="1"/>
    <x v="0"/>
    <x v="0"/>
    <x v="1"/>
  </r>
  <r>
    <x v="105"/>
    <x v="1"/>
    <x v="1"/>
    <x v="0"/>
    <x v="1"/>
    <x v="0"/>
    <x v="1"/>
    <x v="0"/>
    <x v="3"/>
    <x v="31"/>
    <x v="34"/>
    <x v="72"/>
    <x v="1"/>
    <x v="1"/>
    <x v="0"/>
    <x v="1"/>
    <x v="0"/>
    <x v="1"/>
    <x v="0"/>
  </r>
  <r>
    <x v="106"/>
    <x v="1"/>
    <x v="1"/>
    <x v="0"/>
    <x v="1"/>
    <x v="0"/>
    <x v="1"/>
    <x v="1"/>
    <x v="4"/>
    <x v="31"/>
    <x v="34"/>
    <x v="73"/>
    <x v="1"/>
    <x v="1"/>
    <x v="0"/>
    <x v="1"/>
    <x v="0"/>
    <x v="1"/>
    <x v="1"/>
  </r>
  <r>
    <x v="107"/>
    <x v="1"/>
    <x v="1"/>
    <x v="0"/>
    <x v="1"/>
    <x v="1"/>
    <x v="0"/>
    <x v="0"/>
    <x v="3"/>
    <x v="28"/>
    <x v="20"/>
    <x v="74"/>
    <x v="1"/>
    <x v="1"/>
    <x v="0"/>
    <x v="1"/>
    <x v="1"/>
    <x v="0"/>
    <x v="0"/>
  </r>
  <r>
    <x v="108"/>
    <x v="1"/>
    <x v="1"/>
    <x v="0"/>
    <x v="1"/>
    <x v="1"/>
    <x v="0"/>
    <x v="1"/>
    <x v="4"/>
    <x v="24"/>
    <x v="2"/>
    <x v="75"/>
    <x v="1"/>
    <x v="1"/>
    <x v="0"/>
    <x v="1"/>
    <x v="1"/>
    <x v="0"/>
    <x v="1"/>
  </r>
  <r>
    <x v="109"/>
    <x v="1"/>
    <x v="1"/>
    <x v="0"/>
    <x v="1"/>
    <x v="1"/>
    <x v="1"/>
    <x v="0"/>
    <x v="4"/>
    <x v="21"/>
    <x v="3"/>
    <x v="76"/>
    <x v="1"/>
    <x v="1"/>
    <x v="0"/>
    <x v="1"/>
    <x v="1"/>
    <x v="1"/>
    <x v="0"/>
  </r>
  <r>
    <x v="110"/>
    <x v="1"/>
    <x v="1"/>
    <x v="0"/>
    <x v="1"/>
    <x v="1"/>
    <x v="1"/>
    <x v="1"/>
    <x v="5"/>
    <x v="25"/>
    <x v="7"/>
    <x v="77"/>
    <x v="1"/>
    <x v="1"/>
    <x v="0"/>
    <x v="1"/>
    <x v="1"/>
    <x v="1"/>
    <x v="1"/>
  </r>
  <r>
    <x v="111"/>
    <x v="1"/>
    <x v="1"/>
    <x v="1"/>
    <x v="0"/>
    <x v="0"/>
    <x v="0"/>
    <x v="0"/>
    <x v="2"/>
    <x v="31"/>
    <x v="34"/>
    <x v="78"/>
    <x v="1"/>
    <x v="1"/>
    <x v="1"/>
    <x v="0"/>
    <x v="0"/>
    <x v="0"/>
    <x v="0"/>
  </r>
  <r>
    <x v="112"/>
    <x v="1"/>
    <x v="1"/>
    <x v="1"/>
    <x v="0"/>
    <x v="0"/>
    <x v="0"/>
    <x v="1"/>
    <x v="3"/>
    <x v="2"/>
    <x v="24"/>
    <x v="79"/>
    <x v="1"/>
    <x v="1"/>
    <x v="1"/>
    <x v="0"/>
    <x v="0"/>
    <x v="0"/>
    <x v="1"/>
  </r>
  <r>
    <x v="113"/>
    <x v="1"/>
    <x v="1"/>
    <x v="1"/>
    <x v="0"/>
    <x v="0"/>
    <x v="1"/>
    <x v="0"/>
    <x v="3"/>
    <x v="29"/>
    <x v="21"/>
    <x v="80"/>
    <x v="1"/>
    <x v="1"/>
    <x v="1"/>
    <x v="0"/>
    <x v="0"/>
    <x v="1"/>
    <x v="0"/>
  </r>
  <r>
    <x v="114"/>
    <x v="1"/>
    <x v="1"/>
    <x v="1"/>
    <x v="0"/>
    <x v="0"/>
    <x v="1"/>
    <x v="1"/>
    <x v="4"/>
    <x v="31"/>
    <x v="34"/>
    <x v="81"/>
    <x v="1"/>
    <x v="1"/>
    <x v="1"/>
    <x v="0"/>
    <x v="0"/>
    <x v="1"/>
    <x v="1"/>
  </r>
  <r>
    <x v="115"/>
    <x v="1"/>
    <x v="1"/>
    <x v="1"/>
    <x v="0"/>
    <x v="1"/>
    <x v="0"/>
    <x v="0"/>
    <x v="3"/>
    <x v="31"/>
    <x v="34"/>
    <x v="82"/>
    <x v="1"/>
    <x v="1"/>
    <x v="1"/>
    <x v="0"/>
    <x v="1"/>
    <x v="0"/>
    <x v="0"/>
  </r>
  <r>
    <x v="116"/>
    <x v="1"/>
    <x v="1"/>
    <x v="1"/>
    <x v="0"/>
    <x v="1"/>
    <x v="0"/>
    <x v="1"/>
    <x v="4"/>
    <x v="21"/>
    <x v="3"/>
    <x v="83"/>
    <x v="1"/>
    <x v="1"/>
    <x v="1"/>
    <x v="0"/>
    <x v="1"/>
    <x v="0"/>
    <x v="1"/>
  </r>
  <r>
    <x v="117"/>
    <x v="1"/>
    <x v="1"/>
    <x v="1"/>
    <x v="0"/>
    <x v="1"/>
    <x v="1"/>
    <x v="0"/>
    <x v="4"/>
    <x v="27"/>
    <x v="26"/>
    <x v="84"/>
    <x v="1"/>
    <x v="1"/>
    <x v="1"/>
    <x v="0"/>
    <x v="1"/>
    <x v="1"/>
    <x v="0"/>
  </r>
  <r>
    <x v="118"/>
    <x v="1"/>
    <x v="1"/>
    <x v="1"/>
    <x v="0"/>
    <x v="1"/>
    <x v="1"/>
    <x v="1"/>
    <x v="5"/>
    <x v="7"/>
    <x v="8"/>
    <x v="85"/>
    <x v="1"/>
    <x v="1"/>
    <x v="1"/>
    <x v="0"/>
    <x v="1"/>
    <x v="1"/>
    <x v="1"/>
  </r>
  <r>
    <x v="119"/>
    <x v="1"/>
    <x v="1"/>
    <x v="1"/>
    <x v="1"/>
    <x v="0"/>
    <x v="0"/>
    <x v="0"/>
    <x v="3"/>
    <x v="31"/>
    <x v="34"/>
    <x v="86"/>
    <x v="1"/>
    <x v="1"/>
    <x v="1"/>
    <x v="1"/>
    <x v="0"/>
    <x v="0"/>
    <x v="0"/>
  </r>
  <r>
    <x v="120"/>
    <x v="1"/>
    <x v="1"/>
    <x v="1"/>
    <x v="1"/>
    <x v="0"/>
    <x v="0"/>
    <x v="1"/>
    <x v="4"/>
    <x v="31"/>
    <x v="34"/>
    <x v="87"/>
    <x v="1"/>
    <x v="1"/>
    <x v="1"/>
    <x v="1"/>
    <x v="0"/>
    <x v="0"/>
    <x v="1"/>
  </r>
  <r>
    <x v="121"/>
    <x v="1"/>
    <x v="1"/>
    <x v="1"/>
    <x v="1"/>
    <x v="0"/>
    <x v="1"/>
    <x v="0"/>
    <x v="4"/>
    <x v="31"/>
    <x v="34"/>
    <x v="88"/>
    <x v="1"/>
    <x v="1"/>
    <x v="1"/>
    <x v="1"/>
    <x v="0"/>
    <x v="1"/>
    <x v="0"/>
  </r>
  <r>
    <x v="122"/>
    <x v="1"/>
    <x v="1"/>
    <x v="1"/>
    <x v="1"/>
    <x v="0"/>
    <x v="1"/>
    <x v="1"/>
    <x v="5"/>
    <x v="6"/>
    <x v="9"/>
    <x v="89"/>
    <x v="1"/>
    <x v="1"/>
    <x v="1"/>
    <x v="1"/>
    <x v="0"/>
    <x v="1"/>
    <x v="1"/>
  </r>
  <r>
    <x v="123"/>
    <x v="1"/>
    <x v="1"/>
    <x v="1"/>
    <x v="1"/>
    <x v="1"/>
    <x v="0"/>
    <x v="0"/>
    <x v="4"/>
    <x v="4"/>
    <x v="29"/>
    <x v="90"/>
    <x v="1"/>
    <x v="1"/>
    <x v="1"/>
    <x v="1"/>
    <x v="1"/>
    <x v="0"/>
    <x v="0"/>
  </r>
  <r>
    <x v="124"/>
    <x v="1"/>
    <x v="1"/>
    <x v="1"/>
    <x v="1"/>
    <x v="1"/>
    <x v="0"/>
    <x v="1"/>
    <x v="5"/>
    <x v="16"/>
    <x v="10"/>
    <x v="91"/>
    <x v="1"/>
    <x v="1"/>
    <x v="1"/>
    <x v="1"/>
    <x v="1"/>
    <x v="0"/>
    <x v="1"/>
  </r>
  <r>
    <x v="125"/>
    <x v="1"/>
    <x v="1"/>
    <x v="1"/>
    <x v="1"/>
    <x v="1"/>
    <x v="1"/>
    <x v="0"/>
    <x v="5"/>
    <x v="16"/>
    <x v="11"/>
    <x v="92"/>
    <x v="1"/>
    <x v="1"/>
    <x v="1"/>
    <x v="1"/>
    <x v="1"/>
    <x v="1"/>
    <x v="0"/>
  </r>
  <r>
    <x v="126"/>
    <x v="1"/>
    <x v="1"/>
    <x v="1"/>
    <x v="1"/>
    <x v="1"/>
    <x v="1"/>
    <x v="1"/>
    <x v="6"/>
    <x v="3"/>
    <x v="0"/>
    <x v="93"/>
    <x v="1"/>
    <x v="1"/>
    <x v="1"/>
    <x v="1"/>
    <x v="1"/>
    <x v="1"/>
    <x v="1"/>
  </r>
</pivotCacheRecords>
</file>

<file path=xl/pivotCache/pivotCacheRecords2.xml><?xml version="1.0" encoding="utf-8"?>
<pivotCacheRecords xmlns="http://schemas.openxmlformats.org/spreadsheetml/2006/main" xmlns:r="http://schemas.openxmlformats.org/officeDocument/2006/relationships" count="36">
  <r>
    <x v="0"/>
    <x v="6"/>
    <x v="0"/>
    <x v="1"/>
    <x v="10"/>
  </r>
  <r>
    <x v="1"/>
    <x v="6"/>
    <x v="1"/>
    <x v="0"/>
    <x v="12"/>
  </r>
  <r>
    <x v="2"/>
    <x v="6"/>
    <x v="2"/>
    <x v="2"/>
    <x v="1"/>
  </r>
  <r>
    <x v="3"/>
    <x v="10"/>
    <x v="0"/>
    <x v="2"/>
    <x v="13"/>
  </r>
  <r>
    <x v="4"/>
    <x v="10"/>
    <x v="1"/>
    <x v="0"/>
    <x v="5"/>
  </r>
  <r>
    <x v="5"/>
    <x v="10"/>
    <x v="2"/>
    <x v="3"/>
    <x v="8"/>
  </r>
  <r>
    <x v="6"/>
    <x v="7"/>
    <x v="0"/>
    <x v="0"/>
    <x v="14"/>
  </r>
  <r>
    <x v="7"/>
    <x v="7"/>
    <x v="1"/>
    <x v="2"/>
    <x v="4"/>
  </r>
  <r>
    <x v="8"/>
    <x v="7"/>
    <x v="2"/>
    <x v="3"/>
    <x v="2"/>
  </r>
  <r>
    <x v="9"/>
    <x v="2"/>
    <x v="0"/>
    <x v="3"/>
    <x v="3"/>
  </r>
  <r>
    <x v="10"/>
    <x v="2"/>
    <x v="1"/>
    <x v="1"/>
    <x v="0"/>
  </r>
  <r>
    <x v="11"/>
    <x v="2"/>
    <x v="2"/>
    <x v="2"/>
    <x v="11"/>
  </r>
  <r>
    <x v="12"/>
    <x v="8"/>
    <x v="0"/>
    <x v="1"/>
    <x v="6"/>
  </r>
  <r>
    <x v="13"/>
    <x v="8"/>
    <x v="1"/>
    <x v="2"/>
    <x v="9"/>
  </r>
  <r>
    <x v="14"/>
    <x v="8"/>
    <x v="2"/>
    <x v="1"/>
    <x v="7"/>
  </r>
  <r>
    <x v="15"/>
    <x v="1"/>
    <x v="0"/>
    <x v="0"/>
    <x v="15"/>
  </r>
  <r>
    <x v="16"/>
    <x v="1"/>
    <x v="1"/>
    <x v="3"/>
    <x v="15"/>
  </r>
  <r>
    <x v="17"/>
    <x v="1"/>
    <x v="2"/>
    <x v="0"/>
    <x v="15"/>
  </r>
  <r>
    <x v="18"/>
    <x v="9"/>
    <x v="0"/>
    <x v="0"/>
    <x v="15"/>
  </r>
  <r>
    <x v="19"/>
    <x v="9"/>
    <x v="1"/>
    <x v="2"/>
    <x v="15"/>
  </r>
  <r>
    <x v="20"/>
    <x v="9"/>
    <x v="2"/>
    <x v="1"/>
    <x v="15"/>
  </r>
  <r>
    <x v="21"/>
    <x v="11"/>
    <x v="0"/>
    <x v="1"/>
    <x v="15"/>
  </r>
  <r>
    <x v="22"/>
    <x v="11"/>
    <x v="1"/>
    <x v="1"/>
    <x v="15"/>
  </r>
  <r>
    <x v="23"/>
    <x v="11"/>
    <x v="2"/>
    <x v="1"/>
    <x v="15"/>
  </r>
  <r>
    <x v="24"/>
    <x v="0"/>
    <x v="0"/>
    <x v="2"/>
    <x v="15"/>
  </r>
  <r>
    <x v="25"/>
    <x v="0"/>
    <x v="1"/>
    <x v="0"/>
    <x v="15"/>
  </r>
  <r>
    <x v="26"/>
    <x v="0"/>
    <x v="2"/>
    <x v="0"/>
    <x v="15"/>
  </r>
  <r>
    <x v="27"/>
    <x v="4"/>
    <x v="0"/>
    <x v="1"/>
    <x v="15"/>
  </r>
  <r>
    <x v="28"/>
    <x v="4"/>
    <x v="1"/>
    <x v="0"/>
    <x v="15"/>
  </r>
  <r>
    <x v="29"/>
    <x v="4"/>
    <x v="2"/>
    <x v="2"/>
    <x v="15"/>
  </r>
  <r>
    <x v="30"/>
    <x v="3"/>
    <x v="0"/>
    <x v="1"/>
    <x v="15"/>
  </r>
  <r>
    <x v="31"/>
    <x v="3"/>
    <x v="1"/>
    <x v="0"/>
    <x v="15"/>
  </r>
  <r>
    <x v="32"/>
    <x v="3"/>
    <x v="2"/>
    <x v="0"/>
    <x v="15"/>
  </r>
  <r>
    <x v="33"/>
    <x v="5"/>
    <x v="0"/>
    <x v="3"/>
    <x v="15"/>
  </r>
  <r>
    <x v="34"/>
    <x v="5"/>
    <x v="1"/>
    <x v="3"/>
    <x v="15"/>
  </r>
  <r>
    <x v="35"/>
    <x v="5"/>
    <x v="2"/>
    <x v="1"/>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800-000000000000}" name="PivotTable1" cacheId="0" applyNumberFormats="0" applyBorderFormats="0" applyFontFormats="0" applyPatternFormats="0" applyAlignmentFormats="0" applyWidthHeightFormats="0" dataCaption="Values" itemPrintTitles="1" indent="0" compact="0" outline="1" outlineData="1" compactData="0">
  <location ref="U5:V13" firstHeaderRow="1" firstDataRow="1" firstDataCol="1"/>
  <pivotFields count="19">
    <pivotField compact="0" showAll="0"/>
    <pivotField compact="0" showAll="0"/>
    <pivotField compact="0" showAll="0"/>
    <pivotField compact="0" showAll="0"/>
    <pivotField compact="0" showAll="0"/>
    <pivotField compact="0" showAll="0"/>
    <pivotField compact="0" showAll="0"/>
    <pivotField compact="0" showAll="0"/>
    <pivotField axis="axisRow" dataField="1" compact="0" showAll="0">
      <items count="8">
        <item x="0"/>
        <item x="1"/>
        <item x="2"/>
        <item x="3"/>
        <item x="4"/>
        <item x="5"/>
        <item x="6"/>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s>
  <rowFields count="1">
    <field x="8"/>
  </rowFields>
  <dataFields count="1">
    <dataField name="Count - Grahas*" fld="8"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C00-000000000000}" name="DataPilot1" cacheId="1" applyNumberFormats="0" applyBorderFormats="0" applyFontFormats="0" applyPatternFormats="0" applyAlignmentFormats="0" applyWidthHeightFormats="0" dataCaption="Values" itemPrintTitles="1" indent="0" compact="0" compactData="0">
  <location ref="L733:M738" firstHeaderRow="1" firstDataRow="1" firstDataCol="1"/>
  <pivotFields count="5">
    <pivotField compact="0" outline="0" showAll="0"/>
    <pivotField compact="0" outline="0" showAll="0"/>
    <pivotField compact="0" outline="0" showAll="0"/>
    <pivotField axis="axisRow" dataField="1" compact="0" outline="0" showAll="0">
      <items count="5">
        <item x="0"/>
        <item x="1"/>
        <item x="2"/>
        <item x="3"/>
        <item t="default"/>
      </items>
    </pivotField>
    <pivotField compact="0" showAll="0"/>
  </pivotFields>
  <rowFields count="1">
    <field x="3"/>
  </rowFields>
  <dataFields count="1">
    <dataField name="Count - VaidyanaathaDx*" fld="3"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0000000-000C-0000-FFFF-FFFF00000000}" name="Table22" displayName="Table22" ref="A39:O48" totalsRowShown="0">
  <autoFilter ref="A39:O48" xr:uid="{00000000-0009-0000-0100-00001E000000}"/>
  <tableColumns count="15">
    <tableColumn id="1" xr3:uid="{00000000-0010-0000-0000-000001000000}" name="Navatara"/>
    <tableColumn id="2" xr3:uid="{00000000-0010-0000-0000-000002000000}" name="Kaaraka"/>
    <tableColumn id="3" xr3:uid="{00000000-0010-0000-0000-000003000000}" name="#"/>
    <tableColumn id="4" xr3:uid="{00000000-0010-0000-0000-000004000000}" name="Ruler"/>
    <tableColumn id="5" xr3:uid="{00000000-0010-0000-0000-000005000000}" name="Deha"/>
    <tableColumn id="6" xr3:uid="{00000000-0010-0000-0000-000006000000}" name="Navatara 1"/>
    <tableColumn id="7" xr3:uid="{00000000-0010-0000-0000-000007000000}" name="Use 1st Level"/>
    <tableColumn id="8" xr3:uid="{00000000-0010-0000-0000-000008000000}" name="Manasa"/>
    <tableColumn id="9" xr3:uid="{00000000-0010-0000-0000-000009000000}" name="Navatara 2"/>
    <tableColumn id="10" xr3:uid="{00000000-0010-0000-0000-00000A000000}" name="Use 2"/>
    <tableColumn id="11" xr3:uid="{00000000-0010-0000-0000-00000B000000}" name="Atma"/>
    <tableColumn id="12" xr3:uid="{00000000-0010-0000-0000-00000C000000}" name="Navatara 3"/>
    <tableColumn id="13" xr3:uid="{00000000-0010-0000-0000-00000D000000}" name="Use 3"/>
    <tableColumn id="14" xr3:uid="{00000000-0010-0000-0000-00000E000000}" name="Ruler_"/>
    <tableColumn id="15" xr3:uid="{00000000-0010-0000-0000-00000F000000}" name="#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00000000-000C-0000-FFFF-FFFF01000000}" name="Table17" displayName="Table17" ref="A17:C21" totalsRowShown="0">
  <autoFilter ref="A17:C21" xr:uid="{00000000-0009-0000-0100-000015000000}"/>
  <tableColumns count="3">
    <tableColumn id="1" xr3:uid="{00000000-0010-0000-0100-000001000000}" name="Year"/>
    <tableColumn id="2" xr3:uid="{00000000-0010-0000-0100-000002000000}" name="Days"/>
    <tableColumn id="3" xr3:uid="{00000000-0010-0000-0100-000003000000}" name="Ratio"/>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00000000-000C-0000-FFFF-FFFF02000000}" name="Table19" displayName="Table19" ref="A2:S11" totalsRowShown="0">
  <autoFilter ref="A2:S11" xr:uid="{00000000-0009-0000-0100-000019000000}"/>
  <tableColumns count="19">
    <tableColumn id="1" xr3:uid="{00000000-0010-0000-0200-000001000000}" name="Graha"/>
    <tableColumn id="2" xr3:uid="{00000000-0010-0000-0200-000002000000}" name="Jataka"/>
    <tableColumn id="3" xr3:uid="{00000000-0010-0000-0200-000003000000}" name="Debility"/>
    <tableColumn id="4" xr3:uid="{00000000-0010-0000-0200-000004000000}" name="Distance"/>
    <tableColumn id="5" xr3:uid="{00000000-0010-0000-0200-000005000000}" name="Maana"/>
    <tableColumn id="6" xr3:uid="{00000000-0010-0000-0200-000006000000}" name="Correction"/>
    <tableColumn id="7" xr3:uid="{00000000-0010-0000-0200-000007000000}" name="Age-P"/>
    <tableColumn id="8" xr3:uid="{00000000-0010-0000-0200-000008000000}" name="Maana2"/>
    <tableColumn id="9" xr3:uid="{00000000-0010-0000-0200-000009000000}" name="Correction3"/>
    <tableColumn id="10" xr3:uid="{00000000-0010-0000-0200-00000A000000}" name="Age-N"/>
    <tableColumn id="11" xr3:uid="{00000000-0010-0000-0200-00000B000000}" name="D9"/>
    <tableColumn id="12" xr3:uid="{00000000-0010-0000-0200-00000C000000}" name="Correction5"/>
    <tableColumn id="13" xr3:uid="{00000000-0010-0000-0200-00000D000000}" name="Age-A"/>
    <tableColumn id="14" xr3:uid="{00000000-0010-0000-0200-00000E000000}" name="MaanaR"/>
    <tableColumn id="15" xr3:uid="{00000000-0010-0000-0200-00000F000000}" name="Age-R"/>
    <tableColumn id="16" xr3:uid="{00000000-0010-0000-0200-000010000000}" name="Factor"/>
    <tableColumn id="17" xr3:uid="{00000000-0010-0000-0200-000011000000}" name="Age-K"/>
    <tableColumn id="18" xr3:uid="{00000000-0010-0000-0200-000012000000}" name="Age-B"/>
    <tableColumn id="19" xr3:uid="{00000000-0010-0000-0200-000013000000}" name="Age-Nx"/>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3000000}" name="Table13" displayName="Table13" ref="A1:L10" totalsRowShown="0">
  <autoFilter ref="A1:L10" xr:uid="{00000000-0009-0000-0100-000011000000}"/>
  <tableColumns count="12">
    <tableColumn id="1" xr3:uid="{00000000-0010-0000-0300-000001000000}" name="Planet"/>
    <tableColumn id="2" xr3:uid="{00000000-0010-0000-0300-000002000000}" name="Vimsottari Years"/>
    <tableColumn id="3" xr3:uid="{00000000-0010-0000-0300-000003000000}" name="Vimsottari Seq"/>
    <tableColumn id="4" xr3:uid="{00000000-0010-0000-0300-000004000000}" name="Use Forward Table?"/>
    <tableColumn id="5" xr3:uid="{00000000-0010-0000-0300-000005000000}" name="TRUE"/>
    <tableColumn id="6" xr3:uid="{00000000-0010-0000-0300-000006000000}" name="Graha"/>
    <tableColumn id="7" xr3:uid="{00000000-0010-0000-0300-000007000000}" name="Solar Years"/>
    <tableColumn id="8" xr3:uid="{00000000-0010-0000-0300-000008000000}" name="Sequence"/>
    <tableColumn id="9" xr3:uid="{00000000-0010-0000-0300-000009000000}" name="Sol Days/Deg"/>
    <tableColumn id="10" xr3:uid="{00000000-0010-0000-0300-00000A000000}" name="Sol Days/Min"/>
    <tableColumn id="11" xr3:uid="{00000000-0010-0000-0300-00000B000000}" name="Sol Days/Sec"/>
    <tableColumn id="12" xr3:uid="{00000000-0010-0000-0300-00000C000000}" name="Dasa Days/Min"/>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4000000}" name="Table122" displayName="Table122" ref="A1:S128" totalsRowShown="0">
  <autoFilter ref="A1:S128" xr:uid="{00000000-0009-0000-0100-000010000000}">
    <filterColumn colId="8">
      <filters>
        <filter val="2"/>
      </filters>
    </filterColumn>
  </autoFilter>
  <tableColumns count="19">
    <tableColumn id="1" xr3:uid="{00000000-0010-0000-0400-000001000000}" name="Yoga#"/>
    <tableColumn id="2" xr3:uid="{00000000-0010-0000-0400-000002000000}" name="Sat"/>
    <tableColumn id="3" xr3:uid="{00000000-0010-0000-0400-000003000000}" name="Ve"/>
    <tableColumn id="4" xr3:uid="{00000000-0010-0000-0400-000004000000}" name="Ju"/>
    <tableColumn id="5" xr3:uid="{00000000-0010-0000-0400-000005000000}" name="Me"/>
    <tableColumn id="6" xr3:uid="{00000000-0010-0000-0400-000006000000}" name="Ma"/>
    <tableColumn id="7" xr3:uid="{00000000-0010-0000-0400-000007000000}" name="Mo"/>
    <tableColumn id="8" xr3:uid="{00000000-0010-0000-0400-000008000000}" name="Su"/>
    <tableColumn id="9" xr3:uid="{00000000-0010-0000-0400-000009000000}" name="Grahas"/>
    <tableColumn id="10" xr3:uid="{00000000-0010-0000-0400-00000A000000}" name="Yoga Name/Results"/>
    <tableColumn id="11" xr3:uid="{00000000-0010-0000-0400-00000B000000}" name="References"/>
    <tableColumn id="12" xr3:uid="{00000000-0010-0000-0400-00000C000000}" name="Conjoined Grahas"/>
    <tableColumn id="13" xr3:uid="{00000000-0010-0000-0400-00000D000000}" name="Sat2"/>
    <tableColumn id="14" xr3:uid="{00000000-0010-0000-0400-00000E000000}" name="Column2"/>
    <tableColumn id="15" xr3:uid="{00000000-0010-0000-0400-00000F000000}" name="Column3"/>
    <tableColumn id="16" xr3:uid="{00000000-0010-0000-0400-000010000000}" name="Column4"/>
    <tableColumn id="17" xr3:uid="{00000000-0010-0000-0400-000011000000}" name="Column5"/>
    <tableColumn id="18" xr3:uid="{00000000-0010-0000-0400-000012000000}" name="Column6"/>
    <tableColumn id="19" xr3:uid="{00000000-0010-0000-0400-000013000000}" name="Column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5000000}" name="KC" displayName="KC" ref="A1:H49" totalsRowShown="0">
  <autoFilter ref="A1:H49" xr:uid="{00000000-0009-0000-0100-00000B000000}"/>
  <tableColumns count="8">
    <tableColumn id="1" xr3:uid="{00000000-0010-0000-0500-000001000000}" name="Seq"/>
    <tableColumn id="2" xr3:uid="{00000000-0010-0000-0500-000002000000}" name="Dasa"/>
    <tableColumn id="3" xr3:uid="{00000000-0010-0000-0500-000003000000}" name="Years"/>
    <tableColumn id="4" xr3:uid="{00000000-0010-0000-0500-000004000000}" name="Pada"/>
    <tableColumn id="5" xr3:uid="{00000000-0010-0000-0500-000005000000}" name="KD9"/>
    <tableColumn id="6" xr3:uid="{00000000-0010-0000-0500-000006000000}" name="Ayush"/>
    <tableColumn id="7" xr3:uid="{00000000-0010-0000-0500-000007000000}" name="D9Savya"/>
    <tableColumn id="8" xr3:uid="{00000000-0010-0000-0500-000008000000}" name="Savya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00000000-000C-0000-FFFF-FFFF06000000}" name="Table2" displayName="Table2" ref="B3:C12" totalsRowShown="0">
  <autoFilter ref="B3:C12" xr:uid="{00000000-0009-0000-0100-00001B000000}"/>
  <tableColumns count="2">
    <tableColumn id="1" xr3:uid="{00000000-0010-0000-0600-000001000000}" name="Planet"/>
    <tableColumn id="2" xr3:uid="{00000000-0010-0000-0600-000002000000}" name="Sign#"/>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000000-000C-0000-FFFF-FFFF07000000}" name="Table20" displayName="Table20" ref="A314:C322" totalsRowShown="0">
  <autoFilter ref="A314:C322" xr:uid="{00000000-0009-0000-0100-00001C000000}"/>
  <tableColumns count="3">
    <tableColumn id="1" xr3:uid="{00000000-0010-0000-0700-000001000000}" name="Kakshya"/>
    <tableColumn id="2" xr3:uid="{00000000-0010-0000-0700-000002000000}" name="Degree St"/>
    <tableColumn id="3" xr3:uid="{00000000-0010-0000-0700-000003000000}" name="End"/>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00000000-000C-0000-FFFF-FFFF08000000}" name="VedhaTable" displayName="VedhaTable" ref="A301:M309" totalsRowShown="0">
  <tableColumns count="13">
    <tableColumn id="1" xr3:uid="{00000000-0010-0000-0800-000001000000}" name="Table of Vedha"/>
    <tableColumn id="2" xr3:uid="{00000000-0010-0000-0800-000002000000}" name="1"/>
    <tableColumn id="3" xr3:uid="{00000000-0010-0000-0800-000003000000}" name="2"/>
    <tableColumn id="4" xr3:uid="{00000000-0010-0000-0800-000004000000}" name="3"/>
    <tableColumn id="5" xr3:uid="{00000000-0010-0000-0800-000005000000}" name="4"/>
    <tableColumn id="6" xr3:uid="{00000000-0010-0000-0800-000006000000}" name="5"/>
    <tableColumn id="7" xr3:uid="{00000000-0010-0000-0800-000007000000}" name="6"/>
    <tableColumn id="8" xr3:uid="{00000000-0010-0000-0800-000008000000}" name="7"/>
    <tableColumn id="9" xr3:uid="{00000000-0010-0000-0800-000009000000}" name="8"/>
    <tableColumn id="10" xr3:uid="{00000000-0010-0000-0800-00000A000000}" name="9"/>
    <tableColumn id="11" xr3:uid="{00000000-0010-0000-0800-00000B000000}" name="10"/>
    <tableColumn id="12" xr3:uid="{00000000-0010-0000-0800-00000C000000}" name="11"/>
    <tableColumn id="13" xr3:uid="{00000000-0010-0000-0800-00000D000000}" name="12"/>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9000000}" name="Akathaha" displayName="Akathaha" ref="A170:J179" totalsRowShown="0">
  <autoFilter ref="A170:J179" xr:uid="{00000000-0009-0000-0100-000001000000}"/>
  <tableColumns count="10">
    <tableColumn id="1" xr3:uid="{00000000-0010-0000-0900-000001000000}" name="Akathaha"/>
    <tableColumn id="2" xr3:uid="{00000000-0010-0000-0900-000002000000}" name="1"/>
    <tableColumn id="3" xr3:uid="{00000000-0010-0000-0900-000003000000}" name="2"/>
    <tableColumn id="4" xr3:uid="{00000000-0010-0000-0900-000004000000}" name="3"/>
    <tableColumn id="5" xr3:uid="{00000000-0010-0000-0900-000005000000}" name="4"/>
    <tableColumn id="6" xr3:uid="{00000000-0010-0000-0900-000006000000}" name="akathaha Chakra"/>
    <tableColumn id="7" xr3:uid="{00000000-0010-0000-0900-000007000000}" name="C1"/>
    <tableColumn id="8" xr3:uid="{00000000-0010-0000-0900-000008000000}" name="C2"/>
    <tableColumn id="9" xr3:uid="{00000000-0010-0000-0900-000009000000}" name="C3"/>
    <tableColumn id="10" xr3:uid="{00000000-0010-0000-0900-00000A000000}" name="C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A000000}" name="Ayush3Pairs" displayName="Ayush3Pairs" ref="A204:D212" totalsRowShown="0">
  <autoFilter ref="A204:D212" xr:uid="{00000000-0009-0000-0100-000002000000}"/>
  <tableColumns count="4">
    <tableColumn id="1" xr3:uid="{00000000-0010-0000-0A00-000001000000}" name="Term of Life"/>
    <tableColumn id="2" xr3:uid="{00000000-0010-0000-0A00-000002000000}" name="if signs are:"/>
    <tableColumn id="3" xr3:uid="{00000000-0010-0000-0A00-000003000000}" name="or signs are:"/>
    <tableColumn id="4" xr3:uid="{00000000-0010-0000-0A00-000004000000}" name="Lifespan"/>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BhaavaDescription" displayName="BhaavaDescription" ref="A31:AA44" totalsRowShown="0">
  <autoFilter ref="A31:AA44" xr:uid="{00000000-0009-0000-0100-000003000000}"/>
  <tableColumns count="27">
    <tableColumn id="1" xr3:uid="{00000000-0010-0000-0B00-000001000000}" name="Bhava Number"/>
    <tableColumn id="2" xr3:uid="{00000000-0010-0000-0B00-000002000000}" name="Name"/>
    <tableColumn id="3" xr3:uid="{00000000-0010-0000-0B00-000003000000}" name="Sanskrit Name"/>
    <tableColumn id="4" xr3:uid="{00000000-0010-0000-0B00-000004000000}" name="Strength (LP)"/>
    <tableColumn id="5" xr3:uid="{00000000-0010-0000-0B00-000005000000}" name="Navakkari"/>
    <tableColumn id="6" xr3:uid="{00000000-0010-0000-0B00-000006000000}" name="Signifies"/>
    <tableColumn id="7" xr3:uid="{00000000-0010-0000-0B00-000007000000}" name="What We…."/>
    <tableColumn id="8" xr3:uid="{00000000-0010-0000-0B00-000008000000}" name="At Work"/>
    <tableColumn id="9" xr3:uid="{00000000-0010-0000-0B00-000009000000}" name="House (Business)"/>
    <tableColumn id="10" xr3:uid="{00000000-0010-0000-0B00-00000A000000}" name="Lord (Business)"/>
    <tableColumn id="11" xr3:uid="{00000000-0010-0000-0B00-00000B000000}" name="House(Jobs)"/>
    <tableColumn id="12" xr3:uid="{00000000-0010-0000-0B00-00000C000000}" name="Lords(Jobs)"/>
    <tableColumn id="13" xr3:uid="{00000000-0010-0000-0B00-00000D000000}" name="Deva praśna"/>
    <tableColumn id="14" xr3:uid="{00000000-0010-0000-0B00-00000E000000}" name="Rāja praśna- Coronation"/>
    <tableColumn id="15" xr3:uid="{00000000-0010-0000-0B00-00000F000000}" name="Rāja praśna-Rāja bhāgya"/>
    <tableColumn id="16" xr3:uid="{00000000-0010-0000-0B00-000010000000}" name="Rāja praśna-National chart"/>
    <tableColumn id="17" xr3:uid="{00000000-0010-0000-0B00-000011000000}" name="Charakāraka &amp; bhāva"/>
    <tableColumn id="18" xr3:uid="{00000000-0010-0000-0B00-000012000000}" name="Nashta Prashna"/>
    <tableColumn id="19" xr3:uid="{00000000-0010-0000-0B00-000013000000}" name="Posture"/>
    <tableColumn id="20" xr3:uid="{00000000-0010-0000-0B00-000014000000}" name="Transliteration"/>
    <tableColumn id="21" xr3:uid="{00000000-0010-0000-0B00-000015000000}" name="Translation"/>
    <tableColumn id="22" xr3:uid="{00000000-0010-0000-0B00-000016000000}" name="Body Part"/>
    <tableColumn id="23" xr3:uid="{00000000-0010-0000-0B00-000017000000}" name="1st Dreshkana"/>
    <tableColumn id="24" xr3:uid="{00000000-0010-0000-0B00-000018000000}" name="2nd Drekkana"/>
    <tableColumn id="25" xr3:uid="{00000000-0010-0000-0B00-000019000000}" name="3rd Drekkana"/>
    <tableColumn id="26" xr3:uid="{00000000-0010-0000-0B00-00001A000000}" name="Bhojana Prashna"/>
    <tableColumn id="27" xr3:uid="{00000000-0010-0000-0B00-00001B000000}" name="Suratha Prashna"/>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C000000}" name="D24Deity" displayName="D24Deity" ref="AF214:AG226" totalsRowShown="0">
  <autoFilter ref="AF214:AG226" xr:uid="{00000000-0009-0000-0100-000004000000}"/>
  <tableColumns count="2">
    <tableColumn id="1" xr3:uid="{00000000-0010-0000-0C00-000001000000}" name="D24 Deities"/>
    <tableColumn id="2" xr3:uid="{00000000-0010-0000-0C00-000002000000}" name="Meanigng"/>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D000000}" name="D30Results" displayName="D30Results" ref="A706:F713" totalsRowShown="0">
  <autoFilter ref="A706:F713" xr:uid="{00000000-0009-0000-0100-000005000000}"/>
  <tableColumns count="6">
    <tableColumn id="1" xr3:uid="{00000000-0010-0000-0D00-000001000000}" name="D1/D30-&gt;"/>
    <tableColumn id="2" xr3:uid="{00000000-0010-0000-0D00-000002000000}" name="Mars"/>
    <tableColumn id="3" xr3:uid="{00000000-0010-0000-0D00-000003000000}" name="Venus"/>
    <tableColumn id="4" xr3:uid="{00000000-0010-0000-0D00-000004000000}" name="Mercury"/>
    <tableColumn id="5" xr3:uid="{00000000-0010-0000-0D00-000005000000}" name="Guru"/>
    <tableColumn id="6" xr3:uid="{00000000-0010-0000-0D00-000006000000}" name="Saturn"/>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E000000}" name="Drekkana" displayName="Drekkana" ref="A731:E767" totalsRowShown="0">
  <autoFilter ref="A731:E767" xr:uid="{00000000-0009-0000-0100-000006000000}"/>
  <tableColumns count="5">
    <tableColumn id="1" xr3:uid="{00000000-0010-0000-0E00-000001000000}" name="D3"/>
    <tableColumn id="2" xr3:uid="{00000000-0010-0000-0E00-000002000000}" name="Sign"/>
    <tableColumn id="3" xr3:uid="{00000000-0010-0000-0E00-000003000000}" name="Drekkana"/>
    <tableColumn id="4" xr3:uid="{00000000-0010-0000-0E00-000004000000}" name="VaidyanaathaDx"/>
    <tableColumn id="5" xr3:uid="{00000000-0010-0000-0E00-000005000000}" name="Varaahamihira"/>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F000000}" name="FinancialRelation" displayName="FinancialRelation" ref="A520:M529" totalsRowShown="0">
  <autoFilter ref="A520:M529" xr:uid="{00000000-0009-0000-0100-000007000000}"/>
  <tableColumns count="13">
    <tableColumn id="1" xr3:uid="{00000000-0010-0000-0F00-000001000000}" name="Planet"/>
    <tableColumn id="2" xr3:uid="{00000000-0010-0000-0F00-000002000000}" name="Exaltation/_x000a_Debilitation"/>
    <tableColumn id="3" xr3:uid="{00000000-0010-0000-0F00-000003000000}" name="Own_x000a_Sign"/>
    <tableColumn id="4" xr3:uid="{00000000-0010-0000-0F00-000004000000}" name="Friends"/>
    <tableColumn id="5" xr3:uid="{00000000-0010-0000-0F00-000005000000}" name="Friendly Sign"/>
    <tableColumn id="6" xr3:uid="{00000000-0010-0000-0F00-000006000000}" name="Friend 1"/>
    <tableColumn id="7" xr3:uid="{00000000-0010-0000-0F00-000007000000}" name="Friend 2"/>
    <tableColumn id="8" xr3:uid="{00000000-0010-0000-0F00-000008000000}" name="Friend 3"/>
    <tableColumn id="9" xr3:uid="{00000000-0010-0000-0F00-000009000000}" name="Friend 4"/>
    <tableColumn id="10" xr3:uid="{00000000-0010-0000-0F00-00000A000000}" name="Friend 5"/>
    <tableColumn id="11" xr3:uid="{00000000-0010-0000-0F00-00000B000000}" name="Friend 6"/>
    <tableColumn id="12" xr3:uid="{00000000-0010-0000-0F00-00000C000000}" name="Friend 7"/>
    <tableColumn id="13" xr3:uid="{37C55C68-BC5D-4E44-A4CF-748AFB4E7C91}" name="From Notes/Dhana Yogada" dataDxfId="0"/>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0000000}" name="GrahaMaturity" displayName="GrahaMaturity" ref="A586:E595" totalsRowShown="0">
  <autoFilter ref="A586:E595" xr:uid="{00000000-0009-0000-0100-000008000000}"/>
  <tableColumns count="5">
    <tableColumn id="1" xr3:uid="{00000000-0010-0000-1000-000001000000}" name="Graha"/>
    <tableColumn id="2" xr3:uid="{00000000-0010-0000-1000-000002000000}" name="Number"/>
    <tableColumn id="3" xr3:uid="{00000000-0010-0000-1000-000003000000}" name="Primary"/>
    <tableColumn id="4" xr3:uid="{00000000-0010-0000-1000-000004000000}" name="Secondary"/>
    <tableColumn id="5" xr3:uid="{00000000-0010-0000-1000-000005000000}" name="Column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HoraTable" displayName="HoraTable" ref="A770:H819" totalsRowShown="0">
  <tableColumns count="8">
    <tableColumn id="1" xr3:uid="{00000000-0010-0000-1100-000001000000}" name="Hours"/>
    <tableColumn id="2" xr3:uid="{00000000-0010-0000-1100-000002000000}" name="Sunday"/>
    <tableColumn id="3" xr3:uid="{00000000-0010-0000-1100-000003000000}" name="Monday"/>
    <tableColumn id="4" xr3:uid="{00000000-0010-0000-1100-000004000000}" name="Tuesday"/>
    <tableColumn id="5" xr3:uid="{00000000-0010-0000-1100-000005000000}" name="Wednesday"/>
    <tableColumn id="6" xr3:uid="{00000000-0010-0000-1100-000006000000}" name="Thursday"/>
    <tableColumn id="7" xr3:uid="{00000000-0010-0000-1100-000007000000}" name="Friday"/>
    <tableColumn id="8" xr3:uid="{00000000-0010-0000-1100-000008000000}" name="Saturday"/>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2000000}" name="KaranaTable" displayName="KaranaTable" ref="A136:F147" totalsRowShown="0">
  <autoFilter ref="A136:F147" xr:uid="{00000000-0009-0000-0100-00000A000000}"/>
  <tableColumns count="6">
    <tableColumn id="1" xr3:uid="{00000000-0010-0000-1200-000001000000}" name="KaranaTable"/>
    <tableColumn id="2" xr3:uid="{00000000-0010-0000-1200-000002000000}" name="करण"/>
    <tableColumn id="3" xr3:uid="{00000000-0010-0000-1200-000003000000}" name="karaṇa"/>
    <tableColumn id="4" xr3:uid="{00000000-0010-0000-1200-000004000000}" name="Ruler"/>
    <tableColumn id="5" xr3:uid="{00000000-0010-0000-1200-000005000000}" name="Tithi"/>
    <tableColumn id="6" xr3:uid="{00000000-0010-0000-1200-000006000000}" name="Other Spellings"/>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3000000}" name="KutaTable" displayName="KutaTable" ref="A187:G202" totalsRowCount="1">
  <autoFilter ref="A187:G201" xr:uid="{00000000-0009-0000-0100-00000C000000}"/>
  <tableColumns count="7">
    <tableColumn id="1" xr3:uid="{00000000-0010-0000-1300-000001000000}" name="#" totalsRowLabel="Total"/>
    <tableColumn id="2" xr3:uid="{00000000-0010-0000-1300-000002000000}" name="Kuta" totalsRowLabel="Number kuta must agree &gt;=5 "/>
    <tableColumn id="3" xr3:uid="{00000000-0010-0000-1300-000003000000}" name="Definition" totalsRowLabel="and total points&gt;=26 (8+7+6+5)"/>
    <tableColumn id="4" xr3:uid="{00000000-0010-0000-1300-000004000000}" name="Promote" totalsRowLabel="Kuta Max 36"/>
    <tableColumn id="5" xr3:uid="{00000000-0010-0000-1300-000005000000}" name="Points"/>
    <tableColumn id="6" xr3:uid="{00000000-0010-0000-1300-000006000000}" name="Example"/>
    <tableColumn id="7" xr3:uid="{00000000-0010-0000-1300-000007000000}" name="Example Points"/>
  </tableColumns>
  <tableStyleInfo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14000000}" name="Nakshatra" displayName="Nakshatra" ref="A47:BD76" totalsRowShown="0">
  <autoFilter ref="A47:BD76" xr:uid="{00000000-0009-0000-0100-00000D000000}"/>
  <tableColumns count="56">
    <tableColumn id="1" xr3:uid="{00000000-0010-0000-1400-000001000000}" name="Seq27"/>
    <tableColumn id="2" xr3:uid="{00000000-0010-0000-1400-000002000000}" name="Name"/>
    <tableColumn id="3" xr3:uid="{00000000-0010-0000-1400-000003000000}" name="Other Names"/>
    <tableColumn id="4" xr3:uid="{00000000-0010-0000-1400-000004000000}" name="Lord"/>
    <tableColumn id="5" xr3:uid="{00000000-0010-0000-1400-000005000000}" name="Sign(s)"/>
    <tableColumn id="6" xr3:uid="{00000000-0010-0000-1400-000006000000}" name="Tatva Group"/>
    <tableColumn id="7" xr3:uid="{00000000-0010-0000-1400-000007000000}" name="Tatva"/>
    <tableColumn id="8" xr3:uid="{00000000-0010-0000-1400-000008000000}" name="Andhaadi"/>
    <tableColumn id="9" xr3:uid="{00000000-0010-0000-1400-000009000000}" name="Adhomukhaadi/Sight"/>
    <tableColumn id="10" xr3:uid="{00000000-0010-0000-1400-00000A000000}" name="Guna(8)"/>
    <tableColumn id="11" xr3:uid="{00000000-0010-0000-1400-00000B000000}" name="Gana(9)"/>
    <tableColumn id="12" xr3:uid="{00000000-0010-0000-1400-00000C000000}" name="Type"/>
    <tableColumn id="13" xr3:uid="{00000000-0010-0000-1400-00000D000000}" name="Symbol"/>
    <tableColumn id="14" xr3:uid="{00000000-0010-0000-1400-00000E000000}" name="Symbol2"/>
    <tableColumn id="15" xr3:uid="{00000000-0010-0000-1400-00000F000000}" name="Sex*"/>
    <tableColumn id="16" xr3:uid="{00000000-0010-0000-1400-000010000000}" name="Animal"/>
    <tableColumn id="17" xr3:uid="{00000000-0010-0000-1400-000011000000}" name="Deity"/>
    <tableColumn id="18" xr3:uid="{00000000-0010-0000-1400-000012000000}" name="Rajju"/>
    <tableColumn id="19" xr3:uid="{00000000-0010-0000-1400-000013000000}" name="Prakruti"/>
    <tableColumn id="20" xr3:uid="{00000000-0010-0000-1400-000014000000}" name="Varna"/>
    <tableColumn id="21" xr3:uid="{00000000-0010-0000-1400-000015000000}" name="Start"/>
    <tableColumn id="22" xr3:uid="{00000000-0010-0000-1400-000016000000}" name="End"/>
    <tableColumn id="23" xr3:uid="{00000000-0010-0000-1400-000017000000}" name="Phonemes"/>
    <tableColumn id="24" xr3:uid="{00000000-0010-0000-1400-000018000000}" name="Akshara"/>
    <tableColumn id="25" xr3:uid="{00000000-0010-0000-1400-000019000000}" name="Gotra(25)"/>
    <tableColumn id="26" xr3:uid="{00000000-0010-0000-1400-00001A000000}" name="DoshaX8"/>
    <tableColumn id="27" xr3:uid="{00000000-0010-0000-1400-00001B000000}" name="Pada1"/>
    <tableColumn id="28" xr3:uid="{00000000-0010-0000-1400-00001C000000}" name="Pada2"/>
    <tableColumn id="29" xr3:uid="{00000000-0010-0000-1400-00001D000000}" name="Pada3"/>
    <tableColumn id="30" xr3:uid="{00000000-0010-0000-1400-00001E000000}" name="Pada4"/>
    <tableColumn id="31" xr3:uid="{00000000-0010-0000-1400-00001F000000}" name="Yoga"/>
    <tableColumn id="32" xr3:uid="{00000000-0010-0000-1400-000020000000}" name="Direction"/>
    <tableColumn id="33" xr3:uid="{00000000-0010-0000-1400-000021000000}" name="Astronomical Name"/>
    <tableColumn id="34" xr3:uid="{00000000-0010-0000-1400-000022000000}" name="0:Gh:Vg"/>
    <tableColumn id="35" xr3:uid="{00000000-0010-0000-1400-000023000000}" name="Degrees"/>
    <tableColumn id="36" xr3:uid="{00000000-0010-0000-1400-000024000000}" name="PROFESSIONS, ARTICLES ETC. SIGNIFIED"/>
    <tableColumn id="37" xr3:uid="{00000000-0010-0000-1400-000025000000}" name="PanchaPakshiShuklaP (Prashna Marga)"/>
    <tableColumn id="38" xr3:uid="{00000000-0010-0000-1400-000026000000}" name="PanchaPakshiKrishnaP"/>
    <tableColumn id="39" xr3:uid="{00000000-0010-0000-1400-000027000000}" name="Sanjya chakra"/>
    <tableColumn id="40" xr3:uid="{00000000-0010-0000-1400-000028000000}" name="Paata Chakra"/>
    <tableColumn id="41" xr3:uid="{00000000-0010-0000-1400-000029000000}" name="Paata (Up,Mr,Ka, Sa)"/>
    <tableColumn id="42" xr3:uid="{00000000-0010-0000-1400-00002A000000}" name="Body Parts (Kamkoti.org)"/>
    <tableColumn id="43" xr3:uid="{00000000-0010-0000-1400-00002B000000}" name="Visha"/>
    <tableColumn id="44" xr3:uid="{00000000-0010-0000-1400-00002C000000}" name="Amrit"/>
    <tableColumn id="45" xr3:uid="{00000000-0010-0000-1400-00002D000000}" name="Mrityu"/>
    <tableColumn id="46" xr3:uid="{00000000-0010-0000-1400-00002E000000}" name="Ushna-sikha Start"/>
    <tableColumn id="47" xr3:uid="{00000000-0010-0000-1400-00002F000000}" name="Ushna-sikha End"/>
    <tableColumn id="48" xr3:uid="{00000000-0010-0000-1400-000030000000}" name="Savya"/>
    <tableColumn id="49" xr3:uid="{00000000-0010-0000-1400-000031000000}" name="Meaning"/>
    <tableColumn id="50" xr3:uid="{00000000-0010-0000-1400-000032000000}" name="Pada 1"/>
    <tableColumn id="51" xr3:uid="{00000000-0010-0000-1400-000033000000}" name="Pada 2"/>
    <tableColumn id="52" xr3:uid="{00000000-0010-0000-1400-000034000000}" name="Pada 3"/>
    <tableColumn id="53" xr3:uid="{00000000-0010-0000-1400-000035000000}" name="Pada 4"/>
    <tableColumn id="54" xr3:uid="{00000000-0010-0000-1400-000036000000}" name="Shiva Names"/>
    <tableColumn id="55" xr3:uid="{00000000-0010-0000-1400-000037000000}" name="Tree"/>
    <tableColumn id="56" xr3:uid="{00000000-0010-0000-1400-000038000000}" name="ChandraAshtama"/>
  </tableColumns>
  <tableStyleInfo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5000000}" name="Table1390" displayName="Table1390" ref="A661:F670" totalsRowShown="0">
  <autoFilter ref="A661:F670" xr:uid="{00000000-0009-0000-0100-000012000000}"/>
  <tableColumns count="6">
    <tableColumn id="1" xr3:uid="{00000000-0010-0000-1500-000001000000}" name="Numerology"/>
    <tableColumn id="2" xr3:uid="{00000000-0010-0000-1500-000002000000}" name="Graha"/>
    <tableColumn id="3" xr3:uid="{00000000-0010-0000-1500-000003000000}" name="4th-Lock"/>
    <tableColumn id="4" xr3:uid="{00000000-0010-0000-1500-000004000000}" name="Lock Number"/>
    <tableColumn id="5" xr3:uid="{00000000-0010-0000-1500-000005000000}" name="7th-Unlock"/>
    <tableColumn id="6" xr3:uid="{00000000-0010-0000-1500-000006000000}" name="Unlock Number"/>
  </tableColumns>
  <tableStyleInfo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6000000}" name="Table16" displayName="Table16" ref="A153:P168" totalsRowShown="0">
  <autoFilter ref="A153:P168" xr:uid="{00000000-0009-0000-0100-000014000000}"/>
  <tableColumns count="16">
    <tableColumn id="1" xr3:uid="{00000000-0010-0000-1600-000001000000}" name="Katapayadi"/>
    <tableColumn id="2" xr3:uid="{00000000-0010-0000-1600-000002000000}" name="Column1"/>
    <tableColumn id="3" xr3:uid="{00000000-0010-0000-1600-000003000000}" name="Column2"/>
    <tableColumn id="4" xr3:uid="{00000000-0010-0000-1600-000004000000}" name="Column3"/>
    <tableColumn id="5" xr3:uid="{00000000-0010-0000-1600-000005000000}" name="Column4"/>
    <tableColumn id="6" xr3:uid="{00000000-0010-0000-1600-000006000000}" name="Column5"/>
    <tableColumn id="7" xr3:uid="{00000000-0010-0000-1600-000007000000}" name="Column6"/>
    <tableColumn id="8" xr3:uid="{00000000-0010-0000-1600-000008000000}" name="Column7"/>
    <tableColumn id="9" xr3:uid="{00000000-0010-0000-1600-000009000000}" name="Column8"/>
    <tableColumn id="10" xr3:uid="{00000000-0010-0000-1600-00000A000000}" name="Column9"/>
    <tableColumn id="11" xr3:uid="{00000000-0010-0000-1600-00000B000000}" name="Column10"/>
    <tableColumn id="12" xr3:uid="{00000000-0010-0000-1600-00000C000000}" name="Column11"/>
    <tableColumn id="13" xr3:uid="{00000000-0010-0000-1600-00000D000000}" name="Column12"/>
    <tableColumn id="14" xr3:uid="{00000000-0010-0000-1600-00000E000000}" name="Column13"/>
    <tableColumn id="15" xr3:uid="{00000000-0010-0000-1600-00000F000000}" name="Column14"/>
    <tableColumn id="16" xr3:uid="{00000000-0010-0000-1600-000010000000}" name="Column15"/>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000000-000C-0000-FFFF-FFFF17000000}" name="Table1702" displayName="Table1702" ref="X214:AA274" totalsRowShown="0">
  <tableColumns count="4">
    <tableColumn id="1" xr3:uid="{00000000-0010-0000-1700-000001000000}" name="D60Index"/>
    <tableColumn id="2" xr3:uid="{00000000-0010-0000-1700-000002000000}" name="D60English"/>
    <tableColumn id="3" xr3:uid="{00000000-0010-0000-1700-000003000000}" name="D60Meaning"/>
    <tableColumn id="4" xr3:uid="{00000000-0010-0000-1700-000004000000}" name="D60Sanskrit"/>
  </tableColumns>
  <tableStyleInfo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00000000-000C-0000-FFFF-FFFF18000000}" name="Table1703" displayName="Table1703" ref="D214:E241" totalsRowShown="0">
  <autoFilter ref="D214:E241" xr:uid="{00000000-0009-0000-0100-000017000000}"/>
  <tableColumns count="2">
    <tableColumn id="1" xr3:uid="{00000000-0010-0000-1800-000001000000}" name="D27 Deities"/>
    <tableColumn id="2" xr3:uid="{00000000-0010-0000-1800-000002000000}" name="D27 Deities2"/>
  </tableColumns>
  <tableStyleInfo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00000000-000C-0000-FFFF-FFFF19000000}" name="Table1704" displayName="Table1704" ref="B214:C254" totalsRowShown="0">
  <autoFilter ref="B214:C254" xr:uid="{00000000-0009-0000-0100-000018000000}"/>
  <tableColumns count="2">
    <tableColumn id="1" xr3:uid="{00000000-0010-0000-1900-000001000000}" name="D20Deities"/>
    <tableColumn id="2" xr3:uid="{00000000-0010-0000-1900-000002000000}" name="D20Deities2"/>
  </tableColumns>
  <tableStyleInfo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00000000-000C-0000-FFFF-FFFF1A000000}" name="Table4" displayName="Table4" ref="A15:W27" totalsRowShown="0">
  <autoFilter ref="A15:W27" xr:uid="{00000000-0009-0000-0100-000020000000}"/>
  <tableColumns count="23">
    <tableColumn id="1" xr3:uid="{00000000-0010-0000-1A00-000001000000}" name="Sign/Rasi"/>
    <tableColumn id="2" xr3:uid="{00000000-0010-0000-1A00-000002000000}" name="Rasi Symbol"/>
    <tableColumn id="3" xr3:uid="{00000000-0010-0000-1A00-000003000000}" name="Deg"/>
    <tableColumn id="4" xr3:uid="{00000000-0010-0000-1A00-000004000000}" name="Tattwa"/>
    <tableColumn id="5" xr3:uid="{00000000-0010-0000-1A00-000005000000}" name="Direction"/>
    <tableColumn id="6" xr3:uid="{00000000-0010-0000-1A00-000006000000}" name="Yuga"/>
    <tableColumn id="7" xr3:uid="{00000000-0010-0000-1A00-000007000000}" name="Type"/>
    <tableColumn id="8" xr3:uid="{00000000-0010-0000-1A00-000008000000}" name="Mantra"/>
    <tableColumn id="9" xr3:uid="{00000000-0010-0000-1A00-000009000000}" name="Strength"/>
    <tableColumn id="10" xr3:uid="{00000000-0010-0000-1A00-00000A000000}" name="Lord"/>
    <tableColumn id="11" xr3:uid="{00000000-0010-0000-1A00-00000B000000}" name="Name1"/>
    <tableColumn id="12" xr3:uid="{00000000-0010-0000-1A00-00000C000000}" name="Alternate Name2"/>
    <tableColumn id="13" xr3:uid="{00000000-0010-0000-1A00-00000D000000}" name="Aditya"/>
    <tableColumn id="14" xr3:uid="{00000000-0010-0000-1A00-00000E000000}" name="Aditya Others"/>
    <tableColumn id="15" xr3:uid="{00000000-0010-0000-1A00-00000F000000}" name="River"/>
    <tableColumn id="16" xr3:uid="{00000000-0010-0000-1A00-000010000000}" name="Rashi māna "/>
    <tableColumn id="17" xr3:uid="{00000000-0010-0000-1A00-000011000000}" name="Yoni"/>
    <tableColumn id="18" xr3:uid="{00000000-0010-0000-1A00-000012000000}" name="Terrible Grahas"/>
    <tableColumn id="19" xr3:uid="{00000000-0010-0000-1A00-000013000000}" name="Sanskrit  Months"/>
    <tableColumn id="20" xr3:uid="{00000000-0010-0000-1A00-000014000000}" name="Season"/>
    <tableColumn id="21" xr3:uid="{00000000-0010-0000-1A00-000015000000}" name="Column11"/>
    <tableColumn id="22" xr3:uid="{00000000-0010-0000-1A00-000016000000}" name="Column12"/>
    <tableColumn id="23" xr3:uid="{00000000-0010-0000-1A00-000017000000}" name="Column13"/>
  </tableColumns>
  <tableStyleInfo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00000000-000C-0000-FFFF-FFFF1B000000}" name="Table5" displayName="Table5" ref="A2:X13" totalsRowShown="0">
  <autoFilter ref="A2:X13" xr:uid="{00000000-0009-0000-0100-000021000000}"/>
  <tableColumns count="24">
    <tableColumn id="1" xr3:uid="{00000000-0010-0000-1B00-000001000000}" name="Graha Information"/>
    <tableColumn id="2" xr3:uid="{00000000-0010-0000-1B00-000002000000}" name="Vimsottari Years"/>
    <tableColumn id="3" xr3:uid="{00000000-0010-0000-1B00-000003000000}" name="Vimsottari Seq"/>
    <tableColumn id="4" xr3:uid="{00000000-0010-0000-1B00-000004000000}" name="Direction"/>
    <tableColumn id="5" xr3:uid="{00000000-0010-0000-1B00-000005000000}" name="Direction Surya Mantra"/>
    <tableColumn id="6" xr3:uid="{00000000-0010-0000-1B00-000006000000}" name="Weekday Order"/>
    <tableColumn id="7" xr3:uid="{00000000-0010-0000-1B00-000007000000}" name="Exaltion"/>
    <tableColumn id="8" xr3:uid="{00000000-0010-0000-1B00-000008000000}" name="Exaltation"/>
    <tableColumn id="9" xr3:uid="{00000000-0010-0000-1B00-000009000000}" name="House"/>
    <tableColumn id="10" xr3:uid="{00000000-0010-0000-1B00-00000A000000}" name="debilitation"/>
    <tableColumn id="11" xr3:uid="{00000000-0010-0000-1B00-00000B000000}" name="Daily Avg Speed (MJUS)_x000a_/Day"/>
    <tableColumn id="12" xr3:uid="{00000000-0010-0000-1B00-00000C000000}" name="Speed (Wiki) in Days_x000a_(Sidereal)"/>
    <tableColumn id="13" xr3:uid="{00000000-0010-0000-1B00-00000D000000}" name="Revolution _x000a_in MahaYuga"/>
    <tableColumn id="14" xr3:uid="{00000000-0010-0000-1B00-00000E000000}" name="Graha Māna "/>
    <tableColumn id="15" xr3:uid="{00000000-0010-0000-1B00-00000F000000}" name="Column2"/>
    <tableColumn id="16" xr3:uid="{00000000-0010-0000-1B00-000010000000}" name="Moolatrikone"/>
    <tableColumn id="17" xr3:uid="{00000000-0010-0000-1B00-000011000000}" name="GrahaWeekdayOrder"/>
    <tableColumn id="18" xr3:uid="{00000000-0010-0000-1B00-000012000000}" name="GrahaShayanaadiGunanka"/>
    <tableColumn id="19" xr3:uid="{00000000-0010-0000-1B00-000013000000}" name="Combustion SS IX.6,7,8"/>
    <tableColumn id="20" xr3:uid="{00000000-0010-0000-1B00-000014000000}" name="Mean Motion (BVRaman"/>
    <tableColumn id="21" xr3:uid="{00000000-0010-0000-1B00-000015000000}" name="Modern Mean Motion (Wiki"/>
    <tableColumn id="22" xr3:uid="{00000000-0010-0000-1B00-000016000000}" name="Sapta Swara (per "/>
    <tableColumn id="23" xr3:uid="{00000000-0010-0000-1B00-000017000000}" name="Janma tithi"/>
    <tableColumn id="24" xr3:uid="{00000000-0010-0000-1B00-000018000000}" name="Janma Nakshatra"/>
  </tableColumns>
  <tableStyleInfo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00000000-000C-0000-FFFF-FFFF1C000000}" name="TithiTable" displayName="TithiTable" ref="A79:R95" totalsRowShown="0">
  <autoFilter ref="A79:R95" xr:uid="{00000000-0009-0000-0100-000022000000}"/>
  <tableColumns count="18">
    <tableColumn id="1" xr3:uid="{00000000-0010-0000-1C00-000001000000}" name="Tithi/तिथि"/>
    <tableColumn id="2" xr3:uid="{00000000-0010-0000-1C00-000002000000}" name="Name"/>
    <tableColumn id="3" xr3:uid="{00000000-0010-0000-1C00-000003000000}" name="Ruler"/>
    <tableColumn id="4" xr3:uid="{00000000-0010-0000-1C00-000004000000}" name="Dagdha/Burnt"/>
    <tableColumn id="5" xr3:uid="{00000000-0010-0000-1C00-000005000000}" name="Dagdha Graha"/>
    <tableColumn id="6" xr3:uid="{00000000-0010-0000-1C00-000006000000}" name="Group"/>
    <tableColumn id="7" xr3:uid="{00000000-0010-0000-1C00-000007000000}" name=" Tatwa(CPVA-73)"/>
    <tableColumn id="8" xr3:uid="{00000000-0010-0000-1C00-000008000000}" name="Group (BrNx49)"/>
    <tableColumn id="9" xr3:uid="{00000000-0010-0000-1C00-000009000000}" name="Deity(Muhurtha Chintamani)"/>
    <tableColumn id="10" xr3:uid="{00000000-0010-0000-1C00-00000A000000}" name="Varahamihira"/>
    <tableColumn id="11" xr3:uid="{00000000-0010-0000-1C00-00000B000000}" name="Lady"/>
    <tableColumn id="12" xr3:uid="{00000000-0010-0000-1C00-00000C000000}" name="Srath"/>
    <tableColumn id="13" xr3:uid="{00000000-0010-0000-1C00-00000D000000}" name="Festivals"/>
    <tableColumn id="14" xr3:uid="{00000000-0010-0000-1C00-00000E000000}" name="Krishna Karana1"/>
    <tableColumn id="15" xr3:uid="{00000000-0010-0000-1C00-00000F000000}" name="Krishna Karana2"/>
    <tableColumn id="16" xr3:uid="{00000000-0010-0000-1C00-000010000000}" name="Shukla Karana1"/>
    <tableColumn id="17" xr3:uid="{00000000-0010-0000-1C00-000011000000}" name="Shukla Karana2"/>
    <tableColumn id="18" xr3:uid="{00000000-0010-0000-1C00-000012000000}" name="Suitable Activities (BVR)"/>
  </tableColumns>
  <tableStyleInfo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0000000-000C-0000-FFFF-FFFF1D000000}" name="VaaraTable" displayName="VaaraTable" ref="A127:E134" totalsRowShown="0">
  <autoFilter ref="A127:E134" xr:uid="{00000000-0009-0000-0100-000023000000}"/>
  <tableColumns count="5">
    <tableColumn id="1" xr3:uid="{00000000-0010-0000-1D00-000001000000}" name="VaaraTable"/>
    <tableColumn id="2" xr3:uid="{00000000-0010-0000-1D00-000002000000}" name="Ruler"/>
    <tableColumn id="3" xr3:uid="{00000000-0010-0000-1D00-000003000000}" name="Diety"/>
    <tableColumn id="4" xr3:uid="{00000000-0010-0000-1D00-000004000000}" name="DurMuhurtham Start Time (Lasts 1Mu)"/>
    <tableColumn id="5" xr3:uid="{00000000-0010-0000-1D00-000005000000}" name="DurMuhurtham Start Time (Lasts 1Mu)2"/>
  </tableColumns>
  <tableStyleInfo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00000000-000C-0000-FFFF-FFFF1E000000}" name="vargavishwa" displayName="vargavishwa" ref="A533:K550">
  <tableColumns count="11">
    <tableColumn id="1" xr3:uid="{00000000-0010-0000-1E00-000001000000}" name="VargaVishwa" totalsRowLabel="Total"/>
    <tableColumn id="2" xr3:uid="{00000000-0010-0000-1E00-000002000000}" name="Shadvarga Vimshopaka"/>
    <tableColumn id="3" xr3:uid="{00000000-0010-0000-1E00-000003000000}" name="Saptavarga Vimshopaka"/>
    <tableColumn id="4" xr3:uid="{00000000-0010-0000-1E00-000004000000}" name="DasaVarga Vimshopaka"/>
    <tableColumn id="5" xr3:uid="{00000000-0010-0000-1E00-000005000000}" name="ShodasaVarga Vimshopaka"/>
    <tableColumn id="6" xr3:uid="{00000000-0010-0000-1E00-000006000000}" name="Divisor"/>
    <tableColumn id="7" xr3:uid="{00000000-0010-0000-1E00-000007000000}" name="House Equivalent"/>
    <tableColumn id="8" xr3:uid="{00000000-0010-0000-1E00-000008000000}" name="#"/>
    <tableColumn id="9" xr3:uid="{00000000-0010-0000-1E00-000009000000}" name="6/7 Names"/>
    <tableColumn id="10" xr3:uid="{00000000-0010-0000-1E00-00000A000000}" name="10 Names"/>
    <tableColumn id="11" xr3:uid="{00000000-0010-0000-1E00-00000B000000}" name="16 Names"/>
  </tableColumns>
  <tableStyleInfo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0000000-000C-0000-FFFF-FFFF1F000000}" name="Varnamalaa" displayName="Varnamalaa" ref="A149:AY151" totalsRowShown="0">
  <autoFilter ref="A149:AY151" xr:uid="{00000000-0009-0000-0100-000026000000}"/>
  <tableColumns count="51">
    <tableColumn id="1" xr3:uid="{00000000-0010-0000-1F00-000001000000}" name="Number"/>
    <tableColumn id="2" xr3:uid="{00000000-0010-0000-1F00-000002000000}" name="1"/>
    <tableColumn id="3" xr3:uid="{00000000-0010-0000-1F00-000003000000}" name="2"/>
    <tableColumn id="4" xr3:uid="{00000000-0010-0000-1F00-000004000000}" name="3"/>
    <tableColumn id="5" xr3:uid="{00000000-0010-0000-1F00-000005000000}" name="4"/>
    <tableColumn id="6" xr3:uid="{00000000-0010-0000-1F00-000006000000}" name="5"/>
    <tableColumn id="7" xr3:uid="{00000000-0010-0000-1F00-000007000000}" name="6"/>
    <tableColumn id="8" xr3:uid="{00000000-0010-0000-1F00-000008000000}" name="7"/>
    <tableColumn id="9" xr3:uid="{00000000-0010-0000-1F00-000009000000}" name="8"/>
    <tableColumn id="10" xr3:uid="{00000000-0010-0000-1F00-00000A000000}" name="9"/>
    <tableColumn id="11" xr3:uid="{00000000-0010-0000-1F00-00000B000000}" name="10"/>
    <tableColumn id="12" xr3:uid="{00000000-0010-0000-1F00-00000C000000}" name="11"/>
    <tableColumn id="13" xr3:uid="{00000000-0010-0000-1F00-00000D000000}" name="12"/>
    <tableColumn id="14" xr3:uid="{00000000-0010-0000-1F00-00000E000000}" name="13"/>
    <tableColumn id="15" xr3:uid="{00000000-0010-0000-1F00-00000F000000}" name="14"/>
    <tableColumn id="16" xr3:uid="{00000000-0010-0000-1F00-000010000000}" name="15"/>
    <tableColumn id="17" xr3:uid="{00000000-0010-0000-1F00-000011000000}" name="16"/>
    <tableColumn id="18" xr3:uid="{00000000-0010-0000-1F00-000012000000}" name="17"/>
    <tableColumn id="19" xr3:uid="{00000000-0010-0000-1F00-000013000000}" name="18"/>
    <tableColumn id="20" xr3:uid="{00000000-0010-0000-1F00-000014000000}" name="19"/>
    <tableColumn id="21" xr3:uid="{00000000-0010-0000-1F00-000015000000}" name="20"/>
    <tableColumn id="22" xr3:uid="{00000000-0010-0000-1F00-000016000000}" name="21"/>
    <tableColumn id="23" xr3:uid="{00000000-0010-0000-1F00-000017000000}" name="22"/>
    <tableColumn id="24" xr3:uid="{00000000-0010-0000-1F00-000018000000}" name="23"/>
    <tableColumn id="25" xr3:uid="{00000000-0010-0000-1F00-000019000000}" name="24"/>
    <tableColumn id="26" xr3:uid="{00000000-0010-0000-1F00-00001A000000}" name="25"/>
    <tableColumn id="27" xr3:uid="{00000000-0010-0000-1F00-00001B000000}" name="26"/>
    <tableColumn id="28" xr3:uid="{00000000-0010-0000-1F00-00001C000000}" name="27"/>
    <tableColumn id="29" xr3:uid="{00000000-0010-0000-1F00-00001D000000}" name="28"/>
    <tableColumn id="30" xr3:uid="{00000000-0010-0000-1F00-00001E000000}" name="29"/>
    <tableColumn id="31" xr3:uid="{00000000-0010-0000-1F00-00001F000000}" name="30"/>
    <tableColumn id="32" xr3:uid="{00000000-0010-0000-1F00-000020000000}" name="31"/>
    <tableColumn id="33" xr3:uid="{00000000-0010-0000-1F00-000021000000}" name="32"/>
    <tableColumn id="34" xr3:uid="{00000000-0010-0000-1F00-000022000000}" name="33"/>
    <tableColumn id="35" xr3:uid="{00000000-0010-0000-1F00-000023000000}" name="34"/>
    <tableColumn id="36" xr3:uid="{00000000-0010-0000-1F00-000024000000}" name="35"/>
    <tableColumn id="37" xr3:uid="{00000000-0010-0000-1F00-000025000000}" name="36"/>
    <tableColumn id="38" xr3:uid="{00000000-0010-0000-1F00-000026000000}" name="37"/>
    <tableColumn id="39" xr3:uid="{00000000-0010-0000-1F00-000027000000}" name="38"/>
    <tableColumn id="40" xr3:uid="{00000000-0010-0000-1F00-000028000000}" name="39"/>
    <tableColumn id="41" xr3:uid="{00000000-0010-0000-1F00-000029000000}" name="40"/>
    <tableColumn id="42" xr3:uid="{00000000-0010-0000-1F00-00002A000000}" name="41"/>
    <tableColumn id="43" xr3:uid="{00000000-0010-0000-1F00-00002B000000}" name="42"/>
    <tableColumn id="44" xr3:uid="{00000000-0010-0000-1F00-00002C000000}" name="43"/>
    <tableColumn id="45" xr3:uid="{00000000-0010-0000-1F00-00002D000000}" name="44"/>
    <tableColumn id="46" xr3:uid="{00000000-0010-0000-1F00-00002E000000}" name="45"/>
    <tableColumn id="47" xr3:uid="{00000000-0010-0000-1F00-00002F000000}" name="46"/>
    <tableColumn id="48" xr3:uid="{00000000-0010-0000-1F00-000030000000}" name="47"/>
    <tableColumn id="49" xr3:uid="{00000000-0010-0000-1F00-000031000000}" name="48"/>
    <tableColumn id="50" xr3:uid="{00000000-0010-0000-1F00-000032000000}" name="49"/>
    <tableColumn id="51" xr3:uid="{00000000-0010-0000-1F00-000033000000}" name="50"/>
  </tableColumns>
  <tableStyleInfo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00000000-000C-0000-FFFF-FFFF20000000}" name="Yogakaaraka" displayName="Yogakaaraka" ref="A715:F728" totalsRowCount="1">
  <autoFilter ref="A715:F727" xr:uid="{00000000-0009-0000-0100-000028000000}"/>
  <tableColumns count="6">
    <tableColumn id="1" xr3:uid="{00000000-0010-0000-2000-000001000000}" name="Lagna"/>
    <tableColumn id="2" xr3:uid="{00000000-0010-0000-2000-000002000000}" name="Malefics (3,6,11 &amp; Maraka)"/>
    <tableColumn id="3" xr3:uid="{00000000-0010-0000-2000-000003000000}" name="Benefics (Trines Normally)"/>
    <tableColumn id="4" xr3:uid="{00000000-0010-0000-2000-000004000000}" name="Marakas"/>
    <tableColumn id="5" xr3:uid="{00000000-0010-0000-2000-000005000000}" name="RajaYoga(Trine+Kendra)"/>
    <tableColumn id="6" xr3:uid="{00000000-0010-0000-2000-000006000000}" name="Notes"/>
  </tableColumns>
  <tableStyleInfo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00000000-000C-0000-FFFF-FFFF21000000}" name="YogaTable" displayName="YogaTable" ref="A98:J125" totalsRowShown="0">
  <autoFilter ref="A98:J125" xr:uid="{00000000-0009-0000-0100-000029000000}"/>
  <tableColumns count="10">
    <tableColumn id="1" xr3:uid="{00000000-0010-0000-2100-000001000000}" name="Yoga"/>
    <tableColumn id="2" xr3:uid="{00000000-0010-0000-2100-000002000000}" name="Yoga Names"/>
    <tableColumn id="3" xr3:uid="{00000000-0010-0000-2100-000003000000}" name="Meaning"/>
    <tableColumn id="4" xr3:uid="{00000000-0010-0000-2100-000004000000}" name="Yoga Nakshatra"/>
    <tableColumn id="5" xr3:uid="{00000000-0010-0000-2100-000005000000}" name="Yogi Lord"/>
    <tableColumn id="6" xr3:uid="{00000000-0010-0000-2100-000006000000}" name="Diety(Jyotish Jagat)"/>
    <tableColumn id="7" xr3:uid="{00000000-0010-0000-2100-000007000000}" name="Rashi Lord"/>
    <tableColumn id="8" xr3:uid="{00000000-0010-0000-2100-000008000000}" name="AvaYogi 15th"/>
    <tableColumn id="9" xr3:uid="{00000000-0010-0000-2100-000009000000}" name="AvaYogi Lord (Yogi+186.66)"/>
    <tableColumn id="10" xr3:uid="{00000000-0010-0000-2100-00000A000000}" name="Notes"/>
  </tableColumns>
  <tableStyleInfo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00000000-000C-0000-FFFF-FFFF22000000}" name="Table389" displayName="Table389" ref="A1:M58" totalsRowShown="0">
  <autoFilter ref="A1:M58" xr:uid="{00000000-0009-0000-0100-00001F000000}"/>
  <tableColumns count="13">
    <tableColumn id="1" xr3:uid="{00000000-0010-0000-2200-000001000000}" name="#"/>
    <tableColumn id="2" xr3:uid="{00000000-0010-0000-2200-000002000000}" name="Sahama"/>
    <tableColumn id="3" xr3:uid="{00000000-0010-0000-2200-000003000000}" name="Meaning"/>
    <tableColumn id="4" xr3:uid="{00000000-0010-0000-2200-000004000000}" name="Formula (Shodhaka-Shodhya)+Kshepak"/>
    <tableColumn id="5" xr3:uid="{00000000-0010-0000-2200-000005000000}" name="Notes"/>
    <tableColumn id="6" xr3:uid="{00000000-0010-0000-2200-000006000000}" name="Tithi Part"/>
    <tableColumn id="7" xr3:uid="{00000000-0010-0000-2200-000007000000}" name="Opposite Correction"/>
    <tableColumn id="8" xr3:uid="{00000000-0010-0000-2200-000008000000}" name="Day/Night Correction2"/>
    <tableColumn id="9" xr3:uid="{00000000-0010-0000-2200-000009000000}" name="Mod360"/>
    <tableColumn id="10" xr3:uid="{00000000-0010-0000-2200-00000A000000}" name="Rashi"/>
    <tableColumn id="11" xr3:uid="{00000000-0010-0000-2200-00000B000000}" name="Degrees"/>
    <tableColumn id="12" xr3:uid="{00000000-0010-0000-2200-00000C000000}" name="Nakshatra"/>
    <tableColumn id="13" xr3:uid="{00000000-0010-0000-2200-00000D000000}" name="Correction IF(Not(Kshepak between Shodhak and Shodya Add 30deg"/>
  </tableColumns>
  <tableStyleInfo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0000000-000C-0000-FFFF-FFFF23000000}" name="Table1954" displayName="Table1954" ref="R3:W11" totalsRowShown="0">
  <tableColumns count="6">
    <tableColumn id="1" xr3:uid="{00000000-0010-0000-2300-000001000000}" name="#"/>
    <tableColumn id="2" xr3:uid="{00000000-0010-0000-2300-000002000000}" name="Direction"/>
    <tableColumn id="3" xr3:uid="{00000000-0010-0000-2300-000003000000}" name="Point"/>
    <tableColumn id="4" xr3:uid="{00000000-0010-0000-2300-000004000000}" name="Shiva Gana Mantra"/>
    <tableColumn id="5" xr3:uid="{00000000-0010-0000-2300-000005000000}" name="Shiva Gana Mantra2"/>
    <tableColumn id="6" xr3:uid="{00000000-0010-0000-2300-000006000000}" name="Ashta Siddhi"/>
  </tableColumns>
  <tableStyleInfo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24000000}" name="Table14" displayName="Table14" ref="F16:U30">
  <tableColumns count="16">
    <tableColumn id="1" xr3:uid="{00000000-0010-0000-2400-000001000000}" name="Group" totalsRowLabel="Total"/>
    <tableColumn id="2" xr3:uid="{00000000-0010-0000-2400-000002000000}" name="Signs"/>
    <tableColumn id="3" xr3:uid="{00000000-0010-0000-2400-000003000000}" name="Rashimana in"/>
    <tableColumn id="4" xr3:uid="{00000000-0010-0000-2400-000004000000}" name="Asus"/>
    <tableColumn id="5" xr3:uid="{00000000-0010-0000-2400-000005000000}" name="hr-mn-sc"/>
    <tableColumn id="6" xr3:uid="{00000000-0010-0000-2400-000006000000}" name="Start"/>
    <tableColumn id="7" xr3:uid="{00000000-0010-0000-2400-000007000000}" name="End"/>
    <tableColumn id="8" xr3:uid="{00000000-0010-0000-2400-000008000000}" name="Lankodaya"/>
    <tableColumn id="9" xr3:uid="{00000000-0010-0000-2400-000009000000}" name="Asus2"/>
    <tableColumn id="10" xr3:uid="{00000000-0010-0000-2400-00000A000000}" name="Vigh or Pala"/>
    <tableColumn id="11" xr3:uid="{00000000-0010-0000-2400-00000B000000}" name="Corrected"/>
    <tableColumn id="12" xr3:uid="{00000000-0010-0000-2400-00000C000000}" name="ViGh"/>
    <tableColumn id="13" xr3:uid="{00000000-0010-0000-2400-00000D000000}" name="Asus3"/>
    <tableColumn id="14" xr3:uid="{00000000-0010-0000-2400-00000E000000}" name="Time"/>
    <tableColumn id="15" xr3:uid="{00000000-0010-0000-2400-00000F000000}" name="Dec"/>
    <tableColumn id="16" xr3:uid="{00000000-0010-0000-2400-000010000000}" name="sin"/>
  </tableColumns>
  <tableStyleInfo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25000000}" name="Table1" displayName="Table1" ref="A2:E11" totalsRowShown="0">
  <tableColumns count="5">
    <tableColumn id="1" xr3:uid="{00000000-0010-0000-2500-000001000000}" name="Title"/>
    <tableColumn id="2" xr3:uid="{00000000-0010-0000-2500-000002000000}" name="Sign"/>
    <tableColumn id="3" xr3:uid="{00000000-0010-0000-2500-000003000000}" name="2000"/>
    <tableColumn id="4" xr3:uid="{00000000-0010-0000-2500-000004000000}" name="2014"/>
    <tableColumn id="5" xr3:uid="{00000000-0010-0000-2500-000005000000}" name="2013"/>
  </tableColumns>
  <tableStyleInfo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00000000-000C-0000-FFFF-FFFF26000000}" name="VaraRelation" displayName="VaraRelation" ref="A68:J86" totalsRowShown="0">
  <autoFilter ref="A68:J86" xr:uid="{00000000-0009-0000-0100-000024000000}"/>
  <tableColumns count="10">
    <tableColumn id="1" xr3:uid="{00000000-0010-0000-2600-000001000000}" name="#"/>
    <tableColumn id="2" xr3:uid="{00000000-0010-0000-2600-000002000000}" name="Vara Order"/>
    <tableColumn id="3" xr3:uid="{00000000-0010-0000-2600-000003000000}" name="3rd Upaya"/>
    <tableColumn id="4" xr3:uid="{00000000-0010-0000-2600-000004000000}" name="4th Block"/>
    <tableColumn id="5" xr3:uid="{00000000-0010-0000-2600-000005000000}" name="5th Kavacha"/>
    <tableColumn id="6" xr3:uid="{00000000-0010-0000-2600-000006000000}" name="6th Stambana"/>
    <tableColumn id="7" xr3:uid="{00000000-0010-0000-2600-000007000000}" name="8th Grahana"/>
    <tableColumn id="8" xr3:uid="{00000000-0010-0000-2600-000008000000}" name="9th Oppose"/>
    <tableColumn id="9" xr3:uid="{00000000-0010-0000-2600-000009000000}" name="4th+9th Dhatu Hit_x000a_3rd is Upāya"/>
    <tableColumn id="10" xr3:uid="{00000000-0010-0000-2600-00000A000000}" name="5th+8th = Issue_x000a_"/>
  </tableColumns>
  <tableStyleInfo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27000000}" name="Table112" displayName="Table112" ref="A31:AA36" totalsRowShown="0">
  <autoFilter ref="A31:AA36" xr:uid="{00000000-0009-0000-0100-00000F000000}"/>
  <tableColumns count="27">
    <tableColumn id="1" xr3:uid="{00000000-0010-0000-2700-000001000000}" name="Bird"/>
    <tableColumn id="2" xr3:uid="{00000000-0010-0000-2700-000002000000}" name="Vowel"/>
    <tableColumn id="3" xr3:uid="{00000000-0010-0000-2700-000003000000}" name="Anti(படு) Pakshi Vaara"/>
    <tableColumn id="4" xr3:uid="{00000000-0010-0000-2700-000004000000}" name="Friend1"/>
    <tableColumn id="5" xr3:uid="{00000000-0010-0000-2700-000005000000}" name="Friend2"/>
    <tableColumn id="6" xr3:uid="{00000000-0010-0000-2700-000006000000}" name="Enemy"/>
    <tableColumn id="7" xr3:uid="{00000000-0010-0000-2700-000007000000}" name="Enemy2"/>
    <tableColumn id="8" xr3:uid="{00000000-0010-0000-2700-000008000000}" name="x"/>
    <tableColumn id="9" xr3:uid="{00000000-0010-0000-2700-000009000000}" name="Column4"/>
    <tableColumn id="10" xr3:uid="{00000000-0010-0000-2700-00000A000000}" name="deity"/>
    <tableColumn id="11" xr3:uid="{00000000-0010-0000-2700-00000B000000}" name="Column1"/>
    <tableColumn id="12" xr3:uid="{00000000-0010-0000-2700-00000C000000}" name="Column2"/>
    <tableColumn id="13" xr3:uid="{00000000-0010-0000-2700-00000D000000}" name="Column3"/>
    <tableColumn id="14" xr3:uid="{00000000-0010-0000-2700-00000E000000}" name="Tithi"/>
    <tableColumn id="15" xr3:uid="{00000000-0010-0000-2700-00000F000000}" name="Vowel2"/>
    <tableColumn id="16" xr3:uid="{00000000-0010-0000-2700-000010000000}" name="Pakshi becomes Anti(படு) on"/>
    <tableColumn id="17" xr3:uid="{00000000-0010-0000-2700-000011000000}" name="Friend12"/>
    <tableColumn id="18" xr3:uid="{00000000-0010-0000-2700-000012000000}" name="Friend23"/>
    <tableColumn id="19" xr3:uid="{00000000-0010-0000-2700-000013000000}" name="Enemy4"/>
    <tableColumn id="20" xr3:uid="{00000000-0010-0000-2700-000014000000}" name="Enemy25"/>
    <tableColumn id="21" xr3:uid="{00000000-0010-0000-2700-000015000000}" name="Column11"/>
    <tableColumn id="22" xr3:uid="{00000000-0010-0000-2700-000016000000}" name="Column12"/>
    <tableColumn id="23" xr3:uid="{00000000-0010-0000-2700-000017000000}" name="Column13"/>
    <tableColumn id="24" xr3:uid="{00000000-0010-0000-2700-000018000000}" name="Column14"/>
    <tableColumn id="25" xr3:uid="{00000000-0010-0000-2700-000019000000}" name="Column15"/>
    <tableColumn id="26" xr3:uid="{00000000-0010-0000-2700-00001A000000}" name="Column16"/>
    <tableColumn id="27" xr3:uid="{00000000-0010-0000-2700-00001B000000}" name="Column17"/>
  </tableColumns>
  <tableStyleInfo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28000000}" name="Table213" displayName="Table213" ref="A38:G43" totalsRowShown="0">
  <autoFilter ref="A38:G43" xr:uid="{00000000-0009-0000-0100-00001D000000}"/>
  <tableColumns count="7">
    <tableColumn id="1" xr3:uid="{00000000-0010-0000-2800-000001000000}" name="Sequence "/>
    <tableColumn id="2" xr3:uid="{00000000-0010-0000-2800-000002000000}" name="Wt"/>
    <tableColumn id="3" xr3:uid="{00000000-0010-0000-2800-000003000000}" name="Activites"/>
    <tableColumn id="4" xr3:uid="{00000000-0010-0000-2800-000004000000}" name="SP day Sukshma Job"/>
    <tableColumn id="5" xr3:uid="{00000000-0010-0000-2800-000005000000}" name="SP Night"/>
    <tableColumn id="6" xr3:uid="{00000000-0010-0000-2800-000006000000}" name="KP Day"/>
    <tableColumn id="7" xr3:uid="{00000000-0010-0000-2800-000007000000}" name="KP Night"/>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vmlDrawing" Target="../drawings/vmlDrawing3.v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vmlDrawing" Target="../drawings/vmlDrawing5.vml"/><Relationship Id="rId5" Type="http://schemas.openxmlformats.org/officeDocument/2006/relationships/comments" Target="../comments5.xml"/><Relationship Id="rId4"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8" Type="http://schemas.openxmlformats.org/officeDocument/2006/relationships/table" Target="../tables/table14.xml"/><Relationship Id="rId13" Type="http://schemas.openxmlformats.org/officeDocument/2006/relationships/table" Target="../tables/table19.xml"/><Relationship Id="rId18" Type="http://schemas.openxmlformats.org/officeDocument/2006/relationships/table" Target="../tables/table24.xml"/><Relationship Id="rId26" Type="http://schemas.openxmlformats.org/officeDocument/2006/relationships/table" Target="../tables/table32.xml"/><Relationship Id="rId3" Type="http://schemas.openxmlformats.org/officeDocument/2006/relationships/vmlDrawing" Target="../drawings/vmlDrawing6.vml"/><Relationship Id="rId21" Type="http://schemas.openxmlformats.org/officeDocument/2006/relationships/table" Target="../tables/table27.xml"/><Relationship Id="rId7" Type="http://schemas.openxmlformats.org/officeDocument/2006/relationships/table" Target="../tables/table13.xml"/><Relationship Id="rId12" Type="http://schemas.openxmlformats.org/officeDocument/2006/relationships/table" Target="../tables/table18.xml"/><Relationship Id="rId17" Type="http://schemas.openxmlformats.org/officeDocument/2006/relationships/table" Target="../tables/table23.xml"/><Relationship Id="rId25" Type="http://schemas.openxmlformats.org/officeDocument/2006/relationships/table" Target="../tables/table31.xml"/><Relationship Id="rId2" Type="http://schemas.openxmlformats.org/officeDocument/2006/relationships/hyperlink" Target="http://en.wikipedia.org/wiki/International_Alphabet_of_Sanskrit_Transliteration" TargetMode="External"/><Relationship Id="rId16" Type="http://schemas.openxmlformats.org/officeDocument/2006/relationships/table" Target="../tables/table22.xml"/><Relationship Id="rId20" Type="http://schemas.openxmlformats.org/officeDocument/2006/relationships/table" Target="../tables/table26.xml"/><Relationship Id="rId29" Type="http://schemas.openxmlformats.org/officeDocument/2006/relationships/comments" Target="../comments6.xml"/><Relationship Id="rId1" Type="http://schemas.openxmlformats.org/officeDocument/2006/relationships/pivotTable" Target="../pivotTables/pivotTable2.xml"/><Relationship Id="rId6" Type="http://schemas.openxmlformats.org/officeDocument/2006/relationships/table" Target="../tables/table12.xml"/><Relationship Id="rId11" Type="http://schemas.openxmlformats.org/officeDocument/2006/relationships/table" Target="../tables/table17.xml"/><Relationship Id="rId24" Type="http://schemas.openxmlformats.org/officeDocument/2006/relationships/table" Target="../tables/table30.xml"/><Relationship Id="rId5" Type="http://schemas.openxmlformats.org/officeDocument/2006/relationships/table" Target="../tables/table11.xml"/><Relationship Id="rId15" Type="http://schemas.openxmlformats.org/officeDocument/2006/relationships/table" Target="../tables/table21.xml"/><Relationship Id="rId23" Type="http://schemas.openxmlformats.org/officeDocument/2006/relationships/table" Target="../tables/table29.xml"/><Relationship Id="rId28" Type="http://schemas.openxmlformats.org/officeDocument/2006/relationships/table" Target="../tables/table34.xml"/><Relationship Id="rId10" Type="http://schemas.openxmlformats.org/officeDocument/2006/relationships/table" Target="../tables/table16.xml"/><Relationship Id="rId19" Type="http://schemas.openxmlformats.org/officeDocument/2006/relationships/table" Target="../tables/table25.xml"/><Relationship Id="rId4" Type="http://schemas.openxmlformats.org/officeDocument/2006/relationships/table" Target="../tables/table10.xml"/><Relationship Id="rId9" Type="http://schemas.openxmlformats.org/officeDocument/2006/relationships/table" Target="../tables/table15.xml"/><Relationship Id="rId14" Type="http://schemas.openxmlformats.org/officeDocument/2006/relationships/table" Target="../tables/table20.xml"/><Relationship Id="rId22" Type="http://schemas.openxmlformats.org/officeDocument/2006/relationships/table" Target="../tables/table28.xml"/><Relationship Id="rId27" Type="http://schemas.openxmlformats.org/officeDocument/2006/relationships/table" Target="../tables/table33.x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table" Target="../tables/table35.xml"/><Relationship Id="rId1" Type="http://schemas.openxmlformats.org/officeDocument/2006/relationships/vmlDrawing" Target="../drawings/vmlDrawing8.v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table" Target="../tables/table36.xml"/><Relationship Id="rId1" Type="http://schemas.openxmlformats.org/officeDocument/2006/relationships/vmlDrawing" Target="../drawings/vmlDrawing9.vml"/></Relationships>
</file>

<file path=xl/worksheets/_rels/sheet21.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24.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28.xml.rels><?xml version="1.0" encoding="UTF-8" standalone="yes"?>
<Relationships xmlns="http://schemas.openxmlformats.org/package/2006/relationships"><Relationship Id="rId2" Type="http://schemas.openxmlformats.org/officeDocument/2006/relationships/table" Target="../tables/table41.xml"/><Relationship Id="rId1" Type="http://schemas.openxmlformats.org/officeDocument/2006/relationships/table" Target="../tables/table4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09"/>
  <sheetViews>
    <sheetView zoomScaleNormal="100" workbookViewId="0">
      <selection activeCell="D15" sqref="D15"/>
    </sheetView>
  </sheetViews>
  <sheetFormatPr defaultColWidth="11.5703125" defaultRowHeight="15"/>
  <cols>
    <col min="1" max="1" width="11.140625" style="15" customWidth="1"/>
    <col min="2" max="2" width="23.85546875" style="16" customWidth="1"/>
    <col min="3" max="3" width="11.140625" style="17" customWidth="1"/>
    <col min="4" max="32" width="2.5703125" style="15" customWidth="1"/>
    <col min="33" max="1024" width="11.5703125" style="15"/>
  </cols>
  <sheetData>
    <row r="1" spans="1:32">
      <c r="A1" s="16" t="str">
        <f>'[1]Selected Chart'!$A$2</f>
        <v>Chart</v>
      </c>
      <c r="B1" s="16" t="str">
        <f>'[1]Selected Chart'!B2</f>
        <v>Date</v>
      </c>
      <c r="C1" s="17" t="str">
        <f>'[1]Selected Chart'!C2</f>
        <v>Event</v>
      </c>
    </row>
    <row r="2" spans="1:32">
      <c r="A2" t="s">
        <v>0</v>
      </c>
      <c r="B2" s="18">
        <v>26133</v>
      </c>
      <c r="C2" t="s">
        <v>1</v>
      </c>
    </row>
    <row r="3" spans="1:32">
      <c r="A3"/>
      <c r="B3" s="18">
        <v>36723</v>
      </c>
      <c r="C3" s="19" t="s">
        <v>2</v>
      </c>
    </row>
    <row r="4" spans="1:32">
      <c r="A4" t="s">
        <v>3</v>
      </c>
      <c r="B4" s="18">
        <v>37926</v>
      </c>
      <c r="C4" t="s">
        <v>4</v>
      </c>
      <c r="AF4" s="15">
        <v>0</v>
      </c>
    </row>
    <row r="5" spans="1:32">
      <c r="A5"/>
      <c r="B5" s="18">
        <v>38779</v>
      </c>
      <c r="C5" t="s">
        <v>5</v>
      </c>
      <c r="AF5" s="15">
        <v>0</v>
      </c>
    </row>
    <row r="6" spans="1:32">
      <c r="A6" t="s">
        <v>6</v>
      </c>
      <c r="B6" s="18">
        <v>41694</v>
      </c>
      <c r="C6" t="s">
        <v>4</v>
      </c>
      <c r="AF6" s="15">
        <v>0</v>
      </c>
    </row>
    <row r="7" spans="1:32">
      <c r="A7" t="s">
        <v>7</v>
      </c>
      <c r="B7" s="18"/>
      <c r="C7"/>
      <c r="AF7" s="15">
        <v>0</v>
      </c>
    </row>
    <row r="8" spans="1:32">
      <c r="A8" t="s">
        <v>8</v>
      </c>
      <c r="B8" s="18"/>
      <c r="C8"/>
      <c r="AF8" s="15">
        <v>0</v>
      </c>
    </row>
    <row r="9" spans="1:32">
      <c r="A9" t="s">
        <v>9</v>
      </c>
      <c r="B9" s="18"/>
      <c r="C9"/>
      <c r="AF9" s="15">
        <v>0</v>
      </c>
    </row>
    <row r="10" spans="1:32">
      <c r="A10" t="s">
        <v>10</v>
      </c>
      <c r="B10" s="18"/>
      <c r="C10"/>
      <c r="AF10" s="15">
        <v>0</v>
      </c>
    </row>
    <row r="11" spans="1:32">
      <c r="A11" t="s">
        <v>11</v>
      </c>
      <c r="B11" s="18"/>
      <c r="C11"/>
      <c r="AF11" s="15">
        <v>0</v>
      </c>
    </row>
    <row r="12" spans="1:32">
      <c r="A12"/>
      <c r="B12" s="18"/>
      <c r="C12"/>
      <c r="AF12" s="15">
        <v>0</v>
      </c>
    </row>
    <row r="13" spans="1:32">
      <c r="A13" t="s">
        <v>12</v>
      </c>
      <c r="B13" s="18"/>
      <c r="C13"/>
      <c r="AF13" s="15">
        <v>0</v>
      </c>
    </row>
    <row r="14" spans="1:32">
      <c r="A14" t="s">
        <v>13</v>
      </c>
      <c r="B14" s="18"/>
      <c r="C14"/>
      <c r="AF14" s="15">
        <v>0</v>
      </c>
    </row>
    <row r="15" spans="1:32">
      <c r="A15" t="s">
        <v>14</v>
      </c>
      <c r="B15" s="18"/>
      <c r="C15"/>
      <c r="AF15" s="15">
        <v>0</v>
      </c>
    </row>
    <row r="16" spans="1:32">
      <c r="A16" t="s">
        <v>15</v>
      </c>
      <c r="B16" s="18"/>
      <c r="C16"/>
      <c r="AF16" s="15">
        <v>0</v>
      </c>
    </row>
    <row r="17" spans="1:32">
      <c r="A17" t="s">
        <v>16</v>
      </c>
      <c r="B17" s="18"/>
      <c r="C17"/>
      <c r="AF17" s="15">
        <v>0</v>
      </c>
    </row>
    <row r="18" spans="1:32">
      <c r="A18" t="s">
        <v>17</v>
      </c>
      <c r="B18" s="18"/>
      <c r="C18"/>
      <c r="AF18" s="15">
        <v>0</v>
      </c>
    </row>
    <row r="19" spans="1:32">
      <c r="A19" t="s">
        <v>18</v>
      </c>
      <c r="B19" s="18"/>
      <c r="C19"/>
      <c r="AF19" s="15">
        <v>0</v>
      </c>
    </row>
    <row r="20" spans="1:32">
      <c r="A20" t="s">
        <v>19</v>
      </c>
      <c r="B20" s="18"/>
      <c r="C20"/>
      <c r="AF20" s="15">
        <v>0</v>
      </c>
    </row>
    <row r="21" spans="1:32">
      <c r="A21" t="s">
        <v>20</v>
      </c>
      <c r="B21" s="18"/>
      <c r="C21"/>
      <c r="AF21" s="15">
        <v>0</v>
      </c>
    </row>
    <row r="22" spans="1:32">
      <c r="A22"/>
      <c r="B22" s="18"/>
      <c r="C22"/>
      <c r="AF22" s="15">
        <v>0</v>
      </c>
    </row>
    <row r="23" spans="1:32">
      <c r="A23" t="s">
        <v>21</v>
      </c>
      <c r="B23" s="18"/>
      <c r="C23"/>
      <c r="AF23" s="15">
        <v>0</v>
      </c>
    </row>
    <row r="24" spans="1:32">
      <c r="A24" t="s">
        <v>22</v>
      </c>
      <c r="B24" s="18"/>
      <c r="C24"/>
      <c r="AF24" s="15">
        <v>0</v>
      </c>
    </row>
    <row r="25" spans="1:32">
      <c r="A25" t="s">
        <v>23</v>
      </c>
      <c r="B25" s="18"/>
      <c r="C25"/>
      <c r="AF25" s="15">
        <v>0</v>
      </c>
    </row>
    <row r="26" spans="1:32">
      <c r="A26"/>
      <c r="B26" s="18"/>
      <c r="C26"/>
      <c r="AF26" s="15">
        <v>0</v>
      </c>
    </row>
    <row r="27" spans="1:32">
      <c r="A27" t="s">
        <v>24</v>
      </c>
      <c r="B27" s="18"/>
      <c r="C27"/>
      <c r="AF27" s="15">
        <v>0</v>
      </c>
    </row>
    <row r="28" spans="1:32">
      <c r="A28" t="s">
        <v>25</v>
      </c>
      <c r="B28" s="18"/>
      <c r="C28"/>
      <c r="AF28" s="15">
        <v>0</v>
      </c>
    </row>
    <row r="29" spans="1:32">
      <c r="A29"/>
      <c r="B29" s="18"/>
      <c r="C29"/>
      <c r="AF29" s="15">
        <v>0</v>
      </c>
    </row>
    <row r="30" spans="1:32">
      <c r="A30" t="s">
        <v>26</v>
      </c>
      <c r="B30" s="18"/>
      <c r="C30"/>
      <c r="AF30" s="15">
        <v>0</v>
      </c>
    </row>
    <row r="31" spans="1:32">
      <c r="A31"/>
      <c r="B31" s="18"/>
      <c r="C31"/>
      <c r="AF31" s="15">
        <v>0</v>
      </c>
    </row>
    <row r="32" spans="1:32">
      <c r="A32" t="s">
        <v>27</v>
      </c>
      <c r="B32" s="18"/>
      <c r="C32"/>
      <c r="AF32" s="15">
        <v>0</v>
      </c>
    </row>
    <row r="33" spans="1:32">
      <c r="A33" t="s">
        <v>28</v>
      </c>
      <c r="B33" s="18"/>
      <c r="C33"/>
      <c r="AF33" s="15">
        <v>0</v>
      </c>
    </row>
    <row r="34" spans="1:32">
      <c r="A34" t="s">
        <v>29</v>
      </c>
      <c r="B34" s="18"/>
      <c r="C34"/>
      <c r="AF34" s="15">
        <v>0</v>
      </c>
    </row>
    <row r="35" spans="1:32">
      <c r="A35" t="s">
        <v>30</v>
      </c>
      <c r="B35" s="18"/>
      <c r="C35"/>
      <c r="AF35" s="15">
        <v>0</v>
      </c>
    </row>
    <row r="36" spans="1:32">
      <c r="A36" t="s">
        <v>31</v>
      </c>
      <c r="B36" s="18"/>
      <c r="C36"/>
      <c r="AF36" s="15">
        <v>0</v>
      </c>
    </row>
    <row r="37" spans="1:32">
      <c r="A37" t="s">
        <v>32</v>
      </c>
      <c r="B37" s="18"/>
      <c r="C37"/>
      <c r="AF37" s="15">
        <v>0</v>
      </c>
    </row>
    <row r="38" spans="1:32">
      <c r="A38" t="s">
        <v>33</v>
      </c>
      <c r="B38" s="18"/>
      <c r="C38"/>
      <c r="AF38" s="15">
        <v>0</v>
      </c>
    </row>
    <row r="39" spans="1:32">
      <c r="A39" t="s">
        <v>34</v>
      </c>
      <c r="B39" s="18"/>
      <c r="C39"/>
      <c r="AF39" s="15">
        <v>0</v>
      </c>
    </row>
    <row r="40" spans="1:32">
      <c r="A40" t="s">
        <v>35</v>
      </c>
      <c r="B40" s="18"/>
      <c r="C40"/>
      <c r="AF40" s="15">
        <v>0</v>
      </c>
    </row>
    <row r="41" spans="1:32">
      <c r="A41" t="s">
        <v>36</v>
      </c>
      <c r="B41" s="18"/>
      <c r="C41"/>
      <c r="AF41" s="15">
        <v>0</v>
      </c>
    </row>
    <row r="42" spans="1:32">
      <c r="A42" t="s">
        <v>37</v>
      </c>
      <c r="B42" s="18"/>
      <c r="C42"/>
      <c r="AF42" s="15">
        <v>0</v>
      </c>
    </row>
    <row r="43" spans="1:32">
      <c r="A43" t="s">
        <v>38</v>
      </c>
      <c r="B43" s="18"/>
      <c r="C43"/>
      <c r="AF43" s="15">
        <v>0</v>
      </c>
    </row>
    <row r="44" spans="1:32">
      <c r="A44" t="s">
        <v>39</v>
      </c>
      <c r="B44" s="18"/>
      <c r="C44"/>
      <c r="AF44" s="15">
        <v>0</v>
      </c>
    </row>
    <row r="45" spans="1:32">
      <c r="A45" t="s">
        <v>40</v>
      </c>
      <c r="B45" s="18"/>
      <c r="C45"/>
      <c r="AF45" s="15">
        <v>0</v>
      </c>
    </row>
    <row r="46" spans="1:32">
      <c r="A46" t="s">
        <v>41</v>
      </c>
      <c r="B46" s="18"/>
      <c r="C46"/>
      <c r="AF46" s="15">
        <v>0</v>
      </c>
    </row>
    <row r="47" spans="1:32">
      <c r="A47" t="s">
        <v>42</v>
      </c>
      <c r="B47" s="18"/>
      <c r="C47"/>
      <c r="AF47" s="15">
        <v>0</v>
      </c>
    </row>
    <row r="48" spans="1:32">
      <c r="A48" t="s">
        <v>43</v>
      </c>
      <c r="B48" s="18"/>
      <c r="C48"/>
      <c r="AF48" s="15">
        <v>0</v>
      </c>
    </row>
    <row r="49" spans="1:32">
      <c r="A49" t="s">
        <v>44</v>
      </c>
      <c r="B49" s="18"/>
      <c r="C49"/>
      <c r="AF49" s="15">
        <v>0</v>
      </c>
    </row>
    <row r="50" spans="1:32">
      <c r="A50" t="s">
        <v>45</v>
      </c>
      <c r="B50" s="18"/>
      <c r="C50"/>
      <c r="AF50" s="15">
        <v>0</v>
      </c>
    </row>
    <row r="51" spans="1:32">
      <c r="A51" t="s">
        <v>46</v>
      </c>
      <c r="B51" s="18"/>
      <c r="C51"/>
      <c r="AF51" s="15">
        <v>0</v>
      </c>
    </row>
    <row r="52" spans="1:32">
      <c r="A52" t="s">
        <v>47</v>
      </c>
      <c r="B52" s="18"/>
      <c r="C52"/>
      <c r="AF52" s="15">
        <v>0</v>
      </c>
    </row>
    <row r="53" spans="1:32">
      <c r="A53" t="s">
        <v>48</v>
      </c>
      <c r="B53" s="18"/>
      <c r="C53"/>
      <c r="AF53" s="15">
        <v>0</v>
      </c>
    </row>
    <row r="54" spans="1:32">
      <c r="A54" t="s">
        <v>49</v>
      </c>
      <c r="B54" s="18"/>
      <c r="C54"/>
      <c r="AF54" s="15">
        <v>0</v>
      </c>
    </row>
    <row r="55" spans="1:32">
      <c r="A55" t="s">
        <v>50</v>
      </c>
      <c r="B55" s="18"/>
      <c r="C55"/>
      <c r="AF55" s="15">
        <v>0</v>
      </c>
    </row>
    <row r="56" spans="1:32">
      <c r="A56" t="s">
        <v>51</v>
      </c>
      <c r="B56" s="18"/>
      <c r="C56"/>
      <c r="AF56" s="15">
        <v>0</v>
      </c>
    </row>
    <row r="57" spans="1:32">
      <c r="A57" t="s">
        <v>52</v>
      </c>
      <c r="B57" s="18"/>
      <c r="C57"/>
      <c r="AF57" s="15">
        <v>0</v>
      </c>
    </row>
    <row r="58" spans="1:32">
      <c r="A58" t="s">
        <v>53</v>
      </c>
      <c r="B58" s="18"/>
      <c r="C58"/>
      <c r="AF58" s="15">
        <v>0</v>
      </c>
    </row>
    <row r="59" spans="1:32">
      <c r="A59" t="s">
        <v>54</v>
      </c>
      <c r="B59" s="18"/>
      <c r="C59"/>
      <c r="AF59" s="15">
        <v>0</v>
      </c>
    </row>
    <row r="60" spans="1:32">
      <c r="A60" t="s">
        <v>55</v>
      </c>
      <c r="B60" s="18"/>
      <c r="C60"/>
      <c r="AF60" s="15">
        <v>0</v>
      </c>
    </row>
    <row r="61" spans="1:32">
      <c r="A61" t="s">
        <v>56</v>
      </c>
      <c r="B61" s="18"/>
      <c r="C61"/>
      <c r="AF61" s="15">
        <v>0</v>
      </c>
    </row>
    <row r="62" spans="1:32">
      <c r="A62" t="s">
        <v>57</v>
      </c>
      <c r="B62" s="18"/>
      <c r="C62"/>
      <c r="AF62" s="15">
        <v>0</v>
      </c>
    </row>
    <row r="63" spans="1:32">
      <c r="A63" t="s">
        <v>58</v>
      </c>
      <c r="B63" s="18"/>
      <c r="C63"/>
      <c r="AF63" s="15">
        <v>0</v>
      </c>
    </row>
    <row r="64" spans="1:32">
      <c r="A64" t="s">
        <v>59</v>
      </c>
      <c r="B64" s="18"/>
      <c r="C64"/>
      <c r="AF64" s="15">
        <v>0</v>
      </c>
    </row>
    <row r="65" spans="1:32">
      <c r="A65" t="s">
        <v>60</v>
      </c>
      <c r="B65" s="18"/>
      <c r="C65"/>
      <c r="AF65" s="15">
        <v>0</v>
      </c>
    </row>
    <row r="66" spans="1:32">
      <c r="A66" t="s">
        <v>61</v>
      </c>
      <c r="B66" s="18"/>
      <c r="C66"/>
      <c r="AF66" s="15">
        <v>0</v>
      </c>
    </row>
    <row r="67" spans="1:32">
      <c r="A67" t="s">
        <v>62</v>
      </c>
      <c r="B67" s="18"/>
      <c r="C67"/>
      <c r="AF67" s="15">
        <v>0</v>
      </c>
    </row>
    <row r="68" spans="1:32">
      <c r="A68" t="s">
        <v>63</v>
      </c>
      <c r="B68" s="18"/>
      <c r="C68"/>
      <c r="AF68" s="15">
        <v>0</v>
      </c>
    </row>
    <row r="69" spans="1:32">
      <c r="A69" t="s">
        <v>64</v>
      </c>
      <c r="B69" s="18"/>
      <c r="C69"/>
      <c r="AF69" s="15">
        <v>0</v>
      </c>
    </row>
    <row r="70" spans="1:32">
      <c r="A70" t="s">
        <v>65</v>
      </c>
      <c r="B70" s="18"/>
      <c r="C70"/>
      <c r="AF70" s="15">
        <v>0</v>
      </c>
    </row>
    <row r="71" spans="1:32">
      <c r="A71" t="s">
        <v>66</v>
      </c>
      <c r="B71" s="18"/>
      <c r="C71"/>
      <c r="AF71" s="15">
        <v>0</v>
      </c>
    </row>
    <row r="72" spans="1:32">
      <c r="A72" t="s">
        <v>67</v>
      </c>
      <c r="B72" s="18"/>
      <c r="C72"/>
      <c r="AF72" s="15">
        <v>0</v>
      </c>
    </row>
    <row r="73" spans="1:32">
      <c r="A73" t="s">
        <v>68</v>
      </c>
      <c r="B73" s="18"/>
      <c r="C73"/>
      <c r="AF73" s="15">
        <v>0</v>
      </c>
    </row>
    <row r="74" spans="1:32">
      <c r="A74" t="s">
        <v>69</v>
      </c>
      <c r="B74" s="18"/>
      <c r="C74"/>
      <c r="AF74" s="15">
        <v>0</v>
      </c>
    </row>
    <row r="75" spans="1:32">
      <c r="A75" t="s">
        <v>70</v>
      </c>
      <c r="B75" s="18"/>
      <c r="C75"/>
      <c r="AF75" s="15">
        <v>0</v>
      </c>
    </row>
    <row r="76" spans="1:32">
      <c r="A76" t="s">
        <v>71</v>
      </c>
      <c r="B76" s="18"/>
      <c r="C76"/>
      <c r="AF76" s="15">
        <v>0</v>
      </c>
    </row>
    <row r="77" spans="1:32">
      <c r="A77" t="s">
        <v>72</v>
      </c>
      <c r="B77" s="18"/>
      <c r="C77"/>
      <c r="AF77" s="15">
        <v>0</v>
      </c>
    </row>
    <row r="78" spans="1:32">
      <c r="A78" s="16">
        <f>'[1]Selected Chart'!A79</f>
        <v>0</v>
      </c>
      <c r="B78" s="16">
        <f>'[1]Selected Chart'!B79</f>
        <v>0</v>
      </c>
      <c r="C78" s="16">
        <f>'[1]Selected Chart'!C79</f>
        <v>0</v>
      </c>
      <c r="AF78" s="15">
        <v>0</v>
      </c>
    </row>
    <row r="79" spans="1:32">
      <c r="A79" s="16">
        <f>'[1]Selected Chart'!A80</f>
        <v>0</v>
      </c>
      <c r="B79" s="16">
        <f>'[1]Selected Chart'!B80</f>
        <v>0</v>
      </c>
      <c r="C79" s="16">
        <f>'[1]Selected Chart'!C80</f>
        <v>0</v>
      </c>
      <c r="AF79" s="15">
        <v>0</v>
      </c>
    </row>
    <row r="80" spans="1:32">
      <c r="A80" s="16">
        <f>'[1]Selected Chart'!A81</f>
        <v>0</v>
      </c>
      <c r="B80" s="16">
        <f>'[1]Selected Chart'!B81</f>
        <v>0</v>
      </c>
      <c r="C80" s="16">
        <f>'[1]Selected Chart'!C81</f>
        <v>0</v>
      </c>
      <c r="AF80" s="15">
        <v>0</v>
      </c>
    </row>
    <row r="81" spans="1:32">
      <c r="A81" s="16">
        <f>'[1]Selected Chart'!A82</f>
        <v>0</v>
      </c>
      <c r="B81" s="16">
        <f>'[1]Selected Chart'!B82</f>
        <v>0</v>
      </c>
      <c r="C81" s="16">
        <f>'[1]Selected Chart'!C82</f>
        <v>0</v>
      </c>
      <c r="AF81" s="15">
        <v>0</v>
      </c>
    </row>
    <row r="82" spans="1:32">
      <c r="A82" s="16">
        <f>'[1]Selected Chart'!A83</f>
        <v>0</v>
      </c>
      <c r="B82" s="16">
        <f>'[1]Selected Chart'!B83</f>
        <v>0</v>
      </c>
      <c r="C82" s="16">
        <f>'[1]Selected Chart'!C83</f>
        <v>0</v>
      </c>
      <c r="AF82" s="15">
        <v>0</v>
      </c>
    </row>
    <row r="83" spans="1:32">
      <c r="A83" s="16">
        <f>'[1]Selected Chart'!A84</f>
        <v>0</v>
      </c>
      <c r="B83" s="16">
        <f>'[1]Selected Chart'!B84</f>
        <v>0</v>
      </c>
      <c r="C83" s="16">
        <f>'[1]Selected Chart'!C84</f>
        <v>0</v>
      </c>
      <c r="AF83" s="15">
        <v>0</v>
      </c>
    </row>
    <row r="84" spans="1:32">
      <c r="A84" s="16">
        <f>'[1]Selected Chart'!A85</f>
        <v>0</v>
      </c>
      <c r="B84" s="16">
        <f>'[1]Selected Chart'!B85</f>
        <v>0</v>
      </c>
      <c r="C84" s="16">
        <f>'[1]Selected Chart'!C85</f>
        <v>0</v>
      </c>
      <c r="AF84" s="15">
        <v>0</v>
      </c>
    </row>
    <row r="85" spans="1:32">
      <c r="A85" s="16">
        <f>'[1]Selected Chart'!A86</f>
        <v>0</v>
      </c>
      <c r="B85" s="16">
        <f>'[1]Selected Chart'!B86</f>
        <v>0</v>
      </c>
      <c r="C85" s="16">
        <f>'[1]Selected Chart'!C86</f>
        <v>0</v>
      </c>
      <c r="AF85" s="15">
        <v>0</v>
      </c>
    </row>
    <row r="86" spans="1:32">
      <c r="A86" s="16">
        <f>'[1]Selected Chart'!A87</f>
        <v>0</v>
      </c>
      <c r="B86" s="16">
        <f>'[1]Selected Chart'!B87</f>
        <v>0</v>
      </c>
      <c r="C86" s="16">
        <f>'[1]Selected Chart'!C87</f>
        <v>0</v>
      </c>
      <c r="AF86" s="15">
        <v>0</v>
      </c>
    </row>
    <row r="87" spans="1:32">
      <c r="A87" s="16">
        <f>'[1]Selected Chart'!A88</f>
        <v>0</v>
      </c>
      <c r="B87" s="16">
        <f>'[1]Selected Chart'!B88</f>
        <v>0</v>
      </c>
      <c r="C87" s="16">
        <f>'[1]Selected Chart'!C88</f>
        <v>0</v>
      </c>
      <c r="AF87" s="15">
        <v>0</v>
      </c>
    </row>
    <row r="88" spans="1:32">
      <c r="A88" s="16">
        <f>'[1]Selected Chart'!A89</f>
        <v>0</v>
      </c>
      <c r="B88" s="16">
        <f>'[1]Selected Chart'!B89</f>
        <v>0</v>
      </c>
      <c r="C88" s="16">
        <f>'[1]Selected Chart'!C89</f>
        <v>0</v>
      </c>
      <c r="AF88" s="15">
        <v>0</v>
      </c>
    </row>
    <row r="89" spans="1:32">
      <c r="A89" s="16">
        <f>'[1]Selected Chart'!A90</f>
        <v>0</v>
      </c>
      <c r="B89" s="16">
        <f>'[1]Selected Chart'!B90</f>
        <v>0</v>
      </c>
      <c r="C89" s="16">
        <f>'[1]Selected Chart'!C90</f>
        <v>0</v>
      </c>
      <c r="AF89" s="15">
        <v>0</v>
      </c>
    </row>
    <row r="90" spans="1:32">
      <c r="A90" s="16">
        <f>'[1]Selected Chart'!A91</f>
        <v>0</v>
      </c>
      <c r="B90" s="16">
        <f>'[1]Selected Chart'!B91</f>
        <v>0</v>
      </c>
      <c r="C90" s="16">
        <f>'[1]Selected Chart'!C91</f>
        <v>0</v>
      </c>
      <c r="AF90" s="15">
        <v>0</v>
      </c>
    </row>
    <row r="91" spans="1:32">
      <c r="A91" s="16">
        <f>'[1]Selected Chart'!A92</f>
        <v>0</v>
      </c>
      <c r="B91" s="16">
        <f>'[1]Selected Chart'!B92</f>
        <v>0</v>
      </c>
      <c r="C91" s="16">
        <f>'[1]Selected Chart'!C92</f>
        <v>0</v>
      </c>
      <c r="AF91" s="15">
        <v>0</v>
      </c>
    </row>
    <row r="92" spans="1:32">
      <c r="A92" s="16">
        <f>'[1]Selected Chart'!A93</f>
        <v>0</v>
      </c>
      <c r="B92" s="16">
        <f>'[1]Selected Chart'!B93</f>
        <v>0</v>
      </c>
      <c r="C92" s="16">
        <f>'[1]Selected Chart'!C93</f>
        <v>0</v>
      </c>
      <c r="AF92" s="15">
        <v>0</v>
      </c>
    </row>
    <row r="93" spans="1:32">
      <c r="A93" s="16">
        <f>'[1]Selected Chart'!A94</f>
        <v>0</v>
      </c>
      <c r="B93" s="16">
        <f>'[1]Selected Chart'!B94</f>
        <v>0</v>
      </c>
      <c r="C93" s="16">
        <f>'[1]Selected Chart'!C94</f>
        <v>0</v>
      </c>
      <c r="AF93" s="15">
        <v>0</v>
      </c>
    </row>
    <row r="94" spans="1:32">
      <c r="A94" s="16">
        <f>'[1]Selected Chart'!A95</f>
        <v>0</v>
      </c>
      <c r="B94" s="16">
        <f>'[1]Selected Chart'!B95</f>
        <v>0</v>
      </c>
      <c r="C94" s="16">
        <f>'[1]Selected Chart'!C95</f>
        <v>0</v>
      </c>
      <c r="AF94" s="15">
        <v>0</v>
      </c>
    </row>
    <row r="95" spans="1:32">
      <c r="A95" s="16">
        <f>'[1]Selected Chart'!A96</f>
        <v>0</v>
      </c>
      <c r="B95" s="16">
        <f>'[1]Selected Chart'!B96</f>
        <v>0</v>
      </c>
      <c r="C95" s="16">
        <f>'[1]Selected Chart'!C96</f>
        <v>0</v>
      </c>
      <c r="AF95" s="15">
        <v>0</v>
      </c>
    </row>
    <row r="96" spans="1:32">
      <c r="A96" s="16">
        <f>'[1]Selected Chart'!A97</f>
        <v>0</v>
      </c>
      <c r="B96" s="16">
        <f>'[1]Selected Chart'!B97</f>
        <v>0</v>
      </c>
      <c r="C96" s="16">
        <f>'[1]Selected Chart'!C97</f>
        <v>0</v>
      </c>
      <c r="AF96" s="15">
        <v>0</v>
      </c>
    </row>
    <row r="97" spans="1:32">
      <c r="A97" s="16">
        <f>'[1]Selected Chart'!A98</f>
        <v>0</v>
      </c>
      <c r="B97" s="16">
        <f>'[1]Selected Chart'!B98</f>
        <v>0</v>
      </c>
      <c r="C97" s="16">
        <f>'[1]Selected Chart'!C98</f>
        <v>0</v>
      </c>
      <c r="AF97" s="15">
        <v>0</v>
      </c>
    </row>
    <row r="98" spans="1:32">
      <c r="A98" s="16">
        <f>'[1]Selected Chart'!A99</f>
        <v>0</v>
      </c>
      <c r="B98" s="16">
        <f>'[1]Selected Chart'!B99</f>
        <v>0</v>
      </c>
      <c r="C98" s="16">
        <f>'[1]Selected Chart'!C99</f>
        <v>0</v>
      </c>
      <c r="AF98" s="15">
        <v>0</v>
      </c>
    </row>
    <row r="99" spans="1:32">
      <c r="A99" s="16">
        <f>'[1]Selected Chart'!A100</f>
        <v>0</v>
      </c>
      <c r="B99" s="16">
        <f>'[1]Selected Chart'!B100</f>
        <v>0</v>
      </c>
      <c r="C99" s="16">
        <f>'[1]Selected Chart'!C100</f>
        <v>0</v>
      </c>
      <c r="AF99" s="15">
        <v>0</v>
      </c>
    </row>
    <row r="100" spans="1:32">
      <c r="A100" s="16">
        <f>'[1]Selected Chart'!A101</f>
        <v>0</v>
      </c>
      <c r="B100" s="16">
        <f>'[1]Selected Chart'!B101</f>
        <v>0</v>
      </c>
      <c r="C100" s="16">
        <f>'[1]Selected Chart'!C101</f>
        <v>0</v>
      </c>
      <c r="AF100" s="15">
        <v>0</v>
      </c>
    </row>
    <row r="101" spans="1:32">
      <c r="A101" s="16">
        <f>'[1]Selected Chart'!A102</f>
        <v>0</v>
      </c>
      <c r="B101" s="16">
        <f>'[1]Selected Chart'!B102</f>
        <v>0</v>
      </c>
      <c r="C101" s="16">
        <f>'[1]Selected Chart'!C102</f>
        <v>0</v>
      </c>
      <c r="AF101" s="15">
        <v>0</v>
      </c>
    </row>
    <row r="102" spans="1:32">
      <c r="A102" s="16">
        <f>'[1]Selected Chart'!A103</f>
        <v>0</v>
      </c>
      <c r="B102" s="16">
        <f>'[1]Selected Chart'!B103</f>
        <v>0</v>
      </c>
      <c r="C102" s="16">
        <f>'[1]Selected Chart'!C103</f>
        <v>0</v>
      </c>
      <c r="AF102" s="15">
        <v>0</v>
      </c>
    </row>
    <row r="103" spans="1:32">
      <c r="A103" s="16">
        <f>'[1]Selected Chart'!A104</f>
        <v>0</v>
      </c>
      <c r="B103" s="16">
        <f>'[1]Selected Chart'!B104</f>
        <v>0</v>
      </c>
      <c r="C103" s="16">
        <f>'[1]Selected Chart'!C104</f>
        <v>0</v>
      </c>
      <c r="AF103" s="15">
        <v>0</v>
      </c>
    </row>
    <row r="104" spans="1:32">
      <c r="A104" s="16">
        <f>'[1]Selected Chart'!A105</f>
        <v>0</v>
      </c>
      <c r="B104" s="16">
        <f>'[1]Selected Chart'!B105</f>
        <v>0</v>
      </c>
      <c r="C104" s="16">
        <f>'[1]Selected Chart'!C105</f>
        <v>0</v>
      </c>
      <c r="AF104" s="15">
        <v>0</v>
      </c>
    </row>
    <row r="105" spans="1:32">
      <c r="A105" s="16">
        <f>'[1]Selected Chart'!A106</f>
        <v>0</v>
      </c>
      <c r="B105" s="16">
        <f>'[1]Selected Chart'!B106</f>
        <v>0</v>
      </c>
      <c r="C105" s="16">
        <f>'[1]Selected Chart'!C106</f>
        <v>0</v>
      </c>
      <c r="AF105" s="15">
        <v>0</v>
      </c>
    </row>
    <row r="106" spans="1:32">
      <c r="A106" s="16">
        <f>'[1]Selected Chart'!A107</f>
        <v>0</v>
      </c>
      <c r="B106" s="16">
        <f>'[1]Selected Chart'!B107</f>
        <v>0</v>
      </c>
      <c r="C106" s="16">
        <f>'[1]Selected Chart'!C107</f>
        <v>0</v>
      </c>
      <c r="AF106" s="15">
        <v>0</v>
      </c>
    </row>
    <row r="107" spans="1:32">
      <c r="A107" s="16">
        <f>'[1]Selected Chart'!A108</f>
        <v>0</v>
      </c>
      <c r="B107" s="16">
        <f>'[1]Selected Chart'!B108</f>
        <v>0</v>
      </c>
      <c r="C107" s="16">
        <f>'[1]Selected Chart'!C108</f>
        <v>0</v>
      </c>
      <c r="AF107" s="15">
        <v>0</v>
      </c>
    </row>
    <row r="108" spans="1:32">
      <c r="A108" s="16">
        <f>'[1]Selected Chart'!A109</f>
        <v>0</v>
      </c>
      <c r="B108" s="16">
        <f>'[1]Selected Chart'!B109</f>
        <v>0</v>
      </c>
      <c r="C108" s="16">
        <f>'[1]Selected Chart'!C109</f>
        <v>0</v>
      </c>
      <c r="AF108" s="15">
        <v>0</v>
      </c>
    </row>
    <row r="109" spans="1:32">
      <c r="A109" s="16">
        <f>'[1]Selected Chart'!A110</f>
        <v>0</v>
      </c>
      <c r="B109" s="16">
        <f>'[1]Selected Chart'!B110</f>
        <v>0</v>
      </c>
      <c r="C109" s="16">
        <f>'[1]Selected Chart'!C110</f>
        <v>0</v>
      </c>
      <c r="D109" s="15">
        <v>0</v>
      </c>
      <c r="E109" s="15">
        <v>0</v>
      </c>
      <c r="F109" s="15">
        <v>0</v>
      </c>
      <c r="G109" s="15">
        <v>0</v>
      </c>
      <c r="H109" s="15">
        <v>0</v>
      </c>
      <c r="I109" s="15">
        <v>0</v>
      </c>
      <c r="J109" s="15">
        <v>0</v>
      </c>
      <c r="K109" s="15">
        <v>0</v>
      </c>
      <c r="L109" s="15">
        <v>0</v>
      </c>
      <c r="M109" s="15">
        <v>0</v>
      </c>
      <c r="N109" s="15">
        <v>0</v>
      </c>
      <c r="O109" s="15">
        <v>0</v>
      </c>
      <c r="P109" s="15">
        <v>0</v>
      </c>
      <c r="Q109" s="15">
        <v>0</v>
      </c>
      <c r="R109" s="15">
        <v>0</v>
      </c>
      <c r="S109" s="15">
        <v>0</v>
      </c>
      <c r="T109" s="15">
        <v>0</v>
      </c>
      <c r="U109" s="15">
        <v>0</v>
      </c>
      <c r="V109" s="15">
        <v>0</v>
      </c>
      <c r="W109" s="15">
        <v>0</v>
      </c>
      <c r="X109" s="15">
        <v>0</v>
      </c>
      <c r="Y109" s="15">
        <v>0</v>
      </c>
      <c r="Z109" s="15">
        <v>0</v>
      </c>
      <c r="AA109" s="15">
        <v>0</v>
      </c>
      <c r="AB109" s="15">
        <v>0</v>
      </c>
      <c r="AC109" s="15">
        <v>0</v>
      </c>
      <c r="AD109" s="15">
        <v>0</v>
      </c>
      <c r="AE109" s="15">
        <v>0</v>
      </c>
      <c r="AF109" s="15">
        <v>0</v>
      </c>
    </row>
  </sheetData>
  <autoFilter ref="A1:C109" xr:uid="{00000000-0009-0000-0000-000000000000}"/>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78"/>
  <sheetViews>
    <sheetView zoomScaleNormal="100" workbookViewId="0">
      <selection activeCell="A7" sqref="A7"/>
    </sheetView>
  </sheetViews>
  <sheetFormatPr defaultColWidth="7.140625" defaultRowHeight="15"/>
  <cols>
    <col min="1" max="1" width="16.42578125" customWidth="1"/>
    <col min="2" max="2" width="12.28515625" customWidth="1"/>
    <col min="3" max="3" width="18.85546875" customWidth="1"/>
    <col min="4" max="4" width="13.85546875" customWidth="1"/>
    <col min="5" max="5" width="28.7109375" customWidth="1"/>
    <col min="6" max="6" width="13.28515625" customWidth="1"/>
    <col min="7" max="7" width="20.140625" customWidth="1"/>
    <col min="8" max="8" width="13.28515625" customWidth="1"/>
    <col min="11" max="11" width="9.140625" customWidth="1"/>
    <col min="12" max="12" width="11.5703125" customWidth="1"/>
    <col min="13" max="13" width="7.85546875" customWidth="1"/>
    <col min="14" max="14" width="8.140625" customWidth="1"/>
    <col min="17" max="17" width="12.7109375" customWidth="1"/>
    <col min="18" max="18" width="9.42578125" customWidth="1"/>
    <col min="22" max="22" width="8.85546875" customWidth="1"/>
    <col min="23" max="24" width="4.140625" customWidth="1"/>
    <col min="25" max="27" width="11.7109375" customWidth="1"/>
    <col min="28" max="28" width="6.28515625" customWidth="1"/>
    <col min="29" max="29" width="3.140625" customWidth="1"/>
    <col min="30" max="30" width="3.85546875" customWidth="1"/>
  </cols>
  <sheetData>
    <row r="1" spans="1:30">
      <c r="A1" s="14" t="str">
        <f>JHora!A2</f>
        <v>C:\Users\sprabhakara2\Google Drive\charts\Family&amp;Self\Sanjay Prabhakaran</v>
      </c>
      <c r="B1" s="14"/>
      <c r="C1" s="14"/>
      <c r="D1" s="14"/>
      <c r="E1" s="14"/>
      <c r="F1" s="14"/>
      <c r="G1" s="14"/>
      <c r="H1" s="14"/>
      <c r="I1" s="14"/>
    </row>
    <row r="2" spans="1:30">
      <c r="A2" t="s">
        <v>73</v>
      </c>
      <c r="B2" s="21" t="str">
        <f>LEFT(TRIM(MID(JHora!A6,6,100)),FIND(" ",TRIM(MID(JHora!A6,6,100))))</f>
        <v xml:space="preserve">July </v>
      </c>
      <c r="C2" s="22" t="str">
        <f>REPLACE(RIGHT(TRIM(MID(JHora!A6,6,100)),8),3,1,B2)</f>
        <v>19July  1971</v>
      </c>
      <c r="D2" s="22"/>
      <c r="E2" s="23">
        <f>VALUE(C2)+VALUE(RIGHT(JHora!A7,12))</f>
        <v>26133.384143518517</v>
      </c>
      <c r="F2" s="24"/>
      <c r="G2" s="25">
        <f>INT(DoB)</f>
        <v>26133</v>
      </c>
      <c r="H2" s="26">
        <f>DoB-INT(DoB)</f>
        <v>0.38414351851679385</v>
      </c>
      <c r="J2">
        <f>ROUNDUP((MINUTE(DoB-B44)+HOUR(DoB-B44)*60)/24,0)</f>
        <v>8</v>
      </c>
      <c r="K2" s="27">
        <f>HOUR(DoB-B44)*60</f>
        <v>180</v>
      </c>
      <c r="P2">
        <f t="array" ref="P2">SUM(L7:L14)</f>
        <v>-38</v>
      </c>
    </row>
    <row r="3" spans="1:30">
      <c r="A3" s="28" t="s">
        <v>74</v>
      </c>
      <c r="B3" s="13">
        <v>365.25487268518202</v>
      </c>
      <c r="C3" s="13"/>
      <c r="D3" s="13"/>
      <c r="E3" s="13"/>
      <c r="F3" s="13"/>
      <c r="G3" t="s">
        <v>75</v>
      </c>
      <c r="J3" s="30">
        <f>TIME(0,24,0)</f>
        <v>1.6666666666666666E-2</v>
      </c>
    </row>
    <row r="4" spans="1:30">
      <c r="A4" s="12" t="s">
        <v>76</v>
      </c>
      <c r="B4" s="12"/>
      <c r="C4" s="12"/>
      <c r="D4" s="12"/>
      <c r="E4" s="12"/>
      <c r="F4" s="12"/>
      <c r="G4" s="12"/>
      <c r="H4" s="12"/>
      <c r="I4" s="12"/>
      <c r="J4" s="12"/>
    </row>
    <row r="5" spans="1:30">
      <c r="A5" s="11" t="s">
        <v>77</v>
      </c>
      <c r="B5" s="11"/>
      <c r="C5" s="11"/>
      <c r="D5" s="11"/>
      <c r="E5" s="11"/>
      <c r="F5" s="11"/>
      <c r="G5" s="11"/>
      <c r="H5" s="11"/>
      <c r="I5" s="11"/>
      <c r="J5" s="11"/>
      <c r="W5">
        <v>1</v>
      </c>
      <c r="X5">
        <v>2</v>
      </c>
      <c r="Y5">
        <v>3</v>
      </c>
      <c r="Z5">
        <v>4</v>
      </c>
      <c r="AA5">
        <v>5</v>
      </c>
    </row>
    <row r="6" spans="1:30" s="32" customFormat="1">
      <c r="A6" s="31"/>
      <c r="G6" s="32" t="s">
        <v>78</v>
      </c>
      <c r="H6" s="32" t="s">
        <v>79</v>
      </c>
      <c r="I6" s="32" t="s">
        <v>80</v>
      </c>
      <c r="J6" s="32" t="s">
        <v>81</v>
      </c>
      <c r="K6" s="32" t="s">
        <v>82</v>
      </c>
      <c r="L6" s="32" t="s">
        <v>83</v>
      </c>
      <c r="M6" s="32" t="s">
        <v>84</v>
      </c>
      <c r="N6" s="32" t="s">
        <v>85</v>
      </c>
      <c r="O6" s="32" t="s">
        <v>85</v>
      </c>
      <c r="P6" s="32" t="s">
        <v>86</v>
      </c>
      <c r="Q6" s="32" t="s">
        <v>86</v>
      </c>
      <c r="R6" s="32" t="s">
        <v>87</v>
      </c>
      <c r="S6" s="32" t="s">
        <v>88</v>
      </c>
      <c r="T6" s="32" t="s">
        <v>89</v>
      </c>
      <c r="U6" s="32" t="s">
        <v>90</v>
      </c>
      <c r="V6" s="32" t="s">
        <v>81</v>
      </c>
      <c r="W6" s="32" t="s">
        <v>91</v>
      </c>
      <c r="X6" s="32" t="s">
        <v>92</v>
      </c>
      <c r="Y6" s="32" t="s">
        <v>93</v>
      </c>
      <c r="Z6" s="32" t="s">
        <v>94</v>
      </c>
      <c r="AA6" s="32" t="s">
        <v>95</v>
      </c>
      <c r="AB6" s="32" t="s">
        <v>96</v>
      </c>
      <c r="AC6" s="32" t="s">
        <v>97</v>
      </c>
    </row>
    <row r="7" spans="1:30">
      <c r="A7" t="str">
        <f>TRIM(LEFT(JHora!A32,FIND(" ",JHora!A32)))</f>
        <v>Lagna</v>
      </c>
      <c r="B7" s="33" t="str">
        <f>MID(JHora!A32,FIND("'",JHora!A32)-8,2)</f>
        <v>16</v>
      </c>
      <c r="C7" s="33" t="str">
        <f>MID(JHora!A32,FIND("'",JHora!A32)-5,2)</f>
        <v>Le</v>
      </c>
      <c r="D7" s="34">
        <f>MID(JHora!A32,FIND("'",JHora!A32)-2,2)+VALUE(MID(JHora!A32,FIND("'",JHora!A32)+2,5))/60</f>
        <v>42.691000000000003</v>
      </c>
      <c r="E7" s="35" t="str">
        <f t="shared" ref="E7:E41" si="0">INDEX(NakshatraTbl,INT(G7*0.075)+1,1)</f>
        <v>Purva Phalguni</v>
      </c>
      <c r="F7" s="36" t="s">
        <v>98</v>
      </c>
      <c r="G7" s="37">
        <f t="shared" ref="G7:G30" si="1">VLOOKUP(C7,RasiDeg,2,0)+B7+D7/60</f>
        <v>136.71151666666665</v>
      </c>
      <c r="H7" s="37">
        <f t="shared" ref="H7:H14" si="2">B7+D7/60</f>
        <v>16.711516666666668</v>
      </c>
      <c r="I7" s="38" t="str">
        <f t="shared" ref="I7:I41" si="3">INDEX(NakshatraTbl,INT(G7*0.075)+1,3)</f>
        <v>Venus</v>
      </c>
      <c r="J7" s="39"/>
      <c r="K7" s="30" t="b">
        <f>NOT(ISERROR(SEARCH("(R)",JHora!A32)))</f>
        <v>0</v>
      </c>
      <c r="L7" s="40">
        <f>ROUNDUP(IF((Moon-G7)&lt;0,-1*(180+(Moon-G7)),Moon-G7)/12,0)</f>
        <v>-9</v>
      </c>
      <c r="M7" s="41"/>
      <c r="N7" t="str">
        <f t="shared" ref="N7:N30" si="4">INDEX(D20Deities,ROUNDUP(H7/1.5,0)+MOD(ROUNDUP(G7/30,0)-1,2)*20,1)</f>
        <v>bagalāmukhī</v>
      </c>
      <c r="O7" t="str">
        <f t="shared" ref="O7:O30" si="5">INDEX(D20Deities,ROUNDUP(H7/1.5,0)+MOD(ROUNDUP(G7/30,0)-1,2)*20,2)</f>
        <v>बगलामुखी</v>
      </c>
      <c r="P7" t="str">
        <f t="shared" ref="P7:P30" si="6">INDEX(D27Deities,ROUNDUP(H7/30*27,0),1)</f>
        <v xml:space="preserve">śakrāgni </v>
      </c>
      <c r="Q7" t="str">
        <f t="shared" ref="Q7:Q30" si="7">INDEX(D27Deities,ROUNDUP(H7/30*27,0),2)</f>
        <v xml:space="preserve">शक्राग्नि </v>
      </c>
      <c r="R7" t="str">
        <f t="shared" ref="R7:R30" si="8">INT(H7/900*360)&amp;" s"&amp;" "&amp;TEXT(MOD(H7/30*360,30)/24,"[HH]:MM:ss")</f>
        <v>6 s 20:32:18</v>
      </c>
      <c r="S7">
        <f t="shared" ref="S7:S30" si="9">MATCH(H7,D150InequalDegrees)</f>
        <v>84</v>
      </c>
      <c r="T7">
        <f t="shared" ref="T7:T30" si="10">CHOOSE(ROUNDUP(MOD(G7/30,3),0),S7,150-S7+1,MOD(74+S7,150)+1)</f>
        <v>67</v>
      </c>
      <c r="U7" t="str">
        <f t="shared" ref="U7:U30" si="11">INDEX(D150EnglishNames,T7)</f>
        <v>gadaharā</v>
      </c>
      <c r="AB7">
        <v>0</v>
      </c>
    </row>
    <row r="8" spans="1:30">
      <c r="A8" t="str">
        <f>TRIM(LEFT(JHora!A33,FIND(" ",JHora!A33)))</f>
        <v>Sun</v>
      </c>
      <c r="B8" s="33" t="str">
        <f>MID(JHora!A33,FIND("'",JHora!A33)-8,2)</f>
        <v xml:space="preserve"> 2</v>
      </c>
      <c r="C8" s="33" t="str">
        <f>MID(JHora!A33,FIND("'",JHora!A33)-5,2)</f>
        <v>Cn</v>
      </c>
      <c r="D8" s="34">
        <f>MID(JHora!A33,FIND("'",JHora!A33)-2,2)+VALUE(MID(JHora!A33,FIND("'",JHora!A33)+2,5))/60</f>
        <v>23.952166666666667</v>
      </c>
      <c r="E8" s="35" t="str">
        <f t="shared" si="0"/>
        <v>Punarvasu</v>
      </c>
      <c r="F8" s="42" t="str">
        <f t="shared" ref="F8:F15" si="12">CHOOSE(RANK(H8,H$8:H$15),"Ak","Amk","Bk","Mk","PiK","PuK","Gk","Dk")</f>
        <v>Dk</v>
      </c>
      <c r="G8" s="37">
        <f t="shared" si="1"/>
        <v>92.399202777777774</v>
      </c>
      <c r="H8" s="37">
        <f t="shared" si="2"/>
        <v>2.399202777777778</v>
      </c>
      <c r="I8" s="38" t="str">
        <f t="shared" si="3"/>
        <v>Jupiter</v>
      </c>
      <c r="J8" s="39">
        <f>MOD(ROUNDUP(G8/13.3333333333,0)*1*ROUNDUP(MOD(G8,30)/3.33333,0)+ROUNDUP(Moon/13.333,0)+ROUNDUP(JanmaGhatika,0)+ROUNDUP(Lagna/30,0)+11,12)+1</f>
        <v>12</v>
      </c>
      <c r="K8" s="30" t="b">
        <f>NOT(ISERROR(SEARCH("(R)",JHora!A33)))</f>
        <v>0</v>
      </c>
      <c r="L8" s="40">
        <f>ROUNDUP(IF((Moon-G8)&lt;0,-1*(180+(Moon-G8)),Moon-G8)/12,0)</f>
        <v>-12</v>
      </c>
      <c r="M8" s="41" t="str">
        <f>INDEX(Tithi,MOD(ABS(L8),8))</f>
        <v>Mercury</v>
      </c>
      <c r="N8" t="str">
        <f t="shared" si="4"/>
        <v>medhā</v>
      </c>
      <c r="O8" t="str">
        <f t="shared" si="5"/>
        <v>मेधा</v>
      </c>
      <c r="P8" t="str">
        <f t="shared" si="6"/>
        <v xml:space="preserve">vahni </v>
      </c>
      <c r="Q8" t="str">
        <f t="shared" si="7"/>
        <v xml:space="preserve">वह्नि </v>
      </c>
      <c r="R8" t="str">
        <f t="shared" si="8"/>
        <v>0 s 28:47:26</v>
      </c>
      <c r="S8">
        <f t="shared" si="9"/>
        <v>13</v>
      </c>
      <c r="T8">
        <f t="shared" si="10"/>
        <v>13</v>
      </c>
      <c r="U8" t="str">
        <f t="shared" si="11"/>
        <v>mañjusvanā</v>
      </c>
      <c r="V8" t="str">
        <f t="shared" ref="V8:V16" si="13">INDEX(ShayanaadiAvastha,J8)</f>
        <v>Nidraa</v>
      </c>
      <c r="W8">
        <f t="shared" ref="W8:AA16" si="14">MOD(MOD(($J8*$J8+W$5)+11,12)*INDEX(GrahaShayanadiGunanka,$AB8)+2,3)+1</f>
        <v>3</v>
      </c>
      <c r="X8">
        <f t="shared" si="14"/>
        <v>2</v>
      </c>
      <c r="Y8">
        <f t="shared" si="14"/>
        <v>1</v>
      </c>
      <c r="Z8">
        <f t="shared" si="14"/>
        <v>3</v>
      </c>
      <c r="AA8">
        <f t="shared" si="14"/>
        <v>2</v>
      </c>
      <c r="AB8">
        <v>1</v>
      </c>
      <c r="AC8">
        <v>3</v>
      </c>
      <c r="AD8" t="s">
        <v>99</v>
      </c>
    </row>
    <row r="9" spans="1:30">
      <c r="A9" t="str">
        <f>TRIM(LEFT(JHora!A34,FIND(" ",JHora!A34)))</f>
        <v>Moon</v>
      </c>
      <c r="B9" s="33" t="str">
        <f>MID(JHora!A34,FIND("'",JHora!A34)-8,2)</f>
        <v>23</v>
      </c>
      <c r="C9" s="33" t="str">
        <f>MID(JHora!A34,FIND("'",JHora!A34)-5,2)</f>
        <v>Ta</v>
      </c>
      <c r="D9" s="34">
        <f>MID(JHora!A34,FIND("'",JHora!A34)-2,2)+VALUE(MID(JHora!A34,FIND("'",JHora!A34)+2,5))/60</f>
        <v>0.95666666666666667</v>
      </c>
      <c r="E9" s="35" t="str">
        <f t="shared" si="0"/>
        <v>Rohini</v>
      </c>
      <c r="F9" s="42" t="str">
        <f t="shared" si="12"/>
        <v>Bk</v>
      </c>
      <c r="G9" s="43">
        <f t="shared" si="1"/>
        <v>53.015944444444443</v>
      </c>
      <c r="H9" s="43">
        <f t="shared" si="2"/>
        <v>23.015944444444443</v>
      </c>
      <c r="I9" s="44" t="str">
        <f t="shared" si="3"/>
        <v>Moon</v>
      </c>
      <c r="J9" s="39">
        <f>MOD(ROUNDUP(G9/13.3333333333,0)*2*ROUNDUP(MOD(G9,30)/3.33333,0)+ROUNDUP(Moon/13.333,0)+ROUNDUP(JanmaGhatika,0)+ROUNDUP(Lagna/30,0)+11,12)+1</f>
        <v>1</v>
      </c>
      <c r="K9" s="30" t="b">
        <f>NOT(ISERROR(SEARCH("(R)",JHora!A34)))</f>
        <v>0</v>
      </c>
      <c r="L9" s="40"/>
      <c r="M9" s="41"/>
      <c r="N9" t="str">
        <f t="shared" si="4"/>
        <v>sitā</v>
      </c>
      <c r="O9" t="str">
        <f t="shared" si="5"/>
        <v>सिता</v>
      </c>
      <c r="P9" t="str">
        <f t="shared" si="6"/>
        <v xml:space="preserve">viśve aja </v>
      </c>
      <c r="Q9" t="str">
        <f t="shared" si="7"/>
        <v xml:space="preserve">विश्वे अज </v>
      </c>
      <c r="R9" t="str">
        <f t="shared" si="8"/>
        <v>9 s 06:11:29</v>
      </c>
      <c r="S9">
        <f t="shared" si="9"/>
        <v>116</v>
      </c>
      <c r="T9">
        <f t="shared" si="10"/>
        <v>35</v>
      </c>
      <c r="U9" t="str">
        <f t="shared" si="11"/>
        <v>kṣamā</v>
      </c>
      <c r="V9" t="str">
        <f t="shared" si="13"/>
        <v>Sayana</v>
      </c>
      <c r="W9">
        <f t="shared" si="14"/>
        <v>2</v>
      </c>
      <c r="X9">
        <f t="shared" si="14"/>
        <v>1</v>
      </c>
      <c r="Y9">
        <f t="shared" si="14"/>
        <v>3</v>
      </c>
      <c r="Z9">
        <f t="shared" si="14"/>
        <v>2</v>
      </c>
      <c r="AA9">
        <f t="shared" si="14"/>
        <v>1</v>
      </c>
      <c r="AB9">
        <v>2</v>
      </c>
      <c r="AC9">
        <v>1</v>
      </c>
      <c r="AD9" t="s">
        <v>100</v>
      </c>
    </row>
    <row r="10" spans="1:30">
      <c r="A10" t="str">
        <f>TRIM(LEFT(JHora!A35,FIND(" ",JHora!A35)))</f>
        <v>Mars</v>
      </c>
      <c r="B10" s="33" t="str">
        <f>MID(JHora!A35,FIND("'",JHora!A35)-8,2)</f>
        <v>28</v>
      </c>
      <c r="C10" s="33" t="str">
        <f>MID(JHora!A35,FIND("'",JHora!A35)-5,2)</f>
        <v>Cp</v>
      </c>
      <c r="D10" s="34">
        <f>MID(JHora!A35,FIND("'",JHora!A35)-2,2)+VALUE(MID(JHora!A35,FIND("'",JHora!A35)+2,5))/60</f>
        <v>6.5198333333333336</v>
      </c>
      <c r="E10" s="35" t="str">
        <f t="shared" si="0"/>
        <v>Shravan</v>
      </c>
      <c r="F10" s="42" t="str">
        <f t="shared" si="12"/>
        <v>Ak</v>
      </c>
      <c r="G10" s="37">
        <f t="shared" si="1"/>
        <v>298.10866388888888</v>
      </c>
      <c r="H10" s="37">
        <f t="shared" si="2"/>
        <v>28.108663888888888</v>
      </c>
      <c r="I10" s="38" t="str">
        <f t="shared" si="3"/>
        <v>Moon</v>
      </c>
      <c r="J10" s="39">
        <f>MOD(ROUNDUP(G10/13.3333333333,0)*3*ROUNDUP(MOD(G10,30)/3.33333,0)+ROUNDUP(Moon/13.333,0)+ROUNDUP(JanmaGhatika,0)+ROUNDUP(Lagna/30,0)+11,12)+1</f>
        <v>2</v>
      </c>
      <c r="K10" s="30" t="b">
        <f>NOT(ISERROR(SEARCH("(R)",JHora!A35)))</f>
        <v>1</v>
      </c>
      <c r="L10" s="40">
        <f>ROUNDUP(IF((Moon-G10)&lt;0,-1*(180+(Moon-G10)),Moon-G10)/12,0)</f>
        <v>6</v>
      </c>
      <c r="M10" s="41" t="str">
        <f>INDEX(Tithi,MOD(ABS(L10),8))</f>
        <v>Venus</v>
      </c>
      <c r="N10" t="str">
        <f t="shared" si="4"/>
        <v>maṅgalā</v>
      </c>
      <c r="O10" t="str">
        <f t="shared" si="5"/>
        <v>मङ्गला</v>
      </c>
      <c r="P10" t="str">
        <f t="shared" si="6"/>
        <v xml:space="preserve">ahirbudhnya </v>
      </c>
      <c r="Q10" t="str">
        <f t="shared" si="7"/>
        <v>अहिर्बुध्न्य</v>
      </c>
      <c r="R10" t="str">
        <f t="shared" si="8"/>
        <v>11 s 07:18:14</v>
      </c>
      <c r="S10">
        <f t="shared" si="9"/>
        <v>141</v>
      </c>
      <c r="T10">
        <f t="shared" si="10"/>
        <v>141</v>
      </c>
      <c r="U10" t="str">
        <f t="shared" si="11"/>
        <v>kalaśodbhavā</v>
      </c>
      <c r="V10" t="str">
        <f t="shared" si="13"/>
        <v>Upavesana</v>
      </c>
      <c r="W10">
        <f t="shared" si="14"/>
        <v>2</v>
      </c>
      <c r="X10">
        <f t="shared" si="14"/>
        <v>1</v>
      </c>
      <c r="Y10">
        <f t="shared" si="14"/>
        <v>3</v>
      </c>
      <c r="Z10">
        <f t="shared" si="14"/>
        <v>2</v>
      </c>
      <c r="AA10">
        <f t="shared" si="14"/>
        <v>1</v>
      </c>
      <c r="AB10">
        <v>3</v>
      </c>
      <c r="AD10" t="s">
        <v>101</v>
      </c>
    </row>
    <row r="11" spans="1:30">
      <c r="A11" t="str">
        <f>TRIM(LEFT(JHora!A36,FIND(" ",JHora!A36)))</f>
        <v>Mercury</v>
      </c>
      <c r="B11" s="33" t="str">
        <f>MID(JHora!A36,FIND("'",JHora!A36)-8,2)</f>
        <v>27</v>
      </c>
      <c r="C11" s="33" t="str">
        <f>MID(JHora!A36,FIND("'",JHora!A36)-5,2)</f>
        <v>Cn</v>
      </c>
      <c r="D11" s="34">
        <f>MID(JHora!A36,FIND("'",JHora!A36)-2,2)+VALUE(MID(JHora!A36,FIND("'",JHora!A36)+2,5))/60</f>
        <v>7.7871666666666668</v>
      </c>
      <c r="E11" s="35" t="str">
        <f t="shared" si="0"/>
        <v>Ashlesha</v>
      </c>
      <c r="F11" s="42" t="str">
        <f t="shared" si="12"/>
        <v>Amk</v>
      </c>
      <c r="G11" s="37">
        <f t="shared" si="1"/>
        <v>117.12978611111112</v>
      </c>
      <c r="H11" s="37">
        <f t="shared" si="2"/>
        <v>27.129786111111112</v>
      </c>
      <c r="I11" s="38" t="str">
        <f t="shared" si="3"/>
        <v>Merc</v>
      </c>
      <c r="J11" s="39">
        <f>MOD(ROUNDUP(G11/13.3333333333,0)*4*ROUNDUP(MOD(G11,30)/3.33333,0)+ROUNDUP(Moon/13.333,0)+ROUNDUP(JanmaGhatika,0)+ROUNDUP(Lagna/30,0)+11,12)+1</f>
        <v>5</v>
      </c>
      <c r="K11" s="30" t="b">
        <f>NOT(ISERROR(SEARCH("(R)",JHora!A36)))</f>
        <v>0</v>
      </c>
      <c r="L11" s="40">
        <f>ROUNDUP(IF((Moon-G11)&lt;0,-1*(180+(Moon-G11)),Moon-G11)/12,0)</f>
        <v>-10</v>
      </c>
      <c r="M11" s="41" t="str">
        <f>INDEX(Tithi,MOD(ABS(L11),8))</f>
        <v>Moon</v>
      </c>
      <c r="N11" t="str">
        <f t="shared" si="4"/>
        <v>maṅgalā</v>
      </c>
      <c r="O11" t="str">
        <f t="shared" si="5"/>
        <v>मङ्गला</v>
      </c>
      <c r="P11" t="str">
        <f t="shared" si="6"/>
        <v xml:space="preserve">ajapād </v>
      </c>
      <c r="Q11" t="str">
        <f t="shared" si="7"/>
        <v xml:space="preserve">अजपाद् </v>
      </c>
      <c r="R11" t="str">
        <f t="shared" si="8"/>
        <v>10 s 25:33:27</v>
      </c>
      <c r="S11">
        <f t="shared" si="9"/>
        <v>136</v>
      </c>
      <c r="T11">
        <f t="shared" si="10"/>
        <v>136</v>
      </c>
      <c r="U11" t="str">
        <f t="shared" si="11"/>
        <v>smarā</v>
      </c>
      <c r="V11" t="str">
        <f t="shared" si="13"/>
        <v>Gamana</v>
      </c>
      <c r="W11">
        <f t="shared" si="14"/>
        <v>3</v>
      </c>
      <c r="X11">
        <f t="shared" si="14"/>
        <v>3</v>
      </c>
      <c r="Y11">
        <f t="shared" si="14"/>
        <v>3</v>
      </c>
      <c r="Z11">
        <f t="shared" si="14"/>
        <v>3</v>
      </c>
      <c r="AA11">
        <f t="shared" si="14"/>
        <v>3</v>
      </c>
      <c r="AB11">
        <v>4</v>
      </c>
      <c r="AD11" t="s">
        <v>102</v>
      </c>
    </row>
    <row r="12" spans="1:30">
      <c r="A12" t="str">
        <f>TRIM(LEFT(JHora!A37,FIND(" ",JHora!A37)))</f>
        <v>Jupiter</v>
      </c>
      <c r="B12" s="33" t="str">
        <f>MID(JHora!A37,FIND("'",JHora!A37)-8,2)</f>
        <v xml:space="preserve"> 3</v>
      </c>
      <c r="C12" s="33" t="str">
        <f>MID(JHora!A37,FIND("'",JHora!A37)-5,2)</f>
        <v>Sc</v>
      </c>
      <c r="D12" s="34">
        <f>MID(JHora!A37,FIND("'",JHora!A37)-2,2)+VALUE(MID(JHora!A37,FIND("'",JHora!A37)+2,5))/60</f>
        <v>11.830500000000001</v>
      </c>
      <c r="E12" s="35" t="str">
        <f t="shared" si="0"/>
        <v>Vishakha</v>
      </c>
      <c r="F12" s="42" t="str">
        <f t="shared" si="12"/>
        <v>Gk</v>
      </c>
      <c r="G12" s="37">
        <f t="shared" si="1"/>
        <v>213.19717499999999</v>
      </c>
      <c r="H12" s="37">
        <f t="shared" si="2"/>
        <v>3.1971750000000001</v>
      </c>
      <c r="I12" s="38" t="str">
        <f t="shared" si="3"/>
        <v>Jupiter</v>
      </c>
      <c r="J12" s="39">
        <f>MOD(ROUNDUP(G12/13.3333333333,0)*5*ROUNDUP(MOD(G12,30)/3.33333,0)+ROUNDUP(Moon/13.333,0)+ROUNDUP(JanmaGhatika,0)+ROUNDUP(Lagna/30,0),12)</f>
        <v>1</v>
      </c>
      <c r="K12" s="30" t="b">
        <f>NOT(ISERROR(SEARCH("(R)",JHora!A37)))</f>
        <v>1</v>
      </c>
      <c r="L12" s="40">
        <f>ROUNDUP(IF((Moon-G12)&lt;0,-1*(180+(Moon-G12)),Moon-G12)/12,0)</f>
        <v>-2</v>
      </c>
      <c r="M12" s="41" t="str">
        <f>INDEX(Tithi,MOD(ABS(L12),8))</f>
        <v>Moon</v>
      </c>
      <c r="N12" t="str">
        <f t="shared" si="4"/>
        <v>chinnaśīrṣā</v>
      </c>
      <c r="O12" t="str">
        <f t="shared" si="5"/>
        <v>छिन्नशीर्षा</v>
      </c>
      <c r="P12" t="str">
        <f t="shared" si="6"/>
        <v xml:space="preserve">vahni </v>
      </c>
      <c r="Q12" t="str">
        <f t="shared" si="7"/>
        <v xml:space="preserve">वह्नि </v>
      </c>
      <c r="R12" t="str">
        <f t="shared" si="8"/>
        <v>1 s 08:21:58</v>
      </c>
      <c r="S12">
        <f t="shared" si="9"/>
        <v>16</v>
      </c>
      <c r="T12">
        <f t="shared" si="10"/>
        <v>135</v>
      </c>
      <c r="U12" t="str">
        <f t="shared" si="11"/>
        <v>kadalī</v>
      </c>
      <c r="V12" t="str">
        <f t="shared" si="13"/>
        <v>Sayana</v>
      </c>
      <c r="W12">
        <f t="shared" si="14"/>
        <v>2</v>
      </c>
      <c r="X12">
        <f t="shared" si="14"/>
        <v>1</v>
      </c>
      <c r="Y12">
        <f t="shared" si="14"/>
        <v>3</v>
      </c>
      <c r="Z12">
        <f t="shared" si="14"/>
        <v>2</v>
      </c>
      <c r="AA12">
        <f t="shared" si="14"/>
        <v>1</v>
      </c>
      <c r="AB12">
        <v>5</v>
      </c>
      <c r="AD12" t="s">
        <v>103</v>
      </c>
    </row>
    <row r="13" spans="1:30">
      <c r="A13" t="str">
        <f>TRIM(LEFT(JHora!A38,FIND(" ",JHora!A38)))</f>
        <v>Venus</v>
      </c>
      <c r="B13" s="33" t="str">
        <f>MID(JHora!A38,FIND("'",JHora!A38)-8,2)</f>
        <v>21</v>
      </c>
      <c r="C13" s="33" t="str">
        <f>MID(JHora!A38,FIND("'",JHora!A38)-5,2)</f>
        <v>Ge</v>
      </c>
      <c r="D13" s="34">
        <f>MID(JHora!A38,FIND("'",JHora!A38)-2,2)+VALUE(MID(JHora!A38,FIND("'",JHora!A38)+2,5))/60</f>
        <v>32.436166666666665</v>
      </c>
      <c r="E13" s="35" t="str">
        <f t="shared" si="0"/>
        <v>Punarvasu</v>
      </c>
      <c r="F13" s="42" t="str">
        <f t="shared" si="12"/>
        <v>Mk</v>
      </c>
      <c r="G13" s="37">
        <f t="shared" si="1"/>
        <v>81.540602777777778</v>
      </c>
      <c r="H13" s="37">
        <f t="shared" si="2"/>
        <v>21.540602777777778</v>
      </c>
      <c r="I13" s="38" t="str">
        <f t="shared" si="3"/>
        <v>Jupiter</v>
      </c>
      <c r="J13" s="39">
        <f>MOD(ROUNDUP(G13/13.3333333333,0)*6*ROUNDUP(MOD(G13,30)/3.33333,0)+ROUNDUP(Moon/13.333,0)+ROUNDUP(JanmaGhatika,0)+ROUNDUP(Lagna/30,0)+11,12)+1</f>
        <v>11</v>
      </c>
      <c r="K13" s="30" t="b">
        <f>NOT(ISERROR(SEARCH("(R)",JHora!A38)))</f>
        <v>0</v>
      </c>
      <c r="L13" s="40">
        <f>ROUNDUP(IF((Moon-G13)&lt;0,-1*(180+(Moon-G13)),Moon-G13)/12,0)</f>
        <v>-13</v>
      </c>
      <c r="M13" s="41" t="str">
        <f>INDEX(Tithi,MOD(ABS(L13),8))</f>
        <v>Jupiter</v>
      </c>
      <c r="N13" t="str">
        <f t="shared" si="4"/>
        <v>raudrī</v>
      </c>
      <c r="O13" t="str">
        <f t="shared" si="5"/>
        <v>रौद्री</v>
      </c>
      <c r="P13" t="str">
        <f t="shared" si="6"/>
        <v xml:space="preserve">udaka </v>
      </c>
      <c r="Q13" t="str">
        <f t="shared" si="7"/>
        <v xml:space="preserve">उदक </v>
      </c>
      <c r="R13" t="str">
        <f t="shared" si="8"/>
        <v>8 s 18:29:14</v>
      </c>
      <c r="S13">
        <f t="shared" si="9"/>
        <v>110</v>
      </c>
      <c r="T13">
        <f t="shared" si="10"/>
        <v>35</v>
      </c>
      <c r="U13" t="str">
        <f t="shared" si="11"/>
        <v>kṣamā</v>
      </c>
      <c r="V13" t="str">
        <f t="shared" si="13"/>
        <v>Kautuka</v>
      </c>
      <c r="W13">
        <f t="shared" si="14"/>
        <v>3</v>
      </c>
      <c r="X13">
        <f t="shared" si="14"/>
        <v>3</v>
      </c>
      <c r="Y13">
        <f t="shared" si="14"/>
        <v>3</v>
      </c>
      <c r="Z13">
        <f t="shared" si="14"/>
        <v>3</v>
      </c>
      <c r="AA13">
        <f t="shared" si="14"/>
        <v>3</v>
      </c>
      <c r="AB13">
        <v>6</v>
      </c>
      <c r="AD13" t="s">
        <v>104</v>
      </c>
    </row>
    <row r="14" spans="1:30">
      <c r="A14" t="str">
        <f>TRIM(LEFT(JHora!A39,FIND(" ",JHora!A39)))</f>
        <v>Saturn</v>
      </c>
      <c r="B14" s="33" t="str">
        <f>MID(JHora!A39,FIND("'",JHora!A39)-8,2)</f>
        <v xml:space="preserve"> 9</v>
      </c>
      <c r="C14" s="33" t="str">
        <f>MID(JHora!A39,FIND("'",JHora!A39)-5,2)</f>
        <v>Ta</v>
      </c>
      <c r="D14" s="34">
        <f>MID(JHora!A39,FIND("'",JHora!A39)-2,2)+VALUE(MID(JHora!A39,FIND("'",JHora!A39)+2,5))/60</f>
        <v>53.112666666666669</v>
      </c>
      <c r="E14" s="35" t="str">
        <f t="shared" si="0"/>
        <v>Kritika</v>
      </c>
      <c r="F14" s="42" t="str">
        <f t="shared" si="12"/>
        <v>PiK</v>
      </c>
      <c r="G14" s="37">
        <f t="shared" si="1"/>
        <v>39.885211111111111</v>
      </c>
      <c r="H14" s="37">
        <f t="shared" si="2"/>
        <v>9.8852111111111114</v>
      </c>
      <c r="I14" s="38" t="str">
        <f t="shared" si="3"/>
        <v>Sun</v>
      </c>
      <c r="J14" s="39">
        <f>MOD(ROUNDUP(G14/13.3333333333,0)*7*ROUNDUP(MOD(G14,30)/3.33333,0)+ROUNDUP(Moon/13.333,0)+ROUNDUP(JanmaGhatika,0)+ROUNDUP(Lagna/30,0)+11,12)+1</f>
        <v>8</v>
      </c>
      <c r="K14" s="30" t="b">
        <f>NOT(ISERROR(SEARCH("(R)",JHora!A39)))</f>
        <v>0</v>
      </c>
      <c r="L14" s="40">
        <f>ROUNDUP(IF((Moon-G14)&lt;0,-1*(180+(Moon-G14)),Moon-G14)/12,0)</f>
        <v>2</v>
      </c>
      <c r="M14" s="41" t="str">
        <f>INDEX(Tithi,MOD(ABS(L14),8))</f>
        <v>Moon</v>
      </c>
      <c r="N14" t="str">
        <f t="shared" si="4"/>
        <v>bālā</v>
      </c>
      <c r="O14" t="str">
        <f t="shared" si="5"/>
        <v>बाला</v>
      </c>
      <c r="P14" t="str">
        <f t="shared" si="6"/>
        <v xml:space="preserve">ahi </v>
      </c>
      <c r="Q14" t="str">
        <f t="shared" si="7"/>
        <v xml:space="preserve">अहि </v>
      </c>
      <c r="R14" t="str">
        <f t="shared" si="8"/>
        <v>3 s 28:37:21</v>
      </c>
      <c r="S14">
        <f t="shared" si="9"/>
        <v>51</v>
      </c>
      <c r="T14">
        <f t="shared" si="10"/>
        <v>100</v>
      </c>
      <c r="U14" t="str">
        <f t="shared" si="11"/>
        <v>sārā</v>
      </c>
      <c r="V14" t="str">
        <f t="shared" si="13"/>
        <v>Aagama</v>
      </c>
      <c r="W14">
        <f t="shared" si="14"/>
        <v>3</v>
      </c>
      <c r="X14">
        <f t="shared" si="14"/>
        <v>3</v>
      </c>
      <c r="Y14">
        <f t="shared" si="14"/>
        <v>3</v>
      </c>
      <c r="Z14">
        <f t="shared" si="14"/>
        <v>3</v>
      </c>
      <c r="AA14">
        <f t="shared" si="14"/>
        <v>3</v>
      </c>
      <c r="AB14">
        <v>7</v>
      </c>
      <c r="AC14">
        <v>3</v>
      </c>
      <c r="AD14" t="s">
        <v>105</v>
      </c>
    </row>
    <row r="15" spans="1:30">
      <c r="A15" t="str">
        <f>TRIM(LEFT(JHora!A40,FIND(" ",JHora!A40)))</f>
        <v>Rahu</v>
      </c>
      <c r="B15" s="33" t="str">
        <f>MID(JHora!A40,FIND("'",JHora!A40)-8,2)</f>
        <v>21</v>
      </c>
      <c r="C15" s="33" t="str">
        <f>MID(JHora!A40,FIND("'",JHora!A40)-5,2)</f>
        <v>Cp</v>
      </c>
      <c r="D15" s="34">
        <f>MID(JHora!A40,FIND("'",JHora!A40)-2,2)+VALUE(MID(JHora!A40,FIND("'",JHora!A40)+2,5))/60</f>
        <v>58.034333333333336</v>
      </c>
      <c r="E15" s="35" t="str">
        <f t="shared" si="0"/>
        <v>Abhijit</v>
      </c>
      <c r="F15" s="42" t="str">
        <f t="shared" si="12"/>
        <v>PuK</v>
      </c>
      <c r="G15" s="37">
        <f t="shared" si="1"/>
        <v>291.96723888888891</v>
      </c>
      <c r="H15" s="37">
        <f>30-(B15+D15/60)</f>
        <v>8.0327611111111104</v>
      </c>
      <c r="I15" s="38" t="str">
        <f t="shared" si="3"/>
        <v>Sun</v>
      </c>
      <c r="J15" s="39">
        <f>MOD(ROUNDUP(G15/13.3333333333,0)*8*ROUNDUP(MOD(G15,30)/3.33333,0)+ROUNDUP(Moon/13.333,0)+ROUNDUP(JanmaGhatika,0)+ROUNDUP(Lagna/30,0)+11,12)+1</f>
        <v>1</v>
      </c>
      <c r="K15" s="30" t="b">
        <f>NOT(ISERROR(SEARCH("(R)",JHora!A40)))</f>
        <v>0</v>
      </c>
      <c r="N15" t="str">
        <f t="shared" si="4"/>
        <v>mātaṅgī</v>
      </c>
      <c r="O15" t="str">
        <f t="shared" si="5"/>
        <v>मातङ्गी</v>
      </c>
      <c r="P15" t="str">
        <f t="shared" si="6"/>
        <v xml:space="preserve">jīva </v>
      </c>
      <c r="Q15" t="str">
        <f t="shared" si="7"/>
        <v xml:space="preserve">जीव </v>
      </c>
      <c r="R15" t="str">
        <f t="shared" si="8"/>
        <v>3 s 06:23:35</v>
      </c>
      <c r="S15">
        <f t="shared" si="9"/>
        <v>40</v>
      </c>
      <c r="T15">
        <f t="shared" si="10"/>
        <v>40</v>
      </c>
      <c r="U15" t="str">
        <f t="shared" si="11"/>
        <v>vikaṭā</v>
      </c>
      <c r="V15" t="str">
        <f t="shared" si="13"/>
        <v>Sayana</v>
      </c>
      <c r="W15">
        <f t="shared" si="14"/>
        <v>1</v>
      </c>
      <c r="X15">
        <f t="shared" si="14"/>
        <v>2</v>
      </c>
      <c r="Y15">
        <f t="shared" si="14"/>
        <v>3</v>
      </c>
      <c r="Z15">
        <f t="shared" si="14"/>
        <v>1</v>
      </c>
      <c r="AA15">
        <f t="shared" si="14"/>
        <v>2</v>
      </c>
      <c r="AB15">
        <v>8</v>
      </c>
      <c r="AD15" t="s">
        <v>106</v>
      </c>
    </row>
    <row r="16" spans="1:30">
      <c r="A16" t="str">
        <f>TRIM(LEFT(JHora!A41,FIND(" ",JHora!A41)))</f>
        <v>Ketu</v>
      </c>
      <c r="B16" s="33" t="str">
        <f>MID(JHora!A41,FIND("'",JHora!A41)-8,2)</f>
        <v>21</v>
      </c>
      <c r="C16" s="33" t="str">
        <f>MID(JHora!A41,FIND("'",JHora!A41)-5,2)</f>
        <v>Cn</v>
      </c>
      <c r="D16" s="34">
        <f>MID(JHora!A41,FIND("'",JHora!A41)-2,2)+VALUE(MID(JHora!A41,FIND("'",JHora!A41)+2,5))/60</f>
        <v>58.034333333333336</v>
      </c>
      <c r="E16" s="35" t="str">
        <f t="shared" si="0"/>
        <v>Ashlesha</v>
      </c>
      <c r="F16" s="36" t="s">
        <v>98</v>
      </c>
      <c r="G16" s="37">
        <f t="shared" si="1"/>
        <v>111.96723888888889</v>
      </c>
      <c r="H16" s="37">
        <f t="shared" ref="H16:H41" si="15">B16+D16/60</f>
        <v>21.96723888888889</v>
      </c>
      <c r="I16" s="38" t="str">
        <f t="shared" si="3"/>
        <v>Merc</v>
      </c>
      <c r="J16" s="39">
        <f>MOD(ROUNDUP(G16/13.3333333333,0)*9*ROUNDUP(MOD(G16,30)/3.33333,0)+ROUNDUP(Moon/13.333,0)+ROUNDUP(JanmaGhatika,0)+ROUNDUP(Lagna/30,0)+11,12)+1</f>
        <v>8</v>
      </c>
      <c r="K16" s="30" t="b">
        <f>NOT(ISERROR(SEARCH("(R)",JHora!A41)))</f>
        <v>0</v>
      </c>
      <c r="N16" t="str">
        <f t="shared" si="4"/>
        <v>vaiṣṇavī</v>
      </c>
      <c r="O16" t="str">
        <f t="shared" si="5"/>
        <v>वैष्णवी</v>
      </c>
      <c r="P16" t="str">
        <f t="shared" si="6"/>
        <v xml:space="preserve">udaka </v>
      </c>
      <c r="Q16" t="str">
        <f t="shared" si="7"/>
        <v xml:space="preserve">उदक </v>
      </c>
      <c r="R16" t="str">
        <f t="shared" si="8"/>
        <v>8 s 23:36:25</v>
      </c>
      <c r="S16">
        <f t="shared" si="9"/>
        <v>111</v>
      </c>
      <c r="T16">
        <f t="shared" si="10"/>
        <v>111</v>
      </c>
      <c r="U16" t="str">
        <f t="shared" si="11"/>
        <v>brahmiḥ</v>
      </c>
      <c r="V16" t="str">
        <f t="shared" si="13"/>
        <v>Aagama</v>
      </c>
      <c r="W16">
        <f t="shared" si="14"/>
        <v>1</v>
      </c>
      <c r="X16">
        <f t="shared" si="14"/>
        <v>2</v>
      </c>
      <c r="Y16">
        <f t="shared" si="14"/>
        <v>3</v>
      </c>
      <c r="Z16">
        <f t="shared" si="14"/>
        <v>1</v>
      </c>
      <c r="AA16">
        <f t="shared" si="14"/>
        <v>2</v>
      </c>
      <c r="AB16">
        <v>9</v>
      </c>
      <c r="AD16" t="s">
        <v>107</v>
      </c>
    </row>
    <row r="17" spans="1:21" ht="12.95" customHeight="1">
      <c r="A17" t="str">
        <f>TRIM(LEFT(JHora!A42,FIND(" ",JHora!A42)))</f>
        <v>Maandi</v>
      </c>
      <c r="B17" s="33" t="str">
        <f>MID(JHora!A42,FIND("'",JHora!A42)-8,2)</f>
        <v xml:space="preserve"> 8</v>
      </c>
      <c r="C17" s="33" t="str">
        <f>MID(JHora!A42,FIND("'",JHora!A42)-5,2)</f>
        <v>Sc</v>
      </c>
      <c r="D17" s="34">
        <f>MID(JHora!A42,FIND("'",JHora!A42)-2,2)+VALUE(MID(JHora!A42,FIND("'",JHora!A42)+2,5))/60</f>
        <v>13.930166666666667</v>
      </c>
      <c r="E17" s="35" t="str">
        <f t="shared" si="0"/>
        <v>Anuradha</v>
      </c>
      <c r="F17" s="36" t="s">
        <v>98</v>
      </c>
      <c r="G17" s="37">
        <f t="shared" si="1"/>
        <v>218.23216944444445</v>
      </c>
      <c r="H17" s="37">
        <f t="shared" si="15"/>
        <v>8.2321694444444447</v>
      </c>
      <c r="I17" s="38" t="str">
        <f t="shared" si="3"/>
        <v>Sat</v>
      </c>
      <c r="J17" s="39"/>
      <c r="N17" t="str">
        <f t="shared" si="4"/>
        <v>mātaṅgī</v>
      </c>
      <c r="O17" t="str">
        <f t="shared" si="5"/>
        <v>मातङ्गी</v>
      </c>
      <c r="P17" t="str">
        <f t="shared" si="6"/>
        <v xml:space="preserve">jīva </v>
      </c>
      <c r="Q17" t="str">
        <f t="shared" si="7"/>
        <v xml:space="preserve">जीव </v>
      </c>
      <c r="R17" t="str">
        <f t="shared" si="8"/>
        <v>3 s 08:47:10</v>
      </c>
      <c r="S17">
        <f t="shared" si="9"/>
        <v>40</v>
      </c>
      <c r="T17">
        <f t="shared" si="10"/>
        <v>111</v>
      </c>
      <c r="U17" t="str">
        <f t="shared" si="11"/>
        <v>brahmiḥ</v>
      </c>
    </row>
    <row r="18" spans="1:21">
      <c r="A18" t="str">
        <f>TRIM(LEFT(JHora!A43,FIND(" ",JHora!A43)))</f>
        <v>Gulika</v>
      </c>
      <c r="B18" s="33" t="str">
        <f>MID(JHora!A43,FIND("'",JHora!A43)-8,2)</f>
        <v>19</v>
      </c>
      <c r="C18" s="33" t="str">
        <f>MID(JHora!A43,FIND("'",JHora!A43)-5,2)</f>
        <v>Sc</v>
      </c>
      <c r="D18" s="34">
        <f>MID(JHora!A43,FIND("'",JHora!A43)-2,2)+VALUE(MID(JHora!A43,FIND("'",JHora!A43)+2,5))/60</f>
        <v>6.2461666666666664</v>
      </c>
      <c r="E18" s="35" t="str">
        <f t="shared" si="0"/>
        <v>Jyeshtha</v>
      </c>
      <c r="F18" s="36" t="s">
        <v>98</v>
      </c>
      <c r="G18" s="37">
        <f t="shared" si="1"/>
        <v>229.10410277777777</v>
      </c>
      <c r="H18" s="37">
        <f t="shared" si="15"/>
        <v>19.104102777777779</v>
      </c>
      <c r="I18" s="38" t="str">
        <f t="shared" si="3"/>
        <v>Merc</v>
      </c>
      <c r="J18" s="39"/>
      <c r="N18" t="str">
        <f t="shared" si="4"/>
        <v>ghorā</v>
      </c>
      <c r="O18" t="str">
        <f t="shared" si="5"/>
        <v>घोरा</v>
      </c>
      <c r="P18" t="str">
        <f t="shared" si="6"/>
        <v xml:space="preserve">vāsava </v>
      </c>
      <c r="Q18" t="str">
        <f t="shared" si="7"/>
        <v xml:space="preserve">वासव </v>
      </c>
      <c r="R18" t="str">
        <f t="shared" si="8"/>
        <v>7 s 19:14:57</v>
      </c>
      <c r="S18">
        <f t="shared" si="9"/>
        <v>97</v>
      </c>
      <c r="T18">
        <f t="shared" si="10"/>
        <v>54</v>
      </c>
      <c r="U18" t="str">
        <f t="shared" si="11"/>
        <v>viṣākhyā</v>
      </c>
    </row>
    <row r="19" spans="1:21">
      <c r="A19" t="str">
        <f>TRIM(LEFT(JHora!A44,FIND(" ",JHora!A44)))</f>
        <v>Bhava</v>
      </c>
      <c r="B19" s="33" t="str">
        <f>MID(JHora!A44,FIND("'",JHora!A44)-8,2)</f>
        <v>19</v>
      </c>
      <c r="C19" s="33" t="str">
        <f>MID(JHora!A44,FIND("'",JHora!A44)-5,2)</f>
        <v>Le</v>
      </c>
      <c r="D19" s="34">
        <f>MID(JHora!A44,FIND("'",JHora!A44)-2,2)+VALUE(MID(JHora!A44,FIND("'",JHora!A44)+2,5))/60</f>
        <v>52.181666666666665</v>
      </c>
      <c r="E19" s="35" t="str">
        <f t="shared" si="0"/>
        <v>Purva Phalguni</v>
      </c>
      <c r="F19" s="36" t="s">
        <v>98</v>
      </c>
      <c r="G19" s="37">
        <f t="shared" si="1"/>
        <v>139.86969444444443</v>
      </c>
      <c r="H19" s="37">
        <f t="shared" si="15"/>
        <v>19.869694444444445</v>
      </c>
      <c r="I19" s="38" t="str">
        <f t="shared" si="3"/>
        <v>Venus</v>
      </c>
      <c r="J19" s="39"/>
      <c r="N19" t="str">
        <f t="shared" si="4"/>
        <v>śacī</v>
      </c>
      <c r="O19" t="str">
        <f t="shared" si="5"/>
        <v>शची</v>
      </c>
      <c r="P19" t="str">
        <f t="shared" si="6"/>
        <v xml:space="preserve">vāsava </v>
      </c>
      <c r="Q19" t="str">
        <f t="shared" si="7"/>
        <v xml:space="preserve">वासव </v>
      </c>
      <c r="R19" t="str">
        <f t="shared" si="8"/>
        <v>7 s 28:26:11</v>
      </c>
      <c r="S19">
        <f t="shared" si="9"/>
        <v>99</v>
      </c>
      <c r="T19">
        <f t="shared" si="10"/>
        <v>52</v>
      </c>
      <c r="U19" t="str">
        <f t="shared" si="11"/>
        <v>kundinī</v>
      </c>
    </row>
    <row r="20" spans="1:21">
      <c r="A20" t="str">
        <f>TRIM(LEFT(JHora!A45,FIND(" ",JHora!A45)))</f>
        <v>Hora</v>
      </c>
      <c r="B20" s="33" t="str">
        <f>MID(JHora!A45,FIND("'",JHora!A45)-8,2)</f>
        <v xml:space="preserve"> 7</v>
      </c>
      <c r="C20" s="33" t="str">
        <f>MID(JHora!A45,FIND("'",JHora!A45)-5,2)</f>
        <v>Li</v>
      </c>
      <c r="D20" s="34">
        <f>MID(JHora!A45,FIND("'",JHora!A45)-2,2)+VALUE(MID(JHora!A45,FIND("'",JHora!A45)+2,5))/60</f>
        <v>20.411333333333332</v>
      </c>
      <c r="E20" s="35" t="str">
        <f t="shared" si="0"/>
        <v>Swati</v>
      </c>
      <c r="F20" s="36" t="s">
        <v>98</v>
      </c>
      <c r="G20" s="37">
        <f t="shared" si="1"/>
        <v>187.34018888888889</v>
      </c>
      <c r="H20" s="37">
        <f t="shared" si="15"/>
        <v>7.3401888888888891</v>
      </c>
      <c r="I20" s="38" t="str">
        <f t="shared" si="3"/>
        <v>Rahu</v>
      </c>
      <c r="J20" s="39"/>
      <c r="M20" s="45"/>
      <c r="N20" t="str">
        <f t="shared" si="4"/>
        <v>vijayā</v>
      </c>
      <c r="O20" t="str">
        <f t="shared" si="5"/>
        <v>विजया</v>
      </c>
      <c r="P20" t="str">
        <f t="shared" si="6"/>
        <v xml:space="preserve">aditi </v>
      </c>
      <c r="Q20" t="str">
        <f t="shared" si="7"/>
        <v xml:space="preserve">अदिति </v>
      </c>
      <c r="R20" t="str">
        <f t="shared" si="8"/>
        <v>2 s 28:04:56</v>
      </c>
      <c r="S20">
        <f t="shared" si="9"/>
        <v>37</v>
      </c>
      <c r="T20">
        <f t="shared" si="10"/>
        <v>37</v>
      </c>
      <c r="U20" t="str">
        <f t="shared" si="11"/>
        <v>durbhagā</v>
      </c>
    </row>
    <row r="21" spans="1:21">
      <c r="A21" t="str">
        <f>TRIM(LEFT(JHora!A46,FIND(" ",JHora!A46)))</f>
        <v>Ghati</v>
      </c>
      <c r="B21" s="33" t="str">
        <f>MID(JHora!A46,FIND("'",JHora!A46)-8,2)</f>
        <v>29</v>
      </c>
      <c r="C21" s="33" t="str">
        <f>MID(JHora!A46,FIND("'",JHora!A46)-5,2)</f>
        <v>Aq</v>
      </c>
      <c r="D21" s="34">
        <f>MID(JHora!A46,FIND("'",JHora!A46)-2,2)+VALUE(MID(JHora!A46,FIND("'",JHora!A46)+2,5))/60</f>
        <v>45.099833333333336</v>
      </c>
      <c r="E21" s="35" t="str">
        <f t="shared" si="0"/>
        <v>Satabishak</v>
      </c>
      <c r="F21" s="36" t="s">
        <v>98</v>
      </c>
      <c r="G21" s="37">
        <f t="shared" si="1"/>
        <v>329.75166388888891</v>
      </c>
      <c r="H21" s="37">
        <f t="shared" si="15"/>
        <v>29.751663888888888</v>
      </c>
      <c r="I21" s="38" t="str">
        <f t="shared" si="3"/>
        <v>Rahu</v>
      </c>
      <c r="J21" s="39"/>
      <c r="N21" t="str">
        <f t="shared" si="4"/>
        <v>sumukhī</v>
      </c>
      <c r="O21" t="str">
        <f t="shared" si="5"/>
        <v>सुमुखी</v>
      </c>
      <c r="P21" t="str">
        <f t="shared" si="6"/>
        <v xml:space="preserve">pūṣā </v>
      </c>
      <c r="Q21" t="str">
        <f t="shared" si="7"/>
        <v xml:space="preserve">पूषा </v>
      </c>
      <c r="R21" t="str">
        <f t="shared" si="8"/>
        <v>11 s 27:01:12</v>
      </c>
      <c r="S21">
        <f t="shared" si="9"/>
        <v>150</v>
      </c>
      <c r="T21">
        <f t="shared" si="10"/>
        <v>1</v>
      </c>
      <c r="U21" t="str">
        <f t="shared" si="11"/>
        <v>vasudhā</v>
      </c>
    </row>
    <row r="22" spans="1:21">
      <c r="A22" t="str">
        <f>TRIM(LEFT(JHora!A47,FIND(" ",JHora!A47)))</f>
        <v>Vighati</v>
      </c>
      <c r="B22" s="33" t="str">
        <f>MID(JHora!A47,FIND("'",JHora!A47)-8,2)</f>
        <v>21</v>
      </c>
      <c r="C22" s="33" t="str">
        <f>MID(JHora!A47,FIND("'",JHora!A47)-5,2)</f>
        <v>Aq</v>
      </c>
      <c r="D22" s="34">
        <f>MID(JHora!A47,FIND("'",JHora!A47)-2,2)+VALUE(MID(JHora!A47,FIND("'",JHora!A47)+2,5))/60</f>
        <v>48.542999999999999</v>
      </c>
      <c r="E22" s="35" t="str">
        <f t="shared" si="0"/>
        <v>Satabishak</v>
      </c>
      <c r="F22" s="36" t="s">
        <v>98</v>
      </c>
      <c r="G22" s="37">
        <f t="shared" si="1"/>
        <v>321.80905000000001</v>
      </c>
      <c r="H22" s="37">
        <f t="shared" si="15"/>
        <v>21.809049999999999</v>
      </c>
      <c r="I22" s="38" t="str">
        <f t="shared" si="3"/>
        <v>Rahu</v>
      </c>
      <c r="J22" s="39"/>
      <c r="N22" t="str">
        <f t="shared" si="4"/>
        <v>raudrī</v>
      </c>
      <c r="O22" t="str">
        <f t="shared" si="5"/>
        <v>रौद्री</v>
      </c>
      <c r="P22" t="str">
        <f t="shared" si="6"/>
        <v xml:space="preserve">udaka </v>
      </c>
      <c r="Q22" t="str">
        <f t="shared" si="7"/>
        <v xml:space="preserve">उदक </v>
      </c>
      <c r="R22" t="str">
        <f t="shared" si="8"/>
        <v>8 s 21:42:31</v>
      </c>
      <c r="S22">
        <f t="shared" si="9"/>
        <v>111</v>
      </c>
      <c r="T22">
        <f t="shared" si="10"/>
        <v>40</v>
      </c>
      <c r="U22" t="str">
        <f t="shared" si="11"/>
        <v>vikaṭā</v>
      </c>
    </row>
    <row r="23" spans="1:21">
      <c r="A23" t="str">
        <f>TRIM(LEFT(JHora!A48,FIND(" ",JHora!A48)))</f>
        <v>Varnada</v>
      </c>
      <c r="B23" s="33" t="str">
        <f>MID(JHora!A48,FIND("'",JHora!A48)-8,2)</f>
        <v>16</v>
      </c>
      <c r="C23" s="33" t="str">
        <f>MID(JHora!A48,FIND("'",JHora!A48)-5,2)</f>
        <v>Pi</v>
      </c>
      <c r="D23" s="34">
        <f>MID(JHora!A48,FIND("'",JHora!A48)-2,2)+VALUE(MID(JHora!A48,FIND("'",JHora!A48)+2,5))/60</f>
        <v>42.691000000000003</v>
      </c>
      <c r="E23" s="35" t="str">
        <f t="shared" si="0"/>
        <v>Uttara Bhadrapad</v>
      </c>
      <c r="F23" s="36" t="s">
        <v>98</v>
      </c>
      <c r="G23" s="37">
        <f t="shared" si="1"/>
        <v>346.71151666666668</v>
      </c>
      <c r="H23" s="37">
        <f t="shared" si="15"/>
        <v>16.711516666666668</v>
      </c>
      <c r="I23" s="38" t="str">
        <f t="shared" si="3"/>
        <v>Sat</v>
      </c>
      <c r="J23" s="39"/>
      <c r="N23" t="str">
        <f t="shared" si="4"/>
        <v>chucchukā</v>
      </c>
      <c r="O23" t="str">
        <f t="shared" si="5"/>
        <v>छुच्छुका</v>
      </c>
      <c r="P23" t="str">
        <f t="shared" si="6"/>
        <v xml:space="preserve">śakrāgni </v>
      </c>
      <c r="Q23" t="str">
        <f t="shared" si="7"/>
        <v xml:space="preserve">शक्राग्नि </v>
      </c>
      <c r="R23" t="str">
        <f t="shared" si="8"/>
        <v>6 s 20:32:18</v>
      </c>
      <c r="S23">
        <f t="shared" si="9"/>
        <v>84</v>
      </c>
      <c r="T23">
        <f t="shared" si="10"/>
        <v>9</v>
      </c>
      <c r="U23" t="str">
        <f t="shared" si="11"/>
        <v>surā</v>
      </c>
    </row>
    <row r="24" spans="1:21">
      <c r="A24" t="str">
        <f>TRIM(LEFT(JHora!A49,FIND(" ",JHora!A49)))</f>
        <v>Sree</v>
      </c>
      <c r="B24" s="33" t="str">
        <f>MID(JHora!A49,FIND("'",JHora!A49)-8,2)</f>
        <v xml:space="preserve"> 8</v>
      </c>
      <c r="C24" s="33" t="str">
        <f>MID(JHora!A49,FIND("'",JHora!A49)-5,2)</f>
        <v>Le</v>
      </c>
      <c r="D24" s="34">
        <f>MID(JHora!A49,FIND("'",JHora!A49)-2,2)+VALUE(MID(JHora!A49,FIND("'",JHora!A49)+2,5))/60</f>
        <v>8.5190000000000001</v>
      </c>
      <c r="E24" s="35" t="str">
        <f t="shared" si="0"/>
        <v>Magha</v>
      </c>
      <c r="F24" s="36" t="s">
        <v>98</v>
      </c>
      <c r="G24" s="37">
        <f t="shared" si="1"/>
        <v>128.14198333333334</v>
      </c>
      <c r="H24" s="37">
        <f t="shared" si="15"/>
        <v>8.141983333333334</v>
      </c>
      <c r="I24" s="38" t="str">
        <f t="shared" si="3"/>
        <v>Ketu</v>
      </c>
      <c r="J24" s="39"/>
      <c r="N24" t="str">
        <f t="shared" si="4"/>
        <v>vimalā</v>
      </c>
      <c r="O24" t="str">
        <f t="shared" si="5"/>
        <v>विमला</v>
      </c>
      <c r="P24" t="str">
        <f t="shared" si="6"/>
        <v xml:space="preserve">jīva </v>
      </c>
      <c r="Q24" t="str">
        <f t="shared" si="7"/>
        <v xml:space="preserve">जीव </v>
      </c>
      <c r="R24" t="str">
        <f t="shared" si="8"/>
        <v>3 s 07:42:14</v>
      </c>
      <c r="S24">
        <f t="shared" si="9"/>
        <v>40</v>
      </c>
      <c r="T24">
        <f t="shared" si="10"/>
        <v>111</v>
      </c>
      <c r="U24" t="str">
        <f t="shared" si="11"/>
        <v>brahmiḥ</v>
      </c>
    </row>
    <row r="25" spans="1:21">
      <c r="A25" t="str">
        <f>TRIM(LEFT(JHora!A50,FIND(" ",JHora!A50)))</f>
        <v>Pranapada</v>
      </c>
      <c r="B25" s="33" t="str">
        <f>MID(JHora!A50,FIND("'",JHora!A50)-8,2)</f>
        <v>21</v>
      </c>
      <c r="C25" s="33" t="str">
        <f>MID(JHora!A50,FIND("'",JHora!A50)-5,2)</f>
        <v>Aq</v>
      </c>
      <c r="D25" s="34">
        <f>MID(JHora!A50,FIND("'",JHora!A50)-2,2)+VALUE(MID(JHora!A50,FIND("'",JHora!A50)+2,5))/60</f>
        <v>48.542999999999999</v>
      </c>
      <c r="E25" s="35" t="str">
        <f t="shared" si="0"/>
        <v>Satabishak</v>
      </c>
      <c r="F25" s="36" t="s">
        <v>98</v>
      </c>
      <c r="G25" s="37">
        <f t="shared" si="1"/>
        <v>321.80905000000001</v>
      </c>
      <c r="H25" s="37">
        <f t="shared" si="15"/>
        <v>21.809049999999999</v>
      </c>
      <c r="I25" s="38" t="str">
        <f t="shared" si="3"/>
        <v>Rahu</v>
      </c>
      <c r="J25" s="39"/>
      <c r="N25" t="str">
        <f t="shared" si="4"/>
        <v>raudrī</v>
      </c>
      <c r="O25" t="str">
        <f t="shared" si="5"/>
        <v>रौद्री</v>
      </c>
      <c r="P25" t="str">
        <f t="shared" si="6"/>
        <v xml:space="preserve">udaka </v>
      </c>
      <c r="Q25" t="str">
        <f t="shared" si="7"/>
        <v xml:space="preserve">उदक </v>
      </c>
      <c r="R25" t="str">
        <f t="shared" si="8"/>
        <v>8 s 21:42:31</v>
      </c>
      <c r="S25">
        <f t="shared" si="9"/>
        <v>111</v>
      </c>
      <c r="T25">
        <f t="shared" si="10"/>
        <v>40</v>
      </c>
      <c r="U25" t="str">
        <f t="shared" si="11"/>
        <v>vikaṭā</v>
      </c>
    </row>
    <row r="26" spans="1:21">
      <c r="A26" t="str">
        <f>TRIM(LEFT(JHora!A51,FIND(" ",JHora!A51)))</f>
        <v>Indu</v>
      </c>
      <c r="B26" s="33" t="str">
        <f>MID(JHora!A51,FIND("'",JHora!A51)-8,2)</f>
        <v>23</v>
      </c>
      <c r="C26" s="33" t="str">
        <f>MID(JHora!A51,FIND("'",JHora!A51)-5,2)</f>
        <v>Sc</v>
      </c>
      <c r="D26" s="34">
        <f>MID(JHora!A51,FIND("'",JHora!A51)-2,2)+VALUE(MID(JHora!A51,FIND("'",JHora!A51)+2,5))/60</f>
        <v>0.95666666666666667</v>
      </c>
      <c r="E26" s="35" t="str">
        <f t="shared" si="0"/>
        <v>Jyeshtha</v>
      </c>
      <c r="F26" s="36" t="s">
        <v>98</v>
      </c>
      <c r="G26" s="37">
        <f t="shared" si="1"/>
        <v>233.01594444444444</v>
      </c>
      <c r="H26" s="37">
        <f t="shared" si="15"/>
        <v>23.015944444444443</v>
      </c>
      <c r="I26" s="38" t="str">
        <f t="shared" si="3"/>
        <v>Merc</v>
      </c>
      <c r="J26" s="39"/>
      <c r="N26" t="str">
        <f t="shared" si="4"/>
        <v>sitā</v>
      </c>
      <c r="O26" t="str">
        <f t="shared" si="5"/>
        <v>सिता</v>
      </c>
      <c r="P26" t="str">
        <f t="shared" si="6"/>
        <v xml:space="preserve">viśve aja </v>
      </c>
      <c r="Q26" t="str">
        <f t="shared" si="7"/>
        <v xml:space="preserve">विश्वे अज </v>
      </c>
      <c r="R26" t="str">
        <f t="shared" si="8"/>
        <v>9 s 06:11:29</v>
      </c>
      <c r="S26">
        <f t="shared" si="9"/>
        <v>116</v>
      </c>
      <c r="T26">
        <f t="shared" si="10"/>
        <v>35</v>
      </c>
      <c r="U26" t="str">
        <f t="shared" si="11"/>
        <v>kṣamā</v>
      </c>
    </row>
    <row r="27" spans="1:21">
      <c r="A27" t="str">
        <f>TRIM(LEFT(JHora!A52,FIND(" ",JHora!A52)))</f>
        <v>Bhrigu</v>
      </c>
      <c r="B27" s="33" t="str">
        <f>MID(JHora!A52,FIND("'",JHora!A52)-8,2)</f>
        <v>22</v>
      </c>
      <c r="C27" s="33" t="str">
        <f>MID(JHora!A52,FIND("'",JHora!A52)-5,2)</f>
        <v>Pi</v>
      </c>
      <c r="D27" s="34">
        <f>MID(JHora!A52,FIND("'",JHora!A52)-2,2)+VALUE(MID(JHora!A52,FIND("'",JHora!A52)+2,5))/60</f>
        <v>29.4955</v>
      </c>
      <c r="E27" s="35" t="str">
        <f t="shared" si="0"/>
        <v>Uttara Bhadrapad</v>
      </c>
      <c r="F27" s="36" t="s">
        <v>98</v>
      </c>
      <c r="G27" s="37">
        <f t="shared" si="1"/>
        <v>352.49159166666669</v>
      </c>
      <c r="H27" s="37">
        <f t="shared" si="15"/>
        <v>22.491591666666668</v>
      </c>
      <c r="I27" s="38" t="str">
        <f t="shared" si="3"/>
        <v>Sat</v>
      </c>
      <c r="J27" s="39"/>
      <c r="N27" t="str">
        <f t="shared" si="4"/>
        <v>vaiṣṇavī</v>
      </c>
      <c r="O27" t="str">
        <f t="shared" si="5"/>
        <v>वैष्णवी</v>
      </c>
      <c r="P27" t="str">
        <f t="shared" si="6"/>
        <v xml:space="preserve">viśve aja </v>
      </c>
      <c r="Q27" t="str">
        <f t="shared" si="7"/>
        <v xml:space="preserve">विश्वे अज </v>
      </c>
      <c r="R27" t="str">
        <f t="shared" si="8"/>
        <v>8 s 29:53:57</v>
      </c>
      <c r="S27">
        <f t="shared" si="9"/>
        <v>113</v>
      </c>
      <c r="T27">
        <f t="shared" si="10"/>
        <v>38</v>
      </c>
      <c r="U27" t="str">
        <f t="shared" si="11"/>
        <v>viśvā</v>
      </c>
    </row>
    <row r="28" spans="1:21">
      <c r="A28" t="str">
        <f>TRIM(LEFT(JHora!A53,FIND(" ",JHora!A53)))</f>
        <v>Dhooma</v>
      </c>
      <c r="B28" s="33" t="str">
        <f>MID(JHora!A53,FIND("'",JHora!A53)-8,2)</f>
        <v>15</v>
      </c>
      <c r="C28" s="33" t="str">
        <f>MID(JHora!A53,FIND("'",JHora!A53)-5,2)</f>
        <v>Sc</v>
      </c>
      <c r="D28" s="34">
        <f>MID(JHora!A53,FIND("'",JHora!A53)-2,2)+VALUE(MID(JHora!A53,FIND("'",JHora!A53)+2,5))/60</f>
        <v>43.952166666666663</v>
      </c>
      <c r="E28" s="35" t="str">
        <f t="shared" si="0"/>
        <v>Anuradha</v>
      </c>
      <c r="F28" s="36" t="s">
        <v>98</v>
      </c>
      <c r="G28" s="37">
        <f t="shared" si="1"/>
        <v>225.7325361111111</v>
      </c>
      <c r="H28" s="37">
        <f t="shared" si="15"/>
        <v>15.732536111111111</v>
      </c>
      <c r="I28" s="38" t="str">
        <f t="shared" si="3"/>
        <v>Sat</v>
      </c>
      <c r="J28" s="39"/>
      <c r="N28" t="str">
        <f t="shared" si="4"/>
        <v>piṅgalā</v>
      </c>
      <c r="O28" t="str">
        <f t="shared" si="5"/>
        <v>पिङ्गला</v>
      </c>
      <c r="P28" t="str">
        <f t="shared" si="6"/>
        <v xml:space="preserve">maruta </v>
      </c>
      <c r="Q28" t="str">
        <f t="shared" si="7"/>
        <v xml:space="preserve">मरुत </v>
      </c>
      <c r="R28" t="str">
        <f t="shared" si="8"/>
        <v>6 s 08:47:26</v>
      </c>
      <c r="S28">
        <f t="shared" si="9"/>
        <v>79</v>
      </c>
      <c r="T28">
        <f t="shared" si="10"/>
        <v>72</v>
      </c>
      <c r="U28" t="str">
        <f t="shared" si="11"/>
        <v>sudhāmṛtāṁśuḥ</v>
      </c>
    </row>
    <row r="29" spans="1:21">
      <c r="A29" t="str">
        <f>TRIM(LEFT(JHora!A54,FIND(" ",JHora!A54)))</f>
        <v>Vyatipata</v>
      </c>
      <c r="B29" s="33" t="str">
        <f>MID(JHora!A54,FIND("'",JHora!A54)-8,2)</f>
        <v>14</v>
      </c>
      <c r="C29" s="33" t="str">
        <f>MID(JHora!A54,FIND("'",JHora!A54)-5,2)</f>
        <v>Le</v>
      </c>
      <c r="D29" s="34">
        <f>MID(JHora!A54,FIND("'",JHora!A54)-2,2)+VALUE(MID(JHora!A54,FIND("'",JHora!A54)+2,5))/60</f>
        <v>16.047833333333333</v>
      </c>
      <c r="E29" s="35" t="str">
        <f t="shared" si="0"/>
        <v>Purva Phalguni</v>
      </c>
      <c r="F29" s="36" t="s">
        <v>98</v>
      </c>
      <c r="G29" s="37">
        <f t="shared" si="1"/>
        <v>134.2674638888889</v>
      </c>
      <c r="H29" s="37">
        <f t="shared" si="15"/>
        <v>14.267463888888889</v>
      </c>
      <c r="I29" s="38" t="str">
        <f t="shared" si="3"/>
        <v>Venus</v>
      </c>
      <c r="J29" s="39"/>
      <c r="N29" t="str">
        <f t="shared" si="4"/>
        <v>śvetā</v>
      </c>
      <c r="O29" t="str">
        <f t="shared" si="5"/>
        <v>श्वेता</v>
      </c>
      <c r="P29" t="str">
        <f t="shared" si="6"/>
        <v xml:space="preserve">arka </v>
      </c>
      <c r="Q29" t="str">
        <f t="shared" si="7"/>
        <v xml:space="preserve">अर्क </v>
      </c>
      <c r="R29" t="str">
        <f t="shared" si="8"/>
        <v>5 s 21:12:34</v>
      </c>
      <c r="S29">
        <f t="shared" si="9"/>
        <v>72</v>
      </c>
      <c r="T29">
        <f t="shared" si="10"/>
        <v>79</v>
      </c>
      <c r="U29" t="str">
        <f t="shared" si="11"/>
        <v>śobhā</v>
      </c>
    </row>
    <row r="30" spans="1:21">
      <c r="A30" t="str">
        <f>TRIM(LEFT(JHora!A55,FIND(" ",JHora!A55)))</f>
        <v>Parivesha</v>
      </c>
      <c r="B30" s="33" t="str">
        <f>MID(JHora!A55,FIND("'",JHora!A55)-8,2)</f>
        <v>14</v>
      </c>
      <c r="C30" s="33" t="str">
        <f>MID(JHora!A55,FIND("'",JHora!A55)-5,2)</f>
        <v>Aq</v>
      </c>
      <c r="D30" s="34">
        <f>MID(JHora!A55,FIND("'",JHora!A55)-2,2)+VALUE(MID(JHora!A55,FIND("'",JHora!A55)+2,5))/60</f>
        <v>16.047833333333333</v>
      </c>
      <c r="E30" s="35" t="str">
        <f t="shared" si="0"/>
        <v>Dhanistha</v>
      </c>
      <c r="F30" s="36" t="s">
        <v>98</v>
      </c>
      <c r="G30" s="37">
        <f t="shared" si="1"/>
        <v>314.26746388888887</v>
      </c>
      <c r="H30" s="37">
        <f t="shared" si="15"/>
        <v>14.267463888888889</v>
      </c>
      <c r="I30" s="38" t="str">
        <f t="shared" si="3"/>
        <v>Mars</v>
      </c>
      <c r="J30" s="39"/>
      <c r="N30" t="str">
        <f t="shared" si="4"/>
        <v>śvetā</v>
      </c>
      <c r="O30" t="str">
        <f t="shared" si="5"/>
        <v>श्वेता</v>
      </c>
      <c r="P30" t="str">
        <f t="shared" si="6"/>
        <v xml:space="preserve">arka </v>
      </c>
      <c r="Q30" t="str">
        <f t="shared" si="7"/>
        <v xml:space="preserve">अर्क </v>
      </c>
      <c r="R30" t="str">
        <f t="shared" si="8"/>
        <v>5 s 21:12:34</v>
      </c>
      <c r="S30">
        <f t="shared" si="9"/>
        <v>72</v>
      </c>
      <c r="T30">
        <f t="shared" si="10"/>
        <v>79</v>
      </c>
      <c r="U30" t="str">
        <f t="shared" si="11"/>
        <v>śobhā</v>
      </c>
    </row>
    <row r="31" spans="1:21">
      <c r="A31" s="46" t="s">
        <v>108</v>
      </c>
      <c r="B31" s="47">
        <f t="shared" ref="B31:B41" si="16">FLOOR(MOD(G31,30),1)</f>
        <v>8</v>
      </c>
      <c r="C31" s="46" t="str">
        <f t="shared" ref="C31:C41" si="17">INDEX(RasiDeg,ROUNDUP(G31/30,0),1)</f>
        <v>Le</v>
      </c>
      <c r="D31" s="47">
        <f t="shared" ref="D31:D41" si="18">ROUND((MOD(G31,30)-B31)*60,1)</f>
        <v>8.5</v>
      </c>
      <c r="E31" s="38" t="str">
        <f t="shared" si="0"/>
        <v>Magha</v>
      </c>
      <c r="F31" s="46"/>
      <c r="G31" s="37">
        <f>MOD(((MOD(G9,StarDeg)/StarDeg)*360)+G7,360)</f>
        <v>128.14201666666656</v>
      </c>
      <c r="H31" s="37">
        <f t="shared" si="15"/>
        <v>8.1416666666666675</v>
      </c>
      <c r="I31" s="38" t="str">
        <f t="shared" si="3"/>
        <v>Ketu</v>
      </c>
    </row>
    <row r="32" spans="1:21">
      <c r="A32" s="46" t="s">
        <v>109</v>
      </c>
      <c r="B32" s="47">
        <f t="shared" si="16"/>
        <v>24</v>
      </c>
      <c r="C32" s="46" t="str">
        <f t="shared" si="17"/>
        <v>Pi</v>
      </c>
      <c r="D32" s="47">
        <f t="shared" si="18"/>
        <v>11.1</v>
      </c>
      <c r="E32" s="38" t="str">
        <f t="shared" si="0"/>
        <v>Uttara Bhadrapad</v>
      </c>
      <c r="F32" s="46"/>
      <c r="G32" s="37">
        <f>MOD(IF(MOD(INT(G7/30)+INT(G18/30),2)=1,(MOD(INT(G7/30),2)*360-G7)+(MOD(INT(G18/30),2)*360-G18),G7+G18),360)</f>
        <v>354.18438055555555</v>
      </c>
      <c r="H32" s="37">
        <f t="shared" si="15"/>
        <v>24.184999999999999</v>
      </c>
      <c r="I32" s="38" t="str">
        <f t="shared" si="3"/>
        <v>Sat</v>
      </c>
    </row>
    <row r="33" spans="1:14">
      <c r="A33" s="46" t="s">
        <v>109</v>
      </c>
      <c r="B33" s="47">
        <f t="shared" si="16"/>
        <v>24</v>
      </c>
      <c r="C33" s="46" t="str">
        <f t="shared" si="17"/>
        <v>Aq</v>
      </c>
      <c r="D33" s="47">
        <f t="shared" si="18"/>
        <v>3.1</v>
      </c>
      <c r="E33" s="38" t="str">
        <f t="shared" si="0"/>
        <v>Satabishak</v>
      </c>
      <c r="F33" s="46"/>
      <c r="G33" s="37">
        <f>M33</f>
        <v>324.05170555555554</v>
      </c>
      <c r="H33" s="37">
        <f t="shared" si="15"/>
        <v>24.051666666666666</v>
      </c>
      <c r="I33" s="38" t="str">
        <f t="shared" si="3"/>
        <v>Rahu</v>
      </c>
      <c r="J33" s="30">
        <f>IF(MOD(INT(Lagna/30),2),360-Lagna,Lagna)</f>
        <v>136.71151666666665</v>
      </c>
      <c r="K33" s="30">
        <f>IF(MOD(INT(HoraLagna/30),2),360-HoraLagna,HoraLagna)</f>
        <v>187.34018888888889</v>
      </c>
      <c r="L33">
        <f>MOD(IF(MOD(INT(J33/30)+INT(K33/30),2),ABS(J33-K33),J33+K33),360)</f>
        <v>324.05170555555554</v>
      </c>
      <c r="M33">
        <f>IF(MOD(INT(L33/30),2),360-L33,L33)</f>
        <v>324.05170555555554</v>
      </c>
    </row>
    <row r="34" spans="1:14">
      <c r="A34" s="37" t="s">
        <v>110</v>
      </c>
      <c r="B34" s="47">
        <f t="shared" si="16"/>
        <v>16</v>
      </c>
      <c r="C34" s="46" t="str">
        <f t="shared" si="17"/>
        <v>Cn</v>
      </c>
      <c r="D34" s="46">
        <f t="shared" si="18"/>
        <v>21</v>
      </c>
      <c r="E34" s="38" t="str">
        <f t="shared" si="0"/>
        <v>Pushya</v>
      </c>
      <c r="F34" s="46"/>
      <c r="G34" s="37">
        <f>MOD(MoonDeg+4*StarDeg,360)</f>
        <v>106.34927777777779</v>
      </c>
      <c r="H34" s="37">
        <f t="shared" si="15"/>
        <v>16.350000000000001</v>
      </c>
      <c r="I34" s="38" t="str">
        <f t="shared" si="3"/>
        <v>Sat</v>
      </c>
    </row>
    <row r="35" spans="1:14">
      <c r="A35" s="46" t="s">
        <v>111</v>
      </c>
      <c r="B35" s="47">
        <f t="shared" si="16"/>
        <v>3</v>
      </c>
      <c r="C35" s="46" t="str">
        <f t="shared" si="17"/>
        <v>Cn</v>
      </c>
      <c r="D35" s="47">
        <f t="shared" si="18"/>
        <v>1</v>
      </c>
      <c r="E35" s="38" t="str">
        <f t="shared" si="0"/>
        <v>Punarvasu</v>
      </c>
      <c r="F35" s="46"/>
      <c r="G35" s="37">
        <f>MOD(MoonDeg+3*StarDeg,360)</f>
        <v>93.015944444444443</v>
      </c>
      <c r="H35" s="37">
        <f t="shared" si="15"/>
        <v>3.0166666666666666</v>
      </c>
      <c r="I35" s="38" t="str">
        <f t="shared" si="3"/>
        <v>Jupiter</v>
      </c>
      <c r="K35" t="s">
        <v>112</v>
      </c>
    </row>
    <row r="36" spans="1:14">
      <c r="A36" s="48" t="s">
        <v>113</v>
      </c>
      <c r="B36" s="49">
        <f t="shared" si="16"/>
        <v>25</v>
      </c>
      <c r="C36" s="48" t="str">
        <f t="shared" si="17"/>
        <v>Le</v>
      </c>
      <c r="D36" s="49">
        <f t="shared" si="18"/>
        <v>24.9</v>
      </c>
      <c r="E36" s="44" t="str">
        <f t="shared" si="0"/>
        <v>Purva Phalguni</v>
      </c>
      <c r="F36" s="48" t="str">
        <f>INDEX(PanchangaYoga,INT((MOD(360+G36,360))*0.075)+1,2)</f>
        <v>Vriddhi</v>
      </c>
      <c r="G36" s="43">
        <f>MOD(SunDeg+MoonDeg,360)</f>
        <v>145.41514722222223</v>
      </c>
      <c r="H36" s="43">
        <f t="shared" si="15"/>
        <v>25.414999999999999</v>
      </c>
      <c r="I36" s="44" t="str">
        <f t="shared" si="3"/>
        <v>Venus</v>
      </c>
      <c r="J36" s="50"/>
      <c r="L36" s="50"/>
    </row>
    <row r="37" spans="1:14">
      <c r="A37" s="48" t="s">
        <v>114</v>
      </c>
      <c r="B37" s="49">
        <f t="shared" si="16"/>
        <v>28</v>
      </c>
      <c r="C37" s="48" t="str">
        <f t="shared" si="17"/>
        <v>Sc</v>
      </c>
      <c r="D37" s="49">
        <f t="shared" si="18"/>
        <v>44.9</v>
      </c>
      <c r="E37" s="44" t="str">
        <f t="shared" si="0"/>
        <v>Jyeshtha</v>
      </c>
      <c r="F37" s="48" t="str">
        <f>INDEX(PanchangaYoga,INT((MOD(360+G37-PushyaDegree,360))*0.075)+1,2)</f>
        <v>Vriddhi</v>
      </c>
      <c r="G37" s="43">
        <f>MOD(SunDeg+MoonDeg+PushyaDegree,360)</f>
        <v>238.74848055555555</v>
      </c>
      <c r="H37" s="43">
        <f t="shared" si="15"/>
        <v>28.748333333333335</v>
      </c>
      <c r="I37" s="44" t="str">
        <f t="shared" si="3"/>
        <v>Merc</v>
      </c>
      <c r="J37" s="10" t="s">
        <v>115</v>
      </c>
      <c r="K37" s="10"/>
      <c r="L37" s="10"/>
      <c r="M37" s="10"/>
      <c r="N37" s="10"/>
    </row>
    <row r="38" spans="1:14">
      <c r="A38" s="48" t="s">
        <v>116</v>
      </c>
      <c r="B38" s="49">
        <f t="shared" si="16"/>
        <v>5</v>
      </c>
      <c r="C38" s="48" t="str">
        <f t="shared" si="17"/>
        <v>Ge</v>
      </c>
      <c r="D38" s="49">
        <f t="shared" si="18"/>
        <v>24.9</v>
      </c>
      <c r="E38" s="44" t="str">
        <f t="shared" si="0"/>
        <v>Mrigashira</v>
      </c>
      <c r="F38" s="48" t="str">
        <f>INDEX(PanchangaYoga,INT(14*StarDeg*0.075)+1,2)</f>
        <v>Vajra</v>
      </c>
      <c r="G38" s="43">
        <f>MOD(YogiDeg+14*StarDeg,360)</f>
        <v>65.415147222222231</v>
      </c>
      <c r="H38" s="43">
        <f t="shared" si="15"/>
        <v>5.415</v>
      </c>
      <c r="I38" s="44" t="str">
        <f t="shared" si="3"/>
        <v>Mars</v>
      </c>
    </row>
    <row r="39" spans="1:14">
      <c r="A39" s="46" t="s">
        <v>117</v>
      </c>
      <c r="B39" s="47">
        <f t="shared" si="16"/>
        <v>24</v>
      </c>
      <c r="C39" s="46" t="str">
        <f t="shared" si="17"/>
        <v>Ar</v>
      </c>
      <c r="D39" s="47">
        <f t="shared" si="18"/>
        <v>22</v>
      </c>
      <c r="E39" s="38" t="str">
        <f t="shared" si="0"/>
        <v>Bharani</v>
      </c>
      <c r="F39" s="46"/>
      <c r="G39" s="37">
        <f>MOD(G8+G15,360)</f>
        <v>24.366441666666674</v>
      </c>
      <c r="H39" s="37">
        <f t="shared" si="15"/>
        <v>24.366666666666667</v>
      </c>
      <c r="I39" s="38" t="str">
        <f t="shared" si="3"/>
        <v>Venus</v>
      </c>
    </row>
    <row r="40" spans="1:14">
      <c r="A40" s="46" t="s">
        <v>118</v>
      </c>
      <c r="B40" s="47">
        <f t="shared" si="16"/>
        <v>12</v>
      </c>
      <c r="C40" s="46" t="str">
        <f t="shared" si="17"/>
        <v>Le</v>
      </c>
      <c r="D40" s="47">
        <f t="shared" si="18"/>
        <v>17.100000000000001</v>
      </c>
      <c r="E40" s="38" t="str">
        <f t="shared" si="0"/>
        <v>Magha</v>
      </c>
      <c r="F40" s="46"/>
      <c r="G40" s="37">
        <f>MOD(G8+G14,360)</f>
        <v>132.28441388888888</v>
      </c>
      <c r="H40" s="37">
        <f t="shared" si="15"/>
        <v>12.285</v>
      </c>
      <c r="I40" s="38" t="str">
        <f t="shared" si="3"/>
        <v>Ketu</v>
      </c>
    </row>
    <row r="41" spans="1:14">
      <c r="A41" s="46" t="s">
        <v>119</v>
      </c>
      <c r="B41" s="47">
        <f t="shared" si="16"/>
        <v>23</v>
      </c>
      <c r="C41" s="46" t="str">
        <f t="shared" si="17"/>
        <v>Vi</v>
      </c>
      <c r="D41" s="47">
        <f t="shared" si="18"/>
        <v>56.4</v>
      </c>
      <c r="E41" s="38" t="str">
        <f t="shared" si="0"/>
        <v>Chitra</v>
      </c>
      <c r="F41" s="46"/>
      <c r="G41" s="37">
        <f>MOD(G8+G13,360)</f>
        <v>173.93980555555555</v>
      </c>
      <c r="H41" s="37">
        <f t="shared" si="15"/>
        <v>23.94</v>
      </c>
      <c r="I41" s="38" t="str">
        <f t="shared" si="3"/>
        <v>Mars</v>
      </c>
      <c r="K41" t="e">
        <f>FIND(" - ",JHora!A32)</f>
        <v>#VALUE!</v>
      </c>
      <c r="L41" t="b">
        <f>ISERR(K41)</f>
        <v>1</v>
      </c>
    </row>
    <row r="42" spans="1:14">
      <c r="A42" s="48" t="s">
        <v>120</v>
      </c>
      <c r="B42" s="9">
        <f>ROUNDUP(G42/12,0)</f>
        <v>-12</v>
      </c>
      <c r="C42" s="9"/>
      <c r="D42" s="9"/>
      <c r="E42" s="44"/>
      <c r="G42" s="43">
        <f>IF((Moon-Sun)&lt;0,-1*(180+(Moon-Sun)),Moon-Sun)</f>
        <v>-140.61674166666666</v>
      </c>
      <c r="H42" s="43"/>
      <c r="I42" s="44" t="str">
        <f>INDEX(Tithi,MOD(ABS(B42),8))</f>
        <v>Mercury</v>
      </c>
      <c r="J42" s="50"/>
      <c r="K42" t="str">
        <f>LEFT(JHora!A33,FIND(" - ",JHora!A33))</f>
        <v xml:space="preserve">Sun </v>
      </c>
    </row>
    <row r="43" spans="1:14">
      <c r="A43" s="48" t="s">
        <v>121</v>
      </c>
      <c r="B43" s="51">
        <f>ROUNDUP(MOD(D50*60,9),0)</f>
        <v>7</v>
      </c>
      <c r="C43" s="8" t="str">
        <f>INDEX(GrahaOrder,B43)</f>
        <v>Saturn</v>
      </c>
      <c r="D43" s="8"/>
      <c r="E43" s="44">
        <f>D50*60/24</f>
        <v>19.779513888897782</v>
      </c>
      <c r="G43" s="43">
        <f>MOD(Lagna*81,360)</f>
        <v>273.63284999999814</v>
      </c>
      <c r="H43" s="43"/>
      <c r="I43" s="44"/>
      <c r="J43" s="50"/>
      <c r="K43" t="str">
        <f>LEFT(JHora!A34,FIND(" - ",JHora!A34))</f>
        <v xml:space="preserve">Moon </v>
      </c>
    </row>
    <row r="44" spans="1:14">
      <c r="A44" s="39" t="s">
        <v>122</v>
      </c>
      <c r="B44" s="7">
        <f>INT(DoB) +MOD(TIMEVALUE(TRIM(MID(JHora!A23,9,14))),1)</f>
        <v>26133.252280092591</v>
      </c>
      <c r="C44" s="7"/>
      <c r="D44" s="7"/>
      <c r="G44" s="37"/>
      <c r="H44" s="37"/>
      <c r="I44" s="38"/>
      <c r="K44" t="str">
        <f>LEFT(JHora!A35,FIND(" - ",JHora!A35))</f>
        <v xml:space="preserve">Mars (R) </v>
      </c>
    </row>
    <row r="45" spans="1:14">
      <c r="A45" s="39" t="s">
        <v>123</v>
      </c>
      <c r="B45" s="7">
        <f>INT(DoB)+MOD(TIMEVALUE(TRIM(MID(JHora!A24,9,18))),1)</f>
        <v>26133.780752314815</v>
      </c>
      <c r="C45" s="7"/>
      <c r="D45" s="7"/>
      <c r="G45" s="37"/>
      <c r="H45" s="37"/>
      <c r="I45" s="38"/>
      <c r="K45" t="str">
        <f>LEFT(JHora!A36,FIND(" - ",JHora!A36))</f>
        <v xml:space="preserve">Mercury </v>
      </c>
    </row>
    <row r="46" spans="1:14">
      <c r="A46" s="39" t="s">
        <v>124</v>
      </c>
      <c r="B46" s="52">
        <f>MOD(DoB-SunRise+6,7)+1</f>
        <v>7.1318634259259852</v>
      </c>
      <c r="G46" s="37"/>
      <c r="H46" s="37"/>
      <c r="I46" s="38"/>
      <c r="K46" t="str">
        <f>LEFT(JHora!A37,FIND(" - ",JHora!A37))</f>
        <v xml:space="preserve">Jupiter (R) </v>
      </c>
    </row>
    <row r="47" spans="1:14">
      <c r="A47" s="39" t="s">
        <v>125</v>
      </c>
      <c r="B47" s="30">
        <f>SunRise+IF(DoB&lt;SunSet,INDEX(Mandi,B46+2,2)/30*D48,D48+INDEX(Mandi,B46+2,2)/30*D49)/60</f>
        <v>26133.287511574072</v>
      </c>
      <c r="C47" t="s">
        <v>126</v>
      </c>
      <c r="D47">
        <f>IF(DoB&lt;(INT(DoB)+SunSet),INDEX(Mandi,B46+2,2)/30*D48,D48+INDEX(Mandi,B46+2,2)/30*D49)</f>
        <v>2.1138888888963265</v>
      </c>
      <c r="E47" t="s">
        <v>127</v>
      </c>
      <c r="G47" s="37"/>
      <c r="H47" s="37"/>
      <c r="I47" s="38"/>
    </row>
    <row r="48" spans="1:14">
      <c r="A48" s="39" t="s">
        <v>128</v>
      </c>
      <c r="B48" s="53">
        <f>(SunSet-SunRise)</f>
        <v>0.52847222222408163</v>
      </c>
      <c r="D48">
        <f>(SunSet-SunRise)*60</f>
        <v>31.708333333444898</v>
      </c>
      <c r="E48" t="s">
        <v>127</v>
      </c>
      <c r="G48" s="37"/>
      <c r="H48" s="37"/>
      <c r="I48" s="38"/>
    </row>
    <row r="49" spans="1:23">
      <c r="A49" s="39" t="s">
        <v>129</v>
      </c>
      <c r="B49" s="53">
        <f>1+B44-B45</f>
        <v>0.47152777777591837</v>
      </c>
      <c r="D49">
        <f>60-D48</f>
        <v>28.291666666555102</v>
      </c>
      <c r="E49" t="s">
        <v>127</v>
      </c>
      <c r="G49" s="37"/>
      <c r="H49" s="37"/>
      <c r="I49" s="38"/>
    </row>
    <row r="50" spans="1:23">
      <c r="A50" s="39" t="s">
        <v>130</v>
      </c>
      <c r="B50" s="54">
        <f>DoB-SunRise</f>
        <v>0.13186342592598521</v>
      </c>
      <c r="C50" s="46" t="s">
        <v>126</v>
      </c>
      <c r="D50" s="55">
        <f>B50*60</f>
        <v>7.9118055555591127</v>
      </c>
      <c r="E50" t="s">
        <v>127</v>
      </c>
      <c r="F50" s="46"/>
      <c r="G50" s="37"/>
      <c r="H50" s="37"/>
      <c r="I50" s="38"/>
    </row>
    <row r="51" spans="1:23">
      <c r="A51" s="39" t="s">
        <v>131</v>
      </c>
      <c r="B51" s="55">
        <f>B50/IF(DayBirth,B48/120,B49/120)</f>
        <v>29.942181340249764</v>
      </c>
      <c r="C51" s="46"/>
      <c r="D51" s="46"/>
      <c r="F51" s="46"/>
      <c r="G51" s="37"/>
      <c r="H51" s="37"/>
      <c r="I51" s="38"/>
    </row>
    <row r="52" spans="1:23">
      <c r="A52" s="29" t="s">
        <v>132</v>
      </c>
      <c r="B52" s="6">
        <f>INT(DoB-AharganaBaseDate+Ahargana)</f>
        <v>714404096234</v>
      </c>
      <c r="C52" s="6"/>
      <c r="D52" s="6"/>
      <c r="E52" t="s">
        <v>133</v>
      </c>
      <c r="F52" s="56">
        <f>B52-INT(B52/7)*7</f>
        <v>3</v>
      </c>
      <c r="G52" s="57"/>
      <c r="H52" s="30"/>
      <c r="I52" s="58"/>
    </row>
    <row r="53" spans="1:23">
      <c r="A53" s="29" t="s">
        <v>134</v>
      </c>
      <c r="B53">
        <f>IF(AND((DoB&gt;SunRise), (DoB&lt;SunSet)),1,0)</f>
        <v>1</v>
      </c>
      <c r="C53" s="27"/>
      <c r="D53" s="27"/>
      <c r="G53" s="30"/>
      <c r="H53" s="30"/>
      <c r="I53" s="58"/>
    </row>
    <row r="54" spans="1:23">
      <c r="A54" s="29" t="s">
        <v>135</v>
      </c>
      <c r="B54" s="59">
        <f>YEAR(C2)+3102</f>
        <v>5073</v>
      </c>
      <c r="C54" t="s">
        <v>136</v>
      </c>
      <c r="D54">
        <f>DoB-"1 Jan 1980"+1822903</f>
        <v>1819815.3841435185</v>
      </c>
      <c r="E54" t="s">
        <v>75</v>
      </c>
    </row>
    <row r="55" spans="1:23">
      <c r="A55" s="29" t="s">
        <v>137</v>
      </c>
      <c r="B55" s="59"/>
    </row>
    <row r="57" spans="1:23">
      <c r="A57" s="60" t="s">
        <v>138</v>
      </c>
      <c r="B57" s="60" t="s">
        <v>139</v>
      </c>
      <c r="C57" s="60" t="s">
        <v>140</v>
      </c>
      <c r="D57" s="60" t="s">
        <v>141</v>
      </c>
      <c r="E57" s="61" t="s">
        <v>142</v>
      </c>
      <c r="F57" s="61" t="s">
        <v>143</v>
      </c>
      <c r="G57" s="60" t="s">
        <v>144</v>
      </c>
      <c r="H57" s="60" t="s">
        <v>145</v>
      </c>
      <c r="I57" s="60" t="s">
        <v>146</v>
      </c>
      <c r="J57" s="60" t="s">
        <v>147</v>
      </c>
      <c r="K57" s="60" t="s">
        <v>148</v>
      </c>
      <c r="L57" s="60" t="s">
        <v>149</v>
      </c>
      <c r="M57" s="60" t="s">
        <v>150</v>
      </c>
      <c r="N57" s="60" t="s">
        <v>151</v>
      </c>
      <c r="O57" s="60" t="s">
        <v>152</v>
      </c>
      <c r="P57" s="60" t="s">
        <v>153</v>
      </c>
      <c r="Q57" s="60" t="s">
        <v>154</v>
      </c>
      <c r="R57" s="60" t="s">
        <v>155</v>
      </c>
      <c r="S57" s="62" t="s">
        <v>156</v>
      </c>
      <c r="T57" s="62"/>
      <c r="U57" s="62"/>
      <c r="V57" s="62"/>
      <c r="W57" s="62"/>
    </row>
    <row r="58" spans="1:23">
      <c r="A58" s="63" t="s">
        <v>157</v>
      </c>
      <c r="B58" s="64">
        <f>Lagna</f>
        <v>136.71151666666665</v>
      </c>
      <c r="C58" s="38" t="str">
        <f t="shared" ref="C58:C68" si="19">INDEX(NakshatraTbl,INT(B58*0.075)+1,1)</f>
        <v>Purva Phalguni</v>
      </c>
      <c r="D58" s="38" t="str">
        <f t="shared" ref="D58:D68" si="20">INDEX(NakshatraTbl,INT(B58*0.075)+1,3)</f>
        <v>Venus</v>
      </c>
      <c r="E58" s="65" t="str">
        <f t="shared" ref="E58:E68" si="21">INDEX(RsTbl,F58)</f>
        <v>Le</v>
      </c>
      <c r="F58" s="66">
        <f t="shared" ref="F58:F68" si="22">INT(B58/30)+1</f>
        <v>5</v>
      </c>
      <c r="G58" s="67">
        <f t="shared" ref="G58:G68" si="23">INT(MOD(FLOOR(MOD(B58,30)/10,1)*120+B58,360)/30)+1</f>
        <v>9</v>
      </c>
      <c r="H58" s="46" t="str">
        <f t="shared" ref="H58:H68" si="24">INDEX(RsTbl,G58)</f>
        <v>Sg</v>
      </c>
      <c r="I58" s="67">
        <f t="shared" ref="I58:I68" si="25">INT(MOD(FLOOR(MOD(B58,30)/7.5,1)*90+B58,360)/30)+1</f>
        <v>11</v>
      </c>
      <c r="J58" s="46" t="str">
        <f t="shared" ref="J58:J68" si="26">INDEX(RsTbl,I58)</f>
        <v>Aq</v>
      </c>
      <c r="K58" s="67">
        <f t="shared" ref="K58:K68" si="27">INT(MOD(B58*7,360)/30)+1</f>
        <v>8</v>
      </c>
      <c r="L58" s="46" t="str">
        <f t="shared" ref="L58:L68" si="28">INDEX(RsTbl,K58)</f>
        <v>Sc</v>
      </c>
      <c r="M58" s="67">
        <f t="shared" ref="M58:M68" si="29">INT(MOD(B58*9,360)/30)+1</f>
        <v>6</v>
      </c>
      <c r="N58" s="46" t="str">
        <f t="shared" ref="N58:N68" si="30">INDEX(RsTbl,M58)</f>
        <v>Vi</v>
      </c>
      <c r="O58" s="67">
        <f t="shared" ref="O58:O68" si="31">INT(MOD(B58*10+INT(B58/30)*30+MOD(INT(B58/30),2)*270,360)/30)+1</f>
        <v>2</v>
      </c>
      <c r="P58" s="46" t="str">
        <f t="shared" ref="P58:P68" si="32">INDEX(RsTbl,O58)</f>
        <v>Ta</v>
      </c>
      <c r="Q58" s="67">
        <f t="shared" ref="Q58:Q68" si="33">INT(MOD((MOD(B58,30)/2.5)*30+INT(B58/30)*30,360)/30)+1</f>
        <v>11</v>
      </c>
      <c r="R58" s="46" t="str">
        <f t="shared" ref="R58:R68" si="34">INDEX(RsTbl,Q58)</f>
        <v>Aq</v>
      </c>
      <c r="S58" s="68">
        <f t="shared" ref="S58:S68" si="35">(IF(MOD(F58,2),1,-1)*ROUNDUP(F58/2,0))</f>
        <v>3</v>
      </c>
      <c r="T58" s="68"/>
      <c r="U58" s="68"/>
      <c r="V58" s="68"/>
      <c r="W58" s="68"/>
    </row>
    <row r="59" spans="1:23">
      <c r="A59" s="63" t="s">
        <v>158</v>
      </c>
      <c r="B59" s="37">
        <f>Sun</f>
        <v>92.399202777777774</v>
      </c>
      <c r="C59" s="38" t="str">
        <f t="shared" si="19"/>
        <v>Punarvasu</v>
      </c>
      <c r="D59" s="38" t="str">
        <f t="shared" si="20"/>
        <v>Jupiter</v>
      </c>
      <c r="E59" s="65" t="str">
        <f t="shared" si="21"/>
        <v>Cn</v>
      </c>
      <c r="F59" s="66">
        <f t="shared" si="22"/>
        <v>4</v>
      </c>
      <c r="G59" s="67">
        <f t="shared" si="23"/>
        <v>4</v>
      </c>
      <c r="H59" s="46" t="str">
        <f t="shared" si="24"/>
        <v>Cn</v>
      </c>
      <c r="I59" s="67">
        <f t="shared" si="25"/>
        <v>4</v>
      </c>
      <c r="J59" s="46" t="str">
        <f t="shared" si="26"/>
        <v>Cn</v>
      </c>
      <c r="K59" s="67">
        <f t="shared" si="27"/>
        <v>10</v>
      </c>
      <c r="L59" s="46" t="str">
        <f t="shared" si="28"/>
        <v>Cp</v>
      </c>
      <c r="M59" s="67">
        <f t="shared" si="29"/>
        <v>4</v>
      </c>
      <c r="N59" s="46" t="str">
        <f t="shared" si="30"/>
        <v>Cn</v>
      </c>
      <c r="O59" s="67">
        <f t="shared" si="31"/>
        <v>7</v>
      </c>
      <c r="P59" s="46" t="str">
        <f t="shared" si="32"/>
        <v>Li</v>
      </c>
      <c r="Q59" s="67">
        <f t="shared" si="33"/>
        <v>4</v>
      </c>
      <c r="R59" s="46" t="str">
        <f t="shared" si="34"/>
        <v>Cn</v>
      </c>
      <c r="S59" s="68">
        <f t="shared" si="35"/>
        <v>-2</v>
      </c>
      <c r="T59" s="68"/>
      <c r="U59" s="68"/>
      <c r="V59" s="68"/>
      <c r="W59" s="68"/>
    </row>
    <row r="60" spans="1:23">
      <c r="A60" s="63" t="s">
        <v>159</v>
      </c>
      <c r="B60" s="37">
        <f>Moon</f>
        <v>53.015944444444443</v>
      </c>
      <c r="C60" s="38" t="str">
        <f t="shared" si="19"/>
        <v>Rohini</v>
      </c>
      <c r="D60" s="38" t="str">
        <f t="shared" si="20"/>
        <v>Moon</v>
      </c>
      <c r="E60" s="65" t="str">
        <f t="shared" si="21"/>
        <v>Ta</v>
      </c>
      <c r="F60" s="66">
        <f t="shared" si="22"/>
        <v>2</v>
      </c>
      <c r="G60" s="67">
        <f t="shared" si="23"/>
        <v>10</v>
      </c>
      <c r="H60" s="46" t="str">
        <f t="shared" si="24"/>
        <v>Cp</v>
      </c>
      <c r="I60" s="67">
        <f t="shared" si="25"/>
        <v>11</v>
      </c>
      <c r="J60" s="46" t="str">
        <f t="shared" si="26"/>
        <v>Aq</v>
      </c>
      <c r="K60" s="67">
        <f t="shared" si="27"/>
        <v>1</v>
      </c>
      <c r="L60" s="46" t="str">
        <f t="shared" si="28"/>
        <v>Ar</v>
      </c>
      <c r="M60" s="67">
        <f t="shared" si="29"/>
        <v>4</v>
      </c>
      <c r="N60" s="46" t="str">
        <f t="shared" si="30"/>
        <v>Cn</v>
      </c>
      <c r="O60" s="67">
        <f t="shared" si="31"/>
        <v>4</v>
      </c>
      <c r="P60" s="46" t="str">
        <f t="shared" si="32"/>
        <v>Cn</v>
      </c>
      <c r="Q60" s="67">
        <f t="shared" si="33"/>
        <v>11</v>
      </c>
      <c r="R60" s="46" t="str">
        <f t="shared" si="34"/>
        <v>Aq</v>
      </c>
      <c r="S60" s="68">
        <f t="shared" si="35"/>
        <v>-1</v>
      </c>
      <c r="T60" s="68"/>
      <c r="U60" s="68"/>
      <c r="V60" s="68"/>
      <c r="W60" s="68"/>
    </row>
    <row r="61" spans="1:23">
      <c r="A61" s="63" t="s">
        <v>160</v>
      </c>
      <c r="B61" s="64">
        <f>Mars</f>
        <v>298.10866388888888</v>
      </c>
      <c r="C61" s="38" t="str">
        <f t="shared" si="19"/>
        <v>Shravan</v>
      </c>
      <c r="D61" s="38" t="str">
        <f t="shared" si="20"/>
        <v>Moon</v>
      </c>
      <c r="E61" s="65" t="str">
        <f t="shared" si="21"/>
        <v>Cp</v>
      </c>
      <c r="F61" s="66">
        <f t="shared" si="22"/>
        <v>10</v>
      </c>
      <c r="G61" s="67">
        <f t="shared" si="23"/>
        <v>6</v>
      </c>
      <c r="H61" s="46" t="str">
        <f t="shared" si="24"/>
        <v>Vi</v>
      </c>
      <c r="I61" s="67">
        <f t="shared" si="25"/>
        <v>7</v>
      </c>
      <c r="J61" s="46" t="str">
        <f t="shared" si="26"/>
        <v>Li</v>
      </c>
      <c r="K61" s="67">
        <f t="shared" si="27"/>
        <v>10</v>
      </c>
      <c r="L61" s="46" t="str">
        <f t="shared" si="28"/>
        <v>Cp</v>
      </c>
      <c r="M61" s="67">
        <f t="shared" si="29"/>
        <v>6</v>
      </c>
      <c r="N61" s="46" t="str">
        <f t="shared" si="30"/>
        <v>Vi</v>
      </c>
      <c r="O61" s="67">
        <f t="shared" si="31"/>
        <v>10</v>
      </c>
      <c r="P61" s="46" t="str">
        <f t="shared" si="32"/>
        <v>Cp</v>
      </c>
      <c r="Q61" s="67">
        <f t="shared" si="33"/>
        <v>9</v>
      </c>
      <c r="R61" s="46" t="str">
        <f t="shared" si="34"/>
        <v>Sg</v>
      </c>
      <c r="S61" s="68">
        <f t="shared" si="35"/>
        <v>-5</v>
      </c>
      <c r="T61" s="68"/>
      <c r="U61" s="68"/>
      <c r="V61" s="68"/>
      <c r="W61" s="68"/>
    </row>
    <row r="62" spans="1:23">
      <c r="A62" s="63" t="s">
        <v>161</v>
      </c>
      <c r="B62" s="37">
        <f>Mercury</f>
        <v>117.12978611111112</v>
      </c>
      <c r="C62" s="38" t="str">
        <f t="shared" si="19"/>
        <v>Ashlesha</v>
      </c>
      <c r="D62" s="38" t="str">
        <f t="shared" si="20"/>
        <v>Merc</v>
      </c>
      <c r="E62" s="65" t="str">
        <f t="shared" si="21"/>
        <v>Cn</v>
      </c>
      <c r="F62" s="66">
        <f t="shared" si="22"/>
        <v>4</v>
      </c>
      <c r="G62" s="67">
        <f t="shared" si="23"/>
        <v>12</v>
      </c>
      <c r="H62" s="46" t="str">
        <f t="shared" si="24"/>
        <v>Pi</v>
      </c>
      <c r="I62" s="67">
        <f t="shared" si="25"/>
        <v>1</v>
      </c>
      <c r="J62" s="46" t="str">
        <f t="shared" si="26"/>
        <v>Ar</v>
      </c>
      <c r="K62" s="67">
        <f t="shared" si="27"/>
        <v>4</v>
      </c>
      <c r="L62" s="46" t="str">
        <f t="shared" si="28"/>
        <v>Cn</v>
      </c>
      <c r="M62" s="67">
        <f t="shared" si="29"/>
        <v>12</v>
      </c>
      <c r="N62" s="46" t="str">
        <f t="shared" si="30"/>
        <v>Pi</v>
      </c>
      <c r="O62" s="67">
        <f t="shared" si="31"/>
        <v>4</v>
      </c>
      <c r="P62" s="46" t="str">
        <f t="shared" si="32"/>
        <v>Cn</v>
      </c>
      <c r="Q62" s="67">
        <f t="shared" si="33"/>
        <v>2</v>
      </c>
      <c r="R62" s="46" t="str">
        <f t="shared" si="34"/>
        <v>Ta</v>
      </c>
      <c r="S62" s="68">
        <f t="shared" si="35"/>
        <v>-2</v>
      </c>
      <c r="T62" s="68"/>
      <c r="U62" s="68"/>
      <c r="V62" s="68"/>
      <c r="W62" s="68"/>
    </row>
    <row r="63" spans="1:23">
      <c r="A63" s="63" t="s">
        <v>162</v>
      </c>
      <c r="B63" s="64">
        <f>Jupiter</f>
        <v>213.19717499999999</v>
      </c>
      <c r="C63" s="38" t="str">
        <f t="shared" si="19"/>
        <v>Vishakha</v>
      </c>
      <c r="D63" s="38" t="str">
        <f t="shared" si="20"/>
        <v>Jupiter</v>
      </c>
      <c r="E63" s="65" t="str">
        <f t="shared" si="21"/>
        <v>Sc</v>
      </c>
      <c r="F63" s="66">
        <f t="shared" si="22"/>
        <v>8</v>
      </c>
      <c r="G63" s="67">
        <f t="shared" si="23"/>
        <v>8</v>
      </c>
      <c r="H63" s="46" t="str">
        <f t="shared" si="24"/>
        <v>Sc</v>
      </c>
      <c r="I63" s="67">
        <f t="shared" si="25"/>
        <v>8</v>
      </c>
      <c r="J63" s="46" t="str">
        <f t="shared" si="26"/>
        <v>Sc</v>
      </c>
      <c r="K63" s="67">
        <f t="shared" si="27"/>
        <v>2</v>
      </c>
      <c r="L63" s="46" t="str">
        <f t="shared" si="28"/>
        <v>Ta</v>
      </c>
      <c r="M63" s="67">
        <f t="shared" si="29"/>
        <v>4</v>
      </c>
      <c r="N63" s="46" t="str">
        <f t="shared" si="30"/>
        <v>Cn</v>
      </c>
      <c r="O63" s="67">
        <f t="shared" si="31"/>
        <v>4</v>
      </c>
      <c r="P63" s="46" t="str">
        <f t="shared" si="32"/>
        <v>Cn</v>
      </c>
      <c r="Q63" s="67">
        <f t="shared" si="33"/>
        <v>9</v>
      </c>
      <c r="R63" s="46" t="str">
        <f t="shared" si="34"/>
        <v>Sg</v>
      </c>
      <c r="S63" s="68">
        <f t="shared" si="35"/>
        <v>-4</v>
      </c>
      <c r="T63" s="68"/>
      <c r="U63" s="68"/>
      <c r="V63" s="68"/>
      <c r="W63" s="68"/>
    </row>
    <row r="64" spans="1:23">
      <c r="A64" s="63" t="s">
        <v>163</v>
      </c>
      <c r="B64" s="37">
        <f>Venus</f>
        <v>81.540602777777778</v>
      </c>
      <c r="C64" s="38" t="str">
        <f t="shared" si="19"/>
        <v>Punarvasu</v>
      </c>
      <c r="D64" s="38" t="str">
        <f t="shared" si="20"/>
        <v>Jupiter</v>
      </c>
      <c r="E64" s="65" t="str">
        <f t="shared" si="21"/>
        <v>Ge</v>
      </c>
      <c r="F64" s="66">
        <f t="shared" si="22"/>
        <v>3</v>
      </c>
      <c r="G64" s="67">
        <f t="shared" si="23"/>
        <v>11</v>
      </c>
      <c r="H64" s="46" t="str">
        <f t="shared" si="24"/>
        <v>Aq</v>
      </c>
      <c r="I64" s="67">
        <f t="shared" si="25"/>
        <v>9</v>
      </c>
      <c r="J64" s="46" t="str">
        <f t="shared" si="26"/>
        <v>Sg</v>
      </c>
      <c r="K64" s="67">
        <f t="shared" si="27"/>
        <v>8</v>
      </c>
      <c r="L64" s="46" t="str">
        <f t="shared" si="28"/>
        <v>Sc</v>
      </c>
      <c r="M64" s="67">
        <f t="shared" si="29"/>
        <v>1</v>
      </c>
      <c r="N64" s="46" t="str">
        <f t="shared" si="30"/>
        <v>Ar</v>
      </c>
      <c r="O64" s="67">
        <f t="shared" si="31"/>
        <v>6</v>
      </c>
      <c r="P64" s="46" t="str">
        <f t="shared" si="32"/>
        <v>Vi</v>
      </c>
      <c r="Q64" s="67">
        <f t="shared" si="33"/>
        <v>11</v>
      </c>
      <c r="R64" s="46" t="str">
        <f t="shared" si="34"/>
        <v>Aq</v>
      </c>
      <c r="S64" s="68">
        <f t="shared" si="35"/>
        <v>2</v>
      </c>
      <c r="T64" s="68"/>
      <c r="U64" s="68"/>
      <c r="V64" s="68"/>
      <c r="W64" s="68"/>
    </row>
    <row r="65" spans="1:26">
      <c r="A65" s="63" t="s">
        <v>164</v>
      </c>
      <c r="B65" s="64">
        <f>Saturn</f>
        <v>39.885211111111111</v>
      </c>
      <c r="C65" s="38" t="str">
        <f t="shared" si="19"/>
        <v>Kritika</v>
      </c>
      <c r="D65" s="38" t="str">
        <f t="shared" si="20"/>
        <v>Sun</v>
      </c>
      <c r="E65" s="65" t="str">
        <f t="shared" si="21"/>
        <v>Ta</v>
      </c>
      <c r="F65" s="66">
        <f t="shared" si="22"/>
        <v>2</v>
      </c>
      <c r="G65" s="67">
        <f t="shared" si="23"/>
        <v>2</v>
      </c>
      <c r="H65" s="46" t="str">
        <f t="shared" si="24"/>
        <v>Ta</v>
      </c>
      <c r="I65" s="67">
        <f t="shared" si="25"/>
        <v>5</v>
      </c>
      <c r="J65" s="46" t="str">
        <f t="shared" si="26"/>
        <v>Le</v>
      </c>
      <c r="K65" s="67">
        <f t="shared" si="27"/>
        <v>10</v>
      </c>
      <c r="L65" s="46" t="str">
        <f t="shared" si="28"/>
        <v>Cp</v>
      </c>
      <c r="M65" s="67">
        <f t="shared" si="29"/>
        <v>12</v>
      </c>
      <c r="N65" s="46" t="str">
        <f t="shared" si="30"/>
        <v>Pi</v>
      </c>
      <c r="O65" s="67">
        <f t="shared" si="31"/>
        <v>12</v>
      </c>
      <c r="P65" s="46" t="str">
        <f t="shared" si="32"/>
        <v>Pi</v>
      </c>
      <c r="Q65" s="67">
        <f t="shared" si="33"/>
        <v>5</v>
      </c>
      <c r="R65" s="46" t="str">
        <f t="shared" si="34"/>
        <v>Le</v>
      </c>
      <c r="S65" s="68">
        <f t="shared" si="35"/>
        <v>-1</v>
      </c>
      <c r="T65" s="68"/>
      <c r="U65" s="68"/>
      <c r="V65" s="68"/>
      <c r="W65" s="68"/>
    </row>
    <row r="66" spans="1:26">
      <c r="A66" s="63" t="s">
        <v>165</v>
      </c>
      <c r="B66" s="64">
        <f>Rahu</f>
        <v>291.96723888888891</v>
      </c>
      <c r="C66" s="38" t="str">
        <f t="shared" si="19"/>
        <v>Abhijit</v>
      </c>
      <c r="D66" s="38" t="str">
        <f t="shared" si="20"/>
        <v>Sun</v>
      </c>
      <c r="E66" s="65" t="str">
        <f t="shared" si="21"/>
        <v>Cp</v>
      </c>
      <c r="F66" s="66">
        <f t="shared" si="22"/>
        <v>10</v>
      </c>
      <c r="G66" s="67">
        <f t="shared" si="23"/>
        <v>6</v>
      </c>
      <c r="H66" s="46" t="str">
        <f t="shared" si="24"/>
        <v>Vi</v>
      </c>
      <c r="I66" s="67">
        <f t="shared" si="25"/>
        <v>4</v>
      </c>
      <c r="J66" s="46" t="str">
        <f t="shared" si="26"/>
        <v>Cn</v>
      </c>
      <c r="K66" s="67">
        <f t="shared" si="27"/>
        <v>9</v>
      </c>
      <c r="L66" s="46" t="str">
        <f t="shared" si="28"/>
        <v>Sg</v>
      </c>
      <c r="M66" s="67">
        <f t="shared" si="29"/>
        <v>4</v>
      </c>
      <c r="N66" s="46" t="str">
        <f t="shared" si="30"/>
        <v>Cn</v>
      </c>
      <c r="O66" s="67">
        <f t="shared" si="31"/>
        <v>8</v>
      </c>
      <c r="P66" s="46" t="str">
        <f t="shared" si="32"/>
        <v>Sc</v>
      </c>
      <c r="Q66" s="67">
        <f t="shared" si="33"/>
        <v>6</v>
      </c>
      <c r="R66" s="46" t="str">
        <f t="shared" si="34"/>
        <v>Vi</v>
      </c>
      <c r="S66" s="68">
        <f t="shared" si="35"/>
        <v>-5</v>
      </c>
      <c r="T66" s="68"/>
      <c r="U66" s="68"/>
      <c r="V66" s="68"/>
      <c r="W66" s="68"/>
    </row>
    <row r="67" spans="1:26">
      <c r="A67" s="63" t="s">
        <v>166</v>
      </c>
      <c r="B67" s="64">
        <f>Ketu</f>
        <v>111.96723888888889</v>
      </c>
      <c r="C67" s="38" t="str">
        <f t="shared" si="19"/>
        <v>Ashlesha</v>
      </c>
      <c r="D67" s="38" t="str">
        <f t="shared" si="20"/>
        <v>Merc</v>
      </c>
      <c r="E67" s="65" t="str">
        <f t="shared" si="21"/>
        <v>Cn</v>
      </c>
      <c r="F67" s="66">
        <f t="shared" si="22"/>
        <v>4</v>
      </c>
      <c r="G67" s="67">
        <f t="shared" si="23"/>
        <v>12</v>
      </c>
      <c r="H67" s="46" t="str">
        <f t="shared" si="24"/>
        <v>Pi</v>
      </c>
      <c r="I67" s="67">
        <f t="shared" si="25"/>
        <v>10</v>
      </c>
      <c r="J67" s="46" t="str">
        <f t="shared" si="26"/>
        <v>Cp</v>
      </c>
      <c r="K67" s="67">
        <f t="shared" si="27"/>
        <v>3</v>
      </c>
      <c r="L67" s="46" t="str">
        <f t="shared" si="28"/>
        <v>Ge</v>
      </c>
      <c r="M67" s="67">
        <f t="shared" si="29"/>
        <v>10</v>
      </c>
      <c r="N67" s="46" t="str">
        <f t="shared" si="30"/>
        <v>Cp</v>
      </c>
      <c r="O67" s="67">
        <f t="shared" si="31"/>
        <v>2</v>
      </c>
      <c r="P67" s="46" t="str">
        <f t="shared" si="32"/>
        <v>Ta</v>
      </c>
      <c r="Q67" s="67">
        <f t="shared" si="33"/>
        <v>12</v>
      </c>
      <c r="R67" s="46" t="str">
        <f t="shared" si="34"/>
        <v>Pi</v>
      </c>
      <c r="S67" s="68">
        <f t="shared" si="35"/>
        <v>-2</v>
      </c>
      <c r="T67" s="68"/>
      <c r="U67" s="68"/>
      <c r="V67" s="68"/>
      <c r="W67" s="68"/>
    </row>
    <row r="68" spans="1:26">
      <c r="A68" s="63" t="s">
        <v>167</v>
      </c>
      <c r="B68" s="37">
        <f>Basics!G32</f>
        <v>354.18438055555555</v>
      </c>
      <c r="C68" s="38" t="str">
        <f t="shared" si="19"/>
        <v>Uttara Bhadrapad</v>
      </c>
      <c r="D68" s="38" t="str">
        <f t="shared" si="20"/>
        <v>Sat</v>
      </c>
      <c r="E68" s="69" t="str">
        <f t="shared" si="21"/>
        <v>Pi</v>
      </c>
      <c r="F68" s="70">
        <f t="shared" si="22"/>
        <v>12</v>
      </c>
      <c r="G68" s="67">
        <f t="shared" si="23"/>
        <v>8</v>
      </c>
      <c r="H68" s="46" t="str">
        <f t="shared" si="24"/>
        <v>Sc</v>
      </c>
      <c r="I68" s="67">
        <f t="shared" si="25"/>
        <v>9</v>
      </c>
      <c r="J68" s="46" t="str">
        <f t="shared" si="26"/>
        <v>Sg</v>
      </c>
      <c r="K68" s="67">
        <f t="shared" si="27"/>
        <v>11</v>
      </c>
      <c r="L68" s="46" t="str">
        <f t="shared" si="28"/>
        <v>Aq</v>
      </c>
      <c r="M68" s="67">
        <f t="shared" si="29"/>
        <v>11</v>
      </c>
      <c r="N68" s="46" t="str">
        <f t="shared" si="30"/>
        <v>Aq</v>
      </c>
      <c r="O68" s="67">
        <f t="shared" si="31"/>
        <v>7</v>
      </c>
      <c r="P68" s="46" t="str">
        <f t="shared" si="32"/>
        <v>Li</v>
      </c>
      <c r="Q68" s="67">
        <f t="shared" si="33"/>
        <v>9</v>
      </c>
      <c r="R68" s="46" t="str">
        <f t="shared" si="34"/>
        <v>Sg</v>
      </c>
      <c r="S68" s="68">
        <f t="shared" si="35"/>
        <v>-6</v>
      </c>
      <c r="T68" s="68"/>
      <c r="U68" s="68"/>
      <c r="V68" s="68"/>
      <c r="W68" s="68"/>
    </row>
    <row r="69" spans="1:26">
      <c r="D69" s="68"/>
      <c r="E69" s="68"/>
      <c r="F69" s="68"/>
      <c r="G69" s="68"/>
      <c r="H69" s="68"/>
      <c r="I69" s="68"/>
      <c r="J69" s="68"/>
      <c r="K69" s="68"/>
      <c r="L69" s="68"/>
      <c r="M69" s="68"/>
      <c r="N69" s="68"/>
      <c r="O69" s="68"/>
      <c r="P69" s="68"/>
      <c r="Q69" s="68"/>
      <c r="R69" s="68"/>
      <c r="S69" s="68"/>
      <c r="T69" s="68"/>
      <c r="U69" s="68"/>
      <c r="V69" s="68"/>
      <c r="W69" s="68"/>
      <c r="X69" s="68"/>
      <c r="Y69" s="68"/>
      <c r="Z69" s="68"/>
    </row>
    <row r="70" spans="1:26" ht="45">
      <c r="E70" s="71"/>
      <c r="F70" s="72" t="str">
        <f>IF((M67-1)=11,$A$67&amp;"/ ","")&amp;IF((M60-1)=11,$A$60&amp;"/ ","")&amp;IF((M58-1)=11,$A$58&amp;"/ ","")&amp;IF((M59-1)=11,$A$59&amp;"/ ","")&amp;IF((M66-1)=11,$A$66&amp;"/ ","")&amp;IF((M61-1)=11,$A$61&amp;"/ ","")&amp;IF((M65-1)=11,$A$65&amp;"/ ","")&amp;IF((M62-1)=11,$A$62&amp;"/ ","")&amp;IF((M63-1)=11,$A$63&amp;"/ ","")&amp;IF((M64-1)=11,$A$64&amp;"/ ","")</f>
        <v xml:space="preserve">Saturn/ Mercury/ </v>
      </c>
      <c r="G70" s="72" t="str">
        <f>IF((M67-1)=0,$A$67&amp;"/ ","")&amp;IF((M60-1)=0,$A$60&amp;"/ ","")&amp;IF((M58-1)=0,$A$58&amp;"/ ","")&amp;IF((M59-1)=0,$A$59&amp;"/ ","")&amp;IF((M66-1)=0,$A$66&amp;"/ ","")&amp;IF((M61-1)=0,$A$61&amp;"/ ","")&amp;IF((M65-1)=0,$A$65&amp;"/ ","")&amp;IF((M62-1)=0,$A$62&amp;"/ ","")&amp;IF((M63-1)=0,$A$63&amp;"/ ","")&amp;IF((M64-1)=0,$A$64&amp;"/ ","")</f>
        <v xml:space="preserve">Venus/ </v>
      </c>
      <c r="H70" s="72" t="str">
        <f>IF((M67-1)=1,$A$67&amp;"/ ","")&amp;IF((M60-1)=1,$A$60&amp;"/ ","")&amp;IF((M58-1)=1,$A$58&amp;"/ ","")&amp;IF((M59-1)=1,$A$59&amp;"/ ","")&amp;IF((M66-1)=1,$A$66&amp;"/ ","")&amp;IF((M61-1)=1,$A$61&amp;"/ ","")&amp;IF((M65-1)=1,$A$65&amp;"/ ","")&amp;IF((M62-1)=1,$A$62&amp;"/ ","")&amp;IF((M63-1)=1,$A$63&amp;"/ ","")&amp;IF((M64-1)=1,$A$64&amp;"/ ","")</f>
        <v/>
      </c>
      <c r="I70" s="72" t="str">
        <f>IF((M67-1)=2,$A$67&amp;"/ ","")&amp;IF((M60-1)=2,$A$60&amp;"/ ","")&amp;IF((M58-1)=2,$A$58&amp;"/ ","")&amp;IF((M59-1)=2,$A$59&amp;"/ ","")&amp;IF((M66-1)=2,$A$66&amp;"/ ","")&amp;IF((M61-1)=2,$A$61&amp;"/ ","")&amp;IF((M65-1)=2,$A$65&amp;"/ ","")&amp;IF((M62-1)=2,$A$62&amp;"/ ","")&amp;IF((M63-1)=2,$A$63&amp;"/ ","")&amp;IF((M64-1)=2,$A$64&amp;"/ ","")</f>
        <v/>
      </c>
      <c r="J70" s="71"/>
      <c r="K70" s="72" t="str">
        <f>IF((G67-1)=11,$A$67&amp;"/ ","")&amp;IF((G60-1)=11,$A$60&amp;"/ ","")&amp;IF((G58-1)=11,$A$58&amp;"/ ","")&amp;IF((G59-1)=11,$A$59&amp;"/ ","")&amp;IF((G66-1)=11,$A$66&amp;"/ ","")&amp;IF((G61-1)=11,$A$61&amp;"/ ","")&amp;IF((G65-1)=11,$A$65&amp;"/ ","")&amp;IF((G62-1)=11,$A$62&amp;"/ ","")&amp;IF((G63-1)=11,$A$63&amp;"/ ","")&amp;IF((G64-1)=11,$A$64&amp;"/ ","")</f>
        <v xml:space="preserve">Ketu/ Mercury/ </v>
      </c>
      <c r="L70" s="72" t="str">
        <f>IF((G67-1)=0,$A$67&amp;"/ ","")&amp;IF((G60-1)=0,$A$60&amp;"/ ","")&amp;IF((G58-1)=0,$A$58&amp;"/ ","")&amp;IF((G59-1)=0,$A$59&amp;"/ ","")&amp;IF((G66-1)=0,$A$66&amp;"/ ","")&amp;IF((G61-1)=0,$A$61&amp;"/ ","")&amp;IF((G65-1)=0,$A$65&amp;"/ ","")&amp;IF((G62-1)=0,$A$62&amp;"/ ","")&amp;IF((G63-1)=0,$A$63&amp;"/ ","")&amp;IF((G64-1)=0,$A$64&amp;"/ ","")</f>
        <v/>
      </c>
      <c r="M70" s="72" t="str">
        <f>IF((G67-1)=1,$A$67&amp;"/ ","")&amp;IF((G60-1)=1,$A$60&amp;"/ ","")&amp;IF((G58-1)=1,$A$58&amp;"/ ","")&amp;IF((G59-1)=1,$A$59&amp;"/ ","")&amp;IF((G66-1)=1,$A$66&amp;"/ ","")&amp;IF((G61-1)=1,$A$61&amp;"/ ","")&amp;IF((G65-1)=1,$A$65&amp;"/ ","")&amp;IF((G62-1)=1,$A$62&amp;"/ ","")&amp;IF((G63-1)=1,$A$63&amp;"/ ","")&amp;IF((G64-1)=1,$A$64&amp;"/ ","")</f>
        <v xml:space="preserve">Saturn/ </v>
      </c>
      <c r="N70" s="72" t="str">
        <f>IF((G67-1)=2,$A$67&amp;"/ ","")&amp;IF((G60-1)=2,$A$60&amp;"/ ","")&amp;IF((G58-1)=2,$A$58&amp;"/ ","")&amp;IF((G59-1)=2,$A$59&amp;"/ ","")&amp;IF((G66-1)=2,$A$66&amp;"/ ","")&amp;IF((G61-1)=2,$A$61&amp;"/ ","")&amp;IF((G65-1)=2,$A$65&amp;"/ ","")&amp;IF((G62-1)=2,$A$62&amp;"/ ","")&amp;IF((G63-1)=2,$A$63&amp;"/ ","")&amp;IF((G64-1)=2,$A$64&amp;"/ ","")</f>
        <v/>
      </c>
      <c r="O70" s="73"/>
      <c r="S70" s="74"/>
      <c r="T70" s="75" t="str">
        <f>Charts!J2</f>
        <v xml:space="preserve">Moon/ Saturn/ </v>
      </c>
      <c r="U70" s="76" t="str">
        <f>Charts!I2</f>
        <v/>
      </c>
      <c r="V70" s="75" t="str">
        <f>Charts!H2</f>
        <v/>
      </c>
      <c r="W70" s="77"/>
    </row>
    <row r="71" spans="1:26" ht="45.75" customHeight="1">
      <c r="E71" s="71"/>
      <c r="F71" s="72" t="str">
        <f>IF((M67-1)=10,$A$67&amp;"/ ","")&amp;IF((M60-1)=10,$A$60&amp;"/ ","")&amp;IF((M58-1)=10,$A$58&amp;"/ ","")&amp;IF((M59-1)=10,$A$59&amp;"/ ","")&amp;IF((M66-1)=10,$A$66&amp;"/ ","")&amp;IF((M61-1)=10,$A$61&amp;"/ ","")&amp;IF((M65-1)=10,$A$65&amp;"/ ","")&amp;IF((M62-1)=10,$A$62&amp;"/ ","")&amp;IF((M63-1)=10,$A$63&amp;"/ ","")&amp;IF((M64-1)=10,$A$64&amp;"/ ","")</f>
        <v/>
      </c>
      <c r="G71" s="5" t="s">
        <v>168</v>
      </c>
      <c r="H71" s="5"/>
      <c r="I71" s="72" t="str">
        <f>IF((M67-1)=3,$A$67&amp;"/ ","")&amp;IF((M60-1)=3,$A$60&amp;"/ ","")&amp;IF((M58-1)=3,$A$58&amp;"/ ","")&amp;IF((M59-1)=3,$A$59&amp;"/ ","")&amp;IF((M66-1)=3,$A$66&amp;"/ ","")&amp;IF((M61-1)=3,$A$61&amp;"/ ","")&amp;IF((M65-1)=3,$A$65&amp;"/ ","")&amp;IF((M62-1)=3,$A$62&amp;"/ ","")&amp;IF((M63-1)=3,$A$63&amp;"/ ","")&amp;IF((M64-1)=3,$A$64&amp;"/ ","")</f>
        <v xml:space="preserve">Moon/ Sun/ Rahu/ Jupiter/ </v>
      </c>
      <c r="J71" s="71"/>
      <c r="K71" s="72" t="str">
        <f>IF((G67-1)=10,$A$67&amp;"/ ","")&amp;IF((G60-1)=10,$A$60&amp;"/ ","")&amp;IF((G58-1)=10,$A$58&amp;"/ ","")&amp;IF((G59-1)=10,$A$59&amp;"/ ","")&amp;IF((G66-1)=10,$A$66&amp;"/ ","")&amp;IF((G61-1)=10,$A$61&amp;"/ ","")&amp;IF((G65-1)=10,$A$65&amp;"/ ","")&amp;IF((G62-1)=10,$A$62&amp;"/ ","")&amp;IF((G63-1)=10,$A$63&amp;"/ ","")&amp;IF((G64-1)=10,$A$64&amp;"/ ","")</f>
        <v xml:space="preserve">Venus/ </v>
      </c>
      <c r="L71" s="5" t="s">
        <v>169</v>
      </c>
      <c r="M71" s="5"/>
      <c r="N71" s="72" t="str">
        <f>IF((G67-1)=3,$A$67&amp;"/ ","")&amp;IF((G60-1)=3,$A$60&amp;"/ ","")&amp;IF((G58-1)=3,$A$58&amp;"/ ","")&amp;IF((G59-1)=3,$A$59&amp;"/ ","")&amp;IF((G66-1)=3,$A$66&amp;"/ ","")&amp;IF((G61-1)=3,$A$61&amp;"/ ","")&amp;IF((G65-1)=3,$A$65&amp;"/ ","")&amp;IF((G62-1)=3,$A$62&amp;"/ ","")&amp;IF((G63-1)=3,$A$63&amp;"/ ","")&amp;IF((G64-1)=3,$A$64&amp;"/ ","")</f>
        <v xml:space="preserve">Sun/ </v>
      </c>
      <c r="O71" s="73"/>
      <c r="S71" s="75" t="str">
        <f>Charts!K2</f>
        <v xml:space="preserve">Venus/ </v>
      </c>
      <c r="T71" s="74"/>
      <c r="U71" s="76"/>
      <c r="V71" s="77"/>
      <c r="W71" s="75" t="str">
        <f>Charts!H3</f>
        <v/>
      </c>
    </row>
    <row r="72" spans="1:26" ht="60">
      <c r="E72" s="71"/>
      <c r="F72" s="78" t="str">
        <f>IF((M67-1)=9,$A$67&amp;"/ ","")&amp;IF((M60-1)=9,$A$60&amp;"/ ","")&amp;IF((M58-1)=9,$A$58&amp;"/ ","")&amp;IF((M59-1)=9,$A$59&amp;"/ ","")&amp;IF((M66-1)=9,$A$66&amp;"/ ","")&amp;IF((M61-1)=9,$A$61&amp;"/ ","")&amp;IF((M65-1)=9,$A$65&amp;"/ ","")&amp;IF((M62-1)=9,$A$62&amp;"/ ","")&amp;IF((M63-1)=9,$A$63&amp;"/ ","")&amp;IF((M64-1)=9,$A$64&amp;"/ ","")</f>
        <v xml:space="preserve">Ketu/ </v>
      </c>
      <c r="G72" s="71"/>
      <c r="H72" s="71" t="s">
        <v>151</v>
      </c>
      <c r="I72" s="72" t="str">
        <f>IF((M67-1)=4,$A$67&amp;"/ ","")&amp;IF((M60-1)=4,$A$60&amp;"/ ","")&amp;IF((M58-1)=4,$A$58&amp;"/ ","")&amp;IF((M59-1)=4,$A$59&amp;"/ ","")&amp;IF((M66-1)=4,$A$66&amp;"/ ","")&amp;IF((M61-1)=4,$A$61&amp;"/ ","")&amp;IF((M65-1)=4,$A$65&amp;"/ ","")&amp;IF((M62-1)=4,$A$62&amp;"/ ","")&amp;IF((M63-1)=4,$A$63&amp;"/ ","")&amp;IF((M64-1)=4,$A$64&amp;"/ ","")</f>
        <v/>
      </c>
      <c r="J72" s="71"/>
      <c r="K72" s="78" t="str">
        <f>IF((G67-1)=9,$A$67&amp;"/ ","")&amp;IF((G60-1)=9,$A$60&amp;"/ ","")&amp;IF((G58-1)=9,$A$58&amp;"/ ","")&amp;IF((G59-1)=9,$A$59&amp;"/ ","")&amp;IF((G66-1)=9,$A$66&amp;"/ ","")&amp;IF((G61-1)=9,$A$61&amp;"/ ","")&amp;IF((G65-1)=9,$A$65&amp;"/ ","")&amp;IF((G62-1)=9,$A$62&amp;"/ ","")&amp;IF((G63-1)=9,$A$63&amp;"/ ","")&amp;IF((G64-1)=9,$A$64&amp;"/ ","")</f>
        <v xml:space="preserve">Moon/ </v>
      </c>
      <c r="L72" s="71"/>
      <c r="M72" s="71" t="str">
        <f>G57</f>
        <v>D3#</v>
      </c>
      <c r="N72" s="72" t="str">
        <f>IF((G67-1)=4,$A$67&amp;"/ ","")&amp;IF((G60-1)=4,$A$60&amp;"/ ","")&amp;IF((G58-1)=4,$A$58&amp;"/ ","")&amp;IF((G59-1)=4,$A$59&amp;"/ ","")&amp;IF((G66-1)=4,$A$66&amp;"/ ","")&amp;IF((G61-1)=4,$A$61&amp;"/ ","")&amp;IF((G65-1)=4,$A$65&amp;"/ ","")&amp;IF((G62-1)=4,$A$62&amp;"/ ","")&amp;IF((G63-1)=4,$A$63&amp;"/ ","")&amp;IF((G64-1)=4,$A$64&amp;"/ ","")</f>
        <v/>
      </c>
      <c r="O72" s="73"/>
      <c r="S72" s="79" t="str">
        <f>Charts!K3</f>
        <v xml:space="preserve">Ketu/ Sun/ Mercury/ </v>
      </c>
      <c r="T72" s="79"/>
      <c r="U72" s="80" t="str">
        <f>Charts!I3</f>
        <v>RASI CHART</v>
      </c>
      <c r="V72" s="79"/>
      <c r="W72" s="79" t="str">
        <f>Charts!H4</f>
        <v xml:space="preserve">Rahu/ Mars/ </v>
      </c>
    </row>
    <row r="73" spans="1:26" ht="76.7" customHeight="1">
      <c r="E73" s="71"/>
      <c r="F73" s="72" t="str">
        <f>IF((M67-1)=8,$A$67&amp;"/ ","")&amp;IF((M60-1)=8,$A$60&amp;"/ ","")&amp;IF((M58-1)=8,$A$58&amp;"/ ","")&amp;IF((M59-1)=8,$A$59&amp;"/ ","")&amp;IF((M66-1)=8,$A$66&amp;"/ ","")&amp;IF((M61-1)=8,$A$61&amp;"/ ","")&amp;IF((M65-1)=8,$A$65&amp;"/ ","")&amp;IF((M62-1)=8,$A$62&amp;"/ ","")&amp;IF((M63-1)=8,$A$63&amp;"/ ","")&amp;IF((M64-1)=8,$A$64&amp;"/ ","")</f>
        <v/>
      </c>
      <c r="G73" s="72" t="str">
        <f>IF((M67-1)=7,$A$67&amp;"/ ","")&amp;IF((M60-1)=7,$A$60&amp;"/ ","")&amp;IF((M58-1)=7,$A$58&amp;"/ ","")&amp;IF((M59-1)=7,$A$59&amp;"/ ","")&amp;IF((M66-1)=7,$A$66&amp;"/ ","")&amp;IF((M61-1)=7,$A$61&amp;"/ ","")&amp;IF((M65-1)=7,$A$65&amp;"/ ","")&amp;IF((M62-1)=7,$A$62&amp;"/ ","")&amp;IF((M63-1)=7,$A$63&amp;"/ ","")&amp;IF((M64-1)=7,$A$64&amp;"/ ","")</f>
        <v/>
      </c>
      <c r="H73" s="81" t="str">
        <f>IF((M67-1)=6,$A$67&amp;"/ ","")&amp;IF((M60-1)=6,$A$60&amp;"/ ","")&amp;IF((M58-1)=6,$A$58&amp;"/ ","")&amp;IF((M59-1)=6,$A$59&amp;"/ ","")&amp;IF((M66-1)=6,$A$66&amp;"/ ","")&amp;IF((M61-1)=6,$A$61&amp;"/ ","")&amp;IF((M65-1)=6,$A$65&amp;"/ ","")&amp;IF((M62-1)=6,$A$62&amp;"/ ","")&amp;IF((M63-1)=6,$A$63&amp;"/ ","")&amp;IF((M64-1)=6,$A$64&amp;"/ ","")</f>
        <v/>
      </c>
      <c r="I73" s="72" t="str">
        <f>IF((M67-1)=5,$A$67&amp;"/ ","")&amp;IF((M60-1)=5,$A$60&amp;"/ ","")&amp;IF((M58-1)=5,$A$58&amp;"/ ","")&amp;IF((M59-1)=5,$A$59&amp;"/ ","")&amp;IF((M66-1)=5,$A$66&amp;"/ ","")&amp;IF((M61-1)=5,$A$61&amp;"/ ","")&amp;IF((M65-1)=5,$A$65&amp;"/ ","")&amp;IF((M62-1)=5,$A$62&amp;"/ ","")&amp;IF((M63-1)=5,$A$63&amp;"/ ","")&amp;IF((M64-1)=5,$A$64&amp;"/ ","")</f>
        <v xml:space="preserve">Asc/ Mars/ </v>
      </c>
      <c r="J73" s="71"/>
      <c r="K73" s="72" t="str">
        <f>IF((G67-1)=8,$A$67&amp;"/ ","")&amp;IF((G60-1)=8,$A$60&amp;"/ ","")&amp;IF((G58-1)=8,$A$58&amp;"/ ","")&amp;IF((G59-1)=8,$A$59&amp;"/ ","")&amp;IF((G66-1)=8,$A$66&amp;"/ ","")&amp;IF((G61-1)=8,$A$61&amp;"/ ","")&amp;IF((G65-1)=8,$A$65&amp;"/ ","")&amp;IF((G62-1)=8,$A$62&amp;"/ ","")&amp;IF((G63-1)=8,$A$63&amp;"/ ","")&amp;IF((G64-1)=8,$A$64&amp;"/ ","")</f>
        <v xml:space="preserve">Asc/ </v>
      </c>
      <c r="L73" s="72" t="str">
        <f>IF((G67-1)=7,$A$67&amp;"/ ","")&amp;IF((G60-1)=7,$A$60&amp;"/ ","")&amp;IF((G58-1)=7,$A$58&amp;"/ ","")&amp;IF((G59-1)=7,$A$59&amp;"/ ","")&amp;IF((G66-1)=7,$A$66&amp;"/ ","")&amp;IF((G61-1)=7,$A$61&amp;"/ ","")&amp;IF((G65-1)=7,$A$65&amp;"/ ","")&amp;IF((G62-1)=7,$A$62&amp;"/ ","")&amp;IF((G63-1)=7,$A$63&amp;"/ ","")&amp;IF((G64-1)=7,$A$64&amp;"/ ","")</f>
        <v xml:space="preserve">Jupiter/ </v>
      </c>
      <c r="M73" s="81" t="str">
        <f>IF((G67-1)=6,$A$67&amp;"/ ","")&amp;IF((G60-1)=6,$A$60&amp;"/ ","")&amp;IF((G58-1)=6,$A$58&amp;"/ ","")&amp;IF((G59-1)=6,$A$59&amp;"/ ","")&amp;IF((G66-1)=6,$A$66&amp;"/ ","")&amp;IF((G61-1)=6,$A$61&amp;"/ ","")&amp;IF((G65-1)=6,$A$65&amp;"/ ","")&amp;IF((G62-1)=6,$A$62&amp;"/ ","")&amp;IF((G63-1)=6,$A$63&amp;"/ ","")&amp;IF((G64-1)=6,$A$64&amp;"/ ","")</f>
        <v/>
      </c>
      <c r="N73" s="72" t="str">
        <f>IF((G67-1)=5,$A$67&amp;"/ ","")&amp;IF((G60-1)=5,$A$60&amp;"/ ","")&amp;IF((G58-1)=5,$A$58&amp;"/ ","")&amp;IF((G59-1)=5,$A$59&amp;"/ ","")&amp;IF((G66-1)=5,$A$66&amp;"/ ","")&amp;IF((G61-1)=5,$A$61&amp;"/ ","")&amp;IF((G65-1)=5,$A$65&amp;"/ ","")&amp;IF((G62-1)=5,$A$62&amp;"/ ","")&amp;IF((G63-1)=5,$A$63&amp;"/ ","")&amp;IF((G64-1)=5,$A$64&amp;"/ ","")</f>
        <v xml:space="preserve">Rahu/ Mars/ </v>
      </c>
      <c r="O73" s="73"/>
      <c r="S73" s="75" t="str">
        <f>Charts!K4</f>
        <v xml:space="preserve">Asc/ </v>
      </c>
      <c r="T73" s="77"/>
      <c r="U73" s="76"/>
      <c r="V73" s="74"/>
      <c r="W73" s="75" t="str">
        <f>Charts!H5</f>
        <v/>
      </c>
    </row>
    <row r="74" spans="1:26" ht="48.2" customHeight="1">
      <c r="D74" s="71"/>
      <c r="E74" s="71"/>
      <c r="F74" s="71"/>
      <c r="G74" s="71"/>
      <c r="H74" s="71"/>
      <c r="I74" s="71"/>
      <c r="J74" s="71"/>
      <c r="K74" s="71"/>
      <c r="L74" s="71"/>
      <c r="M74" s="71"/>
      <c r="N74" s="71"/>
      <c r="O74" s="71"/>
      <c r="P74" s="71"/>
      <c r="Q74" s="71"/>
      <c r="R74" s="71"/>
      <c r="S74" s="71"/>
      <c r="T74" s="73"/>
      <c r="U74" s="73"/>
      <c r="V74" s="77"/>
      <c r="W74" s="75" t="str">
        <f>Charts!K5</f>
        <v/>
      </c>
      <c r="X74" s="76" t="str">
        <f>Charts!J5</f>
        <v/>
      </c>
      <c r="Y74" s="75" t="str">
        <f>Charts!I5</f>
        <v xml:space="preserve">Jupiter/ </v>
      </c>
      <c r="Z74" s="74"/>
    </row>
    <row r="75" spans="1:26">
      <c r="D75" s="72" t="str">
        <f>IF((O67-1)=11,$A$67&amp;"/ ","")&amp;IF((O60-1)=11,$A$60&amp;"/ ","")&amp;IF((O58-1)=11,$A$58&amp;"/ ","")&amp;IF((O59-1)=11,$A$59&amp;"/ ","")&amp;IF((O66-1)=11,$A$66&amp;"/ ","")&amp;IF((O61-1)=11,$A$61&amp;"/ ","")&amp;IF((O65-1)=11,$A$65&amp;"/ ","")&amp;IF((O62-1)=11,$A$62&amp;"/ ","")&amp;IF((O63-1)=11,$A$63&amp;"/ ","")&amp;IF((O64-1)=11,$A$64&amp;"/ ","")</f>
        <v xml:space="preserve">Saturn/ </v>
      </c>
      <c r="E75" s="72" t="str">
        <f>IF((O67-1)=0,$A$67&amp;"/ ","")&amp;IF((O60-1)=0,$A$60&amp;"/ ","")&amp;IF((O58-1)=0,$A$58&amp;"/ ","")&amp;IF((O59-1)=0,$A$59&amp;"/ ","")&amp;IF((O66-1)=0,$A$66&amp;"/ ","")&amp;IF((O61-1)=0,$A$61&amp;"/ ","")&amp;IF((O65-1)=0,$A$65&amp;"/ ","")&amp;IF((O62-1)=0,$A$62&amp;"/ ","")&amp;IF((O63-1)=0,$A$63&amp;"/ ","")&amp;IF((O64-1)=0,$A$64&amp;"/ ","")</f>
        <v/>
      </c>
      <c r="F75" s="72" t="str">
        <f>IF((O67-1)=1,$A$67&amp;"/ ","")&amp;IF((O60-1)=1,$A$60&amp;"/ ","")&amp;IF((O58-1)=1,$A$58&amp;"/ ","")&amp;IF((O59-1)=1,$A$59&amp;"/ ","")&amp;IF((O66-1)=1,$A$66&amp;"/ ","")&amp;IF((O61-1)=1,$A$61&amp;"/ ","")&amp;IF((O65-1)=1,$A$65&amp;"/ ","")&amp;IF((O62-1)=1,$A$62&amp;"/ ","")&amp;IF((O63-1)=1,$A$63&amp;"/ ","")&amp;IF((O64-1)=1,$A$64&amp;"/ ","")</f>
        <v xml:space="preserve">Ketu/ Asc/ </v>
      </c>
      <c r="G75" s="72" t="str">
        <f>IF((O67-1)=2,$A$67&amp;"/ ","")&amp;IF((O60-1)=2,$A$60&amp;"/ ","")&amp;IF((O58-1)=2,$A$58&amp;"/ ","")&amp;IF((O59-1)=2,$A$59&amp;"/ ","")&amp;IF((O66-1)=2,$A$66&amp;"/ ","")&amp;IF((O61-1)=2,$A$61&amp;"/ ","")&amp;IF((O65-1)=2,$A$65&amp;"/ ","")&amp;IF((O62-1)=2,$A$62&amp;"/ ","")&amp;IF((O63-1)=2,$A$63&amp;"/ ","")&amp;IF((O64-1)=2,$A$64&amp;"/ ","")</f>
        <v/>
      </c>
      <c r="H75" s="68"/>
      <c r="I75" s="68"/>
      <c r="J75" s="68"/>
      <c r="K75" s="68"/>
      <c r="L75" s="68"/>
      <c r="M75" s="68"/>
      <c r="N75" s="68"/>
      <c r="O75" s="68"/>
      <c r="P75" s="68"/>
      <c r="Q75" s="68"/>
      <c r="R75" s="68"/>
      <c r="S75" s="68"/>
      <c r="T75" s="68"/>
      <c r="U75" s="68"/>
      <c r="V75" s="68"/>
      <c r="W75" s="68"/>
      <c r="X75" s="68"/>
      <c r="Y75" s="68"/>
      <c r="Z75" s="68"/>
    </row>
    <row r="76" spans="1:26" ht="15" customHeight="1">
      <c r="D76" s="72" t="str">
        <f>IF((O67-1)=10,$A$67&amp;"/ ","")&amp;IF((O60-1)=10,$A$60&amp;"/ ","")&amp;IF((O58-1)=10,$A$58&amp;"/ ","")&amp;IF((O59-1)=10,$A$59&amp;"/ ","")&amp;IF((O66-1)=10,$A$66&amp;"/ ","")&amp;IF((O61-1)=10,$A$61&amp;"/ ","")&amp;IF((O65-1)=10,$A$65&amp;"/ ","")&amp;IF((O62-1)=10,$A$62&amp;"/ ","")&amp;IF((O63-1)=10,$A$63&amp;"/ ","")&amp;IF((O64-1)=10,$A$64&amp;"/ ","")</f>
        <v/>
      </c>
      <c r="E76" s="5" t="s">
        <v>169</v>
      </c>
      <c r="F76" s="5"/>
      <c r="G76" s="72" t="str">
        <f>IF((O67-1)=3,$A$67&amp;"/ ","")&amp;IF((O60-1)=3,$A$60&amp;"/ ","")&amp;IF((O58-1)=3,$A$58&amp;"/ ","")&amp;IF((O59-1)=3,$A$59&amp;"/ ","")&amp;IF((O66-1)=3,$A$66&amp;"/ ","")&amp;IF((O61-1)=3,$A$61&amp;"/ ","")&amp;IF((O65-1)=3,$A$65&amp;"/ ","")&amp;IF((O62-1)=3,$A$62&amp;"/ ","")&amp;IF((O63-1)=3,$A$63&amp;"/ ","")&amp;IF((O64-1)=3,$A$64&amp;"/ ","")</f>
        <v xml:space="preserve">Moon/ Mercury/ Jupiter/ </v>
      </c>
      <c r="H76" s="68"/>
      <c r="I76" s="68"/>
      <c r="J76" s="68"/>
      <c r="K76" s="68"/>
      <c r="L76" s="68"/>
      <c r="M76" s="68"/>
      <c r="N76" s="68"/>
      <c r="O76" s="68"/>
      <c r="P76" s="68"/>
      <c r="Q76" s="68"/>
      <c r="R76" s="68"/>
      <c r="S76" s="68"/>
      <c r="T76" s="68"/>
      <c r="U76" s="68"/>
      <c r="V76" s="68"/>
      <c r="W76" s="68"/>
      <c r="X76" s="68"/>
      <c r="Y76" s="68"/>
      <c r="Z76" s="68"/>
    </row>
    <row r="77" spans="1:26">
      <c r="D77" s="78" t="str">
        <f>IF((O67-1)=9,$A$67&amp;"/ ","")&amp;IF((O60-1)=9,$A$60&amp;"/ ","")&amp;IF((O58-1)=9,$A$58&amp;"/ ","")&amp;IF((O59-1)=9,$A$59&amp;"/ ","")&amp;IF((O66-1)=9,$A$66&amp;"/ ","")&amp;IF((O61-1)=9,$A$61&amp;"/ ","")&amp;IF((O65-1)=9,$A$65&amp;"/ ","")&amp;IF((O62-1)=9,$A$62&amp;"/ ","")&amp;IF((O63-1)=9,$A$63&amp;"/ ","")&amp;IF((O64-1)=9,$A$64&amp;"/ ","")</f>
        <v xml:space="preserve">Mars/ </v>
      </c>
      <c r="E77" s="71"/>
      <c r="F77" s="71" t="str">
        <f>O57</f>
        <v>D10#</v>
      </c>
      <c r="G77" s="72" t="str">
        <f>IF((O67-1)=4,$A$67&amp;"/ ","")&amp;IF((O60-1)=4,$A$60&amp;"/ ","")&amp;IF((O58-1)=4,$A$58&amp;"/ ","")&amp;IF((O59-1)=4,$A$59&amp;"/ ","")&amp;IF((O66-1)=4,$A$66&amp;"/ ","")&amp;IF((O61-1)=4,$A$61&amp;"/ ","")&amp;IF((O65-1)=4,$A$65&amp;"/ ","")&amp;IF((O62-1)=4,$A$62&amp;"/ ","")&amp;IF((O63-1)=4,$A$63&amp;"/ ","")&amp;IF((O64-1)=4,$A$64&amp;"/ ","")</f>
        <v/>
      </c>
      <c r="H77" s="68"/>
      <c r="I77" s="68"/>
      <c r="J77" s="68"/>
      <c r="K77" s="68"/>
      <c r="L77" s="68"/>
      <c r="M77" s="68"/>
      <c r="N77" s="68"/>
      <c r="O77" s="68"/>
      <c r="P77" s="68"/>
      <c r="Q77" s="68"/>
      <c r="R77" s="68"/>
      <c r="S77" s="68"/>
      <c r="T77" s="68"/>
      <c r="U77" s="68"/>
      <c r="V77" s="68"/>
      <c r="W77" s="68"/>
      <c r="X77" s="68"/>
      <c r="Y77" s="68"/>
      <c r="Z77" s="68"/>
    </row>
    <row r="78" spans="1:26">
      <c r="D78" s="72" t="str">
        <f>IF((O67-1)=8,$A$67&amp;"/ ","")&amp;IF((O60-1)=8,$A$60&amp;"/ ","")&amp;IF((O58-1)=8,$A$58&amp;"/ ","")&amp;IF((O59-1)=8,$A$59&amp;"/ ","")&amp;IF((O66-1)=8,$A$66&amp;"/ ","")&amp;IF((O61-1)=8,$A$61&amp;"/ ","")&amp;IF((O65-1)=8,$A$65&amp;"/ ","")&amp;IF((O62-1)=8,$A$62&amp;"/ ","")&amp;IF((O63-1)=8,$A$63&amp;"/ ","")&amp;IF((O64-1)=8,$A$64&amp;"/ ","")</f>
        <v/>
      </c>
      <c r="E78" s="72" t="str">
        <f>IF((O67-1)=7,$A$67&amp;"/ ","")&amp;IF((O60-1)=7,$A$60&amp;"/ ","")&amp;IF((O58-1)=7,$A$58&amp;"/ ","")&amp;IF((O59-1)=7,$A$59&amp;"/ ","")&amp;IF((O66-1)=7,$A$66&amp;"/ ","")&amp;IF((O61-1)=7,$A$61&amp;"/ ","")&amp;IF((O65-1)=7,$A$65&amp;"/ ","")&amp;IF((O62-1)=7,$A$62&amp;"/ ","")&amp;IF((O63-1)=7,$A$63&amp;"/ ","")&amp;IF((O64-1)=7,$A$64&amp;"/ ","")</f>
        <v xml:space="preserve">Rahu/ </v>
      </c>
      <c r="F78" s="81" t="str">
        <f>IF((O67-1)=6,$A$67&amp;"/ ","")&amp;IF((O60-1)=6,$A$60&amp;"/ ","")&amp;IF((O58-1)=6,$A$58&amp;"/ ","")&amp;IF((O59-1)=6,$A$59&amp;"/ ","")&amp;IF((O66-1)=6,$A$66&amp;"/ ","")&amp;IF((O61-1)=6,$A$61&amp;"/ ","")&amp;IF((O65-1)=6,$A$65&amp;"/ ","")&amp;IF((O62-1)=6,$A$62&amp;"/ ","")&amp;IF((O63-1)=6,$A$63&amp;"/ ","")&amp;IF((O64-1)=6,$A$64&amp;"/ ","")</f>
        <v xml:space="preserve">Sun/ </v>
      </c>
      <c r="G78" s="72" t="str">
        <f>IF((O67-1)=5,$A$67&amp;"/ ","")&amp;IF((O60-1)=5,$A$60&amp;"/ ","")&amp;IF((O58-1)=5,$A$58&amp;"/ ","")&amp;IF((O59-1)=5,$A$59&amp;"/ ","")&amp;IF((O66-1)=5,$A$66&amp;"/ ","")&amp;IF((O61-1)=5,$A$61&amp;"/ ","")&amp;IF((O65-1)=5,$A$65&amp;"/ ","")&amp;IF((O62-1)=5,$A$62&amp;"/ ","")&amp;IF((O63-1)=5,$A$63&amp;"/ ","")&amp;IF((O64-1)=5,$A$64&amp;"/ ","")</f>
        <v xml:space="preserve">Venus/ </v>
      </c>
      <c r="H78" s="68"/>
      <c r="I78" s="68"/>
      <c r="J78" s="68"/>
      <c r="K78" s="68"/>
      <c r="L78" s="68"/>
      <c r="M78" s="68"/>
      <c r="N78" s="68"/>
      <c r="O78" s="68"/>
      <c r="P78" s="68"/>
      <c r="Q78" s="68"/>
      <c r="R78" s="68"/>
      <c r="S78" s="68"/>
      <c r="T78" s="68"/>
      <c r="U78" s="68"/>
      <c r="V78" s="68"/>
      <c r="W78" s="68"/>
      <c r="X78" s="68"/>
      <c r="Y78" s="68"/>
      <c r="Z78" s="68"/>
    </row>
  </sheetData>
  <mergeCells count="13">
    <mergeCell ref="G71:H71"/>
    <mergeCell ref="L71:M71"/>
    <mergeCell ref="E76:F76"/>
    <mergeCell ref="B42:D42"/>
    <mergeCell ref="C43:D43"/>
    <mergeCell ref="B44:D44"/>
    <mergeCell ref="B45:D45"/>
    <mergeCell ref="B52:D52"/>
    <mergeCell ref="A1:I1"/>
    <mergeCell ref="B3:F3"/>
    <mergeCell ref="A4:J4"/>
    <mergeCell ref="A5:J5"/>
    <mergeCell ref="J37:N37"/>
  </mergeCells>
  <pageMargins left="0.74791666666666701" right="0.74791666666666701" top="0.98402777777777795" bottom="0.98402777777777795" header="0.5" footer="0.5"/>
  <pageSetup paperSize="9" orientation="landscape" horizontalDpi="300" verticalDpi="300"/>
  <headerFooter>
    <oddHeader>&amp;L&amp;"Arial,Regular"&amp;10Vimsottari Dasa Calculations&amp;C&amp;"Arial,Regular"&amp;10&amp;P of &amp;N</oddHeader>
    <oddFooter>&amp;C&amp;"Arial,Regular"&amp;10Prepared by sprabhak &amp;D&amp;R&amp;"Arial,Regular"&amp;10Page &amp;P</oddFooter>
  </headerFooter>
  <rowBreaks count="2" manualBreakCount="2">
    <brk id="52" max="16383" man="1"/>
    <brk id="68" max="16383" man="1"/>
  </rowBreaks>
  <colBreaks count="1" manualBreakCount="1">
    <brk id="11" max="1048575" man="1"/>
  </colBreaks>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6"/>
  <sheetViews>
    <sheetView topLeftCell="A16" zoomScaleNormal="100" workbookViewId="0">
      <selection activeCell="O3" sqref="O3"/>
    </sheetView>
  </sheetViews>
  <sheetFormatPr defaultColWidth="8.28515625" defaultRowHeight="15"/>
  <cols>
    <col min="1" max="15" width="8.28515625" style="82"/>
    <col min="16" max="16" width="10.28515625" style="82" customWidth="1"/>
    <col min="17" max="1024" width="8.28515625" style="82"/>
  </cols>
  <sheetData>
    <row r="1" spans="1:11" ht="45" customHeight="1">
      <c r="A1" s="82">
        <f t="array" ref="A1:C1">{1,2,3}</f>
        <v>1</v>
      </c>
      <c r="B1" s="82">
        <v>2</v>
      </c>
      <c r="C1" s="82">
        <v>3</v>
      </c>
    </row>
    <row r="2" spans="1:11" ht="45" customHeight="1">
      <c r="B2" s="83" t="s">
        <v>170</v>
      </c>
      <c r="C2" s="84" t="str">
        <f>J2</f>
        <v xml:space="preserve">Moon/ Saturn/ </v>
      </c>
      <c r="D2" s="85" t="str">
        <f>I2</f>
        <v/>
      </c>
      <c r="E2" s="86" t="str">
        <f>H2</f>
        <v/>
      </c>
      <c r="F2" s="87" t="s">
        <v>171</v>
      </c>
      <c r="H2" s="72" t="str">
        <f>IF(TRUNC(Basics!B67/30)=11,Basics!$A$67&amp;"/ ","")&amp;IF(TRUNC(Basics!B60/30)=11,Basics!$A$60&amp;"/ ","")&amp;IF(TRUNC(Basics!B58/30)=11,Basics!$A$58&amp;"/ ","")&amp;IF(TRUNC(Basics!B59/30)=11,Basics!$A$59&amp;"/ ","")&amp;IF(TRUNC(Basics!B66/30)=11,Basics!$A$66&amp;"/ ","")&amp;IF(TRUNC(Basics!B61/30)=11,Basics!$A$61&amp;"/ ","")&amp;IF(TRUNC(Basics!B65/30)=11,Basics!$A$65&amp;"/ ","")&amp;IF(TRUNC(Basics!B62/30)=11,Basics!$A$62&amp;"/ ","")&amp;IF(TRUNC(Basics!B63/30)=11,Basics!$A$63&amp;"/ ","")&amp;IF(TRUNC(Basics!B64/30)=11,Basics!$A$64&amp;"/ ","")</f>
        <v/>
      </c>
      <c r="I2" s="72" t="str">
        <f>IF(TRUNC(Basics!B67/30)=0,Basics!$A$67&amp;"/ ","")&amp;IF(TRUNC(Basics!B60/30)=0,Basics!$A$60&amp;"/ ","")&amp;IF(TRUNC(Basics!B58/30)=0,Basics!$A$58&amp;"/ ","")&amp;IF(TRUNC(Basics!B59/30)=0,Basics!$A$59&amp;"/ ","")&amp;IF(TRUNC(Basics!B66/30)=0,Basics!$A$66&amp;"/ ","")&amp;IF(TRUNC(Basics!B61/30)=0,Basics!$A$61&amp;"/ ","")&amp;IF(TRUNC(Basics!B65/30)=0,Basics!$A$65&amp;"/ ","")&amp;IF(TRUNC(Basics!B62/30)=0,Basics!$A$62&amp;"/ ","")&amp;IF(TRUNC(Basics!B63/30)=0,Basics!$A$63&amp;"/ ","")&amp;IF(TRUNC(Basics!B64/30)=0,Basics!$A$64&amp;"/ ","")</f>
        <v/>
      </c>
      <c r="J2" s="72" t="str">
        <f>IF(TRUNC(Basics!B67/30)=1,Basics!$A$67&amp;"/ ","")&amp;IF(TRUNC(Basics!B60/30)=1,Basics!$A$60&amp;"/ ","")&amp;IF(TRUNC(Basics!B58/30)=1,Basics!$A$58&amp;"/ ","")&amp;IF(TRUNC(Basics!B59/30)=1,Basics!$A$59&amp;"/ ","")&amp;IF(TRUNC(Basics!B66/30)=1,Basics!$A$66&amp;"/ ","")&amp;IF(TRUNC(Basics!B61/30)=1,Basics!$A$61&amp;"/ ","")&amp;IF(TRUNC(Basics!B65/30)=1,Basics!$A$65&amp;"/ ","")&amp;IF(TRUNC(Basics!B62/30)=1,Basics!$A$62&amp;"/ ","")&amp;IF(TRUNC(Basics!B63/30)=1,Basics!$A$63&amp;"/ ","")&amp;IF(TRUNC(Basics!B64/30)=1,Basics!$A$64&amp;"/ ","")</f>
        <v xml:space="preserve">Moon/ Saturn/ </v>
      </c>
      <c r="K2" s="72" t="str">
        <f>IF(TRUNC(Basics!B67/30)=2,Basics!$A$67&amp;"/ ","")&amp;IF(TRUNC(Basics!B60/30)=2,Basics!$A$60&amp;"/ ","")&amp;IF(TRUNC(Basics!B58/30)=2,Basics!$A$58&amp;"/ ","")&amp;IF(TRUNC(Basics!B59/30)=2,Basics!$A$59&amp;"/ ","")&amp;IF(TRUNC(Basics!B66/30)=2,Basics!$A$66&amp;"/ ","")&amp;IF(TRUNC(Basics!B61/30)=2,Basics!$A$61&amp;"/ ","")&amp;IF(TRUNC(Basics!B65/30)=2,Basics!$A$65&amp;"/ ","")&amp;IF(TRUNC(Basics!B62/30)=2,Basics!$A$62&amp;"/ ","")&amp;IF(TRUNC(Basics!B63/30)=2,Basics!$A$63&amp;"/ ","")&amp;IF(TRUNC(Basics!B64/30)=2,Basics!$A$64&amp;"/ ","")</f>
        <v xml:space="preserve">Venus/ </v>
      </c>
    </row>
    <row r="3" spans="1:11" ht="45" customHeight="1">
      <c r="B3" s="88" t="str">
        <f>K2</f>
        <v xml:space="preserve">Venus/ </v>
      </c>
      <c r="C3" s="89" t="s">
        <v>170</v>
      </c>
      <c r="D3" s="90"/>
      <c r="E3" s="91" t="s">
        <v>171</v>
      </c>
      <c r="F3" s="92" t="str">
        <f>H3</f>
        <v/>
      </c>
      <c r="H3" s="72" t="str">
        <f>IF(TRUNC(Basics!B67/30)=10,Basics!$A$67&amp;"/ ","")&amp;IF(TRUNC(Basics!B60/30)=10,Basics!$A$60&amp;"/ ","")&amp;IF(TRUNC(Basics!B58/30)=10,Basics!$A$58&amp;"/ ","")&amp;IF(TRUNC(Basics!B59/30)=10,Basics!$A$59&amp;"/ ","")&amp;IF(TRUNC(Basics!B66/30)=10,Basics!$A$66&amp;"/ ","")&amp;IF(TRUNC(Basics!B61/30)=10,Basics!$A$61&amp;"/ ","")&amp;IF(TRUNC(Basics!B65/30)=10,Basics!$A$65&amp;"/ ","")&amp;IF(TRUNC(Basics!B62/30)=10,Basics!$A$62&amp;"/ ","")&amp;IF(TRUNC(Basics!B63/30)=10,Basics!$A$63&amp;"/ ","")&amp;IF(TRUNC(Basics!B64/30)=10,Basics!$A$64&amp;"/ ","")</f>
        <v/>
      </c>
      <c r="I3" s="5" t="s">
        <v>172</v>
      </c>
      <c r="J3" s="5"/>
      <c r="K3" s="72" t="str">
        <f>IF(TRUNC(Basics!B67/30)=3,Basics!$A$67&amp;"/ ","")&amp;IF(TRUNC(Basics!B60/30)=3,Basics!$A$60&amp;"/ ","")&amp;IF(TRUNC(Basics!B58/30)=3,Basics!$A$58&amp;"/ ","")&amp;IF(TRUNC(Basics!B59/30)=3,Basics!$A$59&amp;"/ ","")&amp;IF(TRUNC(Basics!B66/30)=3,Basics!$A$66&amp;"/ ","")&amp;IF(TRUNC(Basics!B61/30)=3,Basics!$A$61&amp;"/ ","")&amp;IF(TRUNC(Basics!B65/30)=3,Basics!$A$65&amp;"/ ","")&amp;IF(TRUNC(Basics!B62/30)=3,Basics!$A$62&amp;"/ ","")&amp;IF(TRUNC(Basics!B63/30)=3,Basics!$A$63&amp;"/ ","")&amp;IF(TRUNC(Basics!B64/30)=3,Basics!$A$64&amp;"/ ","")</f>
        <v xml:space="preserve">Ketu/ Sun/ Mercury/ </v>
      </c>
    </row>
    <row r="4" spans="1:11" ht="45" customHeight="1">
      <c r="B4" s="93" t="str">
        <f>K3</f>
        <v xml:space="preserve">Ketu/ Sun/ Mercury/ </v>
      </c>
      <c r="C4" s="94"/>
      <c r="D4" s="95" t="s">
        <v>173</v>
      </c>
      <c r="E4" s="96"/>
      <c r="F4" s="97" t="str">
        <f>H4</f>
        <v xml:space="preserve">Rahu/ Mars/ </v>
      </c>
      <c r="H4" s="78" t="str">
        <f>IF(TRUNC(Basics!B67/30)=9,Basics!$A$67&amp;"/ ","")&amp;IF(TRUNC(Basics!B60/30)=9,Basics!$A$60&amp;"/ ","")&amp;IF(TRUNC(Basics!B58/30)=9,Basics!$A$58&amp;"/ ","")&amp;IF(TRUNC(Basics!B59/30)=9,Basics!$A$59&amp;"/ ","")&amp;IF(TRUNC(Basics!B66/30)=9,Basics!$A$66&amp;"/ ","")&amp;IF(TRUNC(Basics!B61/30)=9,Basics!$A$61&amp;"/ ","")&amp;IF(TRUNC(Basics!B65/30)=9,Basics!$A$65&amp;"/ ","")&amp;IF(TRUNC(Basics!B62/30)=9,Basics!$A$62&amp;"/ ","")&amp;IF(TRUNC(Basics!B63/30)=9,Basics!$A$63&amp;"/ ","")&amp;IF(TRUNC(Basics!B64/30)=9,Basics!$A$64&amp;"/ ","")</f>
        <v xml:space="preserve">Rahu/ Mars/ </v>
      </c>
      <c r="I4" s="71"/>
      <c r="J4" s="71" t="s">
        <v>142</v>
      </c>
      <c r="K4" s="72" t="str">
        <f>IF(TRUNC(Basics!B67/30)=4,Basics!$A$67&amp;"/ ","")&amp;IF(TRUNC(Basics!B60/30)=4,Basics!$A$60&amp;"/ ","")&amp;IF(TRUNC(Basics!B58/30)=4,Basics!$A$58&amp;"/ ","")&amp;IF(TRUNC(Basics!B59/30)=4,Basics!$A$59&amp;"/ ","")&amp;IF(TRUNC(Basics!B66/30)=4,Basics!$A$66&amp;"/ ","")&amp;IF(TRUNC(Basics!B61/30)=4,Basics!$A$61&amp;"/ ","")&amp;IF(TRUNC(Basics!B65/30)=4,Basics!$A$65&amp;"/ ","")&amp;IF(TRUNC(Basics!B62/30)=4,Basics!$A$62&amp;"/ ","")&amp;IF(TRUNC(Basics!B63/30)=4,Basics!$A$63&amp;"/ ","")&amp;IF(TRUNC(Basics!B64/30)=4,Basics!$A$64&amp;"/ ","")</f>
        <v xml:space="preserve">Asc/ </v>
      </c>
    </row>
    <row r="5" spans="1:11" ht="45" customHeight="1">
      <c r="B5" s="88" t="str">
        <f>K4</f>
        <v xml:space="preserve">Asc/ </v>
      </c>
      <c r="C5" s="89" t="s">
        <v>171</v>
      </c>
      <c r="D5" s="98" t="str">
        <f>J5</f>
        <v/>
      </c>
      <c r="E5" s="91" t="s">
        <v>170</v>
      </c>
      <c r="F5" s="92" t="str">
        <f>H5</f>
        <v/>
      </c>
      <c r="H5" s="72" t="str">
        <f>IF(TRUNC(Basics!B67/30)=8,Basics!$A$67&amp;"/ ","")&amp;IF(TRUNC(Basics!B60/30)=8,Basics!$A$60&amp;"/ ","")&amp;IF(TRUNC(Basics!B58/30)=8,Basics!$A$58&amp;"/ ","")&amp;IF(TRUNC(Basics!B59/30)=8,Basics!$A$59&amp;"/ ","")&amp;IF(TRUNC(Basics!B66/30)=8,Basics!$A$66&amp;"/ ","")&amp;IF(TRUNC(Basics!B61/30)=8,Basics!$A$61&amp;"/ ","")&amp;IF(TRUNC(Basics!B65/30)=8,Basics!$A$65&amp;"/ ","")&amp;IF(TRUNC(Basics!B62/30)=8,Basics!$A$62&amp;"/ ","")&amp;IF(TRUNC(Basics!B63/30)=8,Basics!$A$63&amp;"/ ","")&amp;IF(TRUNC(Basics!B64/30)=8,Basics!$A$64&amp;"/ ","")</f>
        <v/>
      </c>
      <c r="I5" s="72" t="str">
        <f>IF(TRUNC(Basics!B67/30)=7,Basics!$A$67&amp;"/ ","")&amp;IF(TRUNC(Basics!B60/30)=7,Basics!$A$60&amp;"/ ","")&amp;IF(TRUNC(Basics!B58/30)=7,Basics!$A$58&amp;"/ ","")&amp;IF(TRUNC(Basics!B59/30)=7,Basics!$A$59&amp;"/ ","")&amp;IF(TRUNC(Basics!B66/30)=7,Basics!$A$66&amp;"/ ","")&amp;IF(TRUNC(Basics!B61/30)=7,Basics!$A$61&amp;"/ ","")&amp;IF(TRUNC(Basics!B65/30)=7,Basics!$A$65&amp;"/ ","")&amp;IF(TRUNC(Basics!B62/30)=7,Basics!$A$62&amp;"/ ","")&amp;IF(TRUNC(Basics!B63/30)=7,Basics!$A$63&amp;"/ ","")&amp;IF(TRUNC(Basics!B64/30)=7,Basics!$A$64&amp;"/ ","")</f>
        <v xml:space="preserve">Jupiter/ </v>
      </c>
      <c r="J5" s="81" t="str">
        <f>IF(TRUNC(Basics!B67/30)=6,Basics!$A$67&amp;"/ ","")&amp;IF(TRUNC(Basics!B60/30)=6,Basics!$A$60&amp;"/ ","")&amp;IF(TRUNC(Basics!B58/30)=6,Basics!$A$58&amp;"/ ","")&amp;IF(TRUNC(Basics!B59/30)=6,Basics!$A$59&amp;"/ ","")&amp;IF(TRUNC(Basics!B66/30)=6,Basics!$A$66&amp;"/ ","")&amp;IF(TRUNC(Basics!B61/30)=6,Basics!$A$61&amp;"/ ","")&amp;IF(TRUNC(Basics!B65/30)=6,Basics!$A$65&amp;"/ ","")&amp;IF(TRUNC(Basics!B62/30)=6,Basics!$A$62&amp;"/ ","")&amp;IF(TRUNC(Basics!B63/30)=6,Basics!$A$63&amp;"/ ","")&amp;IF(TRUNC(Basics!B64/30)=6,Basics!$A$64&amp;"/ ","")</f>
        <v/>
      </c>
      <c r="K5" s="72" t="str">
        <f>IF(TRUNC(Basics!B67/30)=5,Basics!$A$67&amp;"/ ","")&amp;IF(TRUNC(Basics!B60/30)=5,Basics!$A$60&amp;"/ ","")&amp;IF(TRUNC(Basics!B58/30)=5,Basics!$A$58&amp;"/ ","")&amp;IF(TRUNC(Basics!B59/30)=5,Basics!$A$59&amp;"/ ","")&amp;IF(TRUNC(Basics!B66/30)=5,Basics!$A$66&amp;"/ ","")&amp;IF(TRUNC(Basics!B61/30)=5,Basics!$A$61&amp;"/ ","")&amp;IF(TRUNC(Basics!B65/30)=5,Basics!$A$65&amp;"/ ","")&amp;IF(TRUNC(Basics!B62/30)=5,Basics!$A$62&amp;"/ ","")&amp;IF(TRUNC(Basics!B63/30)=5,Basics!$A$63&amp;"/ ","")&amp;IF(TRUNC(Basics!B64/30)=5,Basics!$A$64&amp;"/ ","")</f>
        <v/>
      </c>
    </row>
    <row r="6" spans="1:11" ht="45" customHeight="1">
      <c r="B6" s="99" t="s">
        <v>171</v>
      </c>
      <c r="C6" s="100" t="str">
        <f>K5</f>
        <v/>
      </c>
      <c r="D6" s="101" t="str">
        <f>J5</f>
        <v/>
      </c>
      <c r="E6" s="102" t="str">
        <f>I5</f>
        <v xml:space="preserve">Jupiter/ </v>
      </c>
      <c r="F6" s="103" t="s">
        <v>170</v>
      </c>
    </row>
  </sheetData>
  <mergeCells count="1">
    <mergeCell ref="I3:J3"/>
  </mergeCells>
  <pageMargins left="0.7" right="0.7" top="0.75" bottom="0.75" header="0.511811023622047" footer="0.511811023622047"/>
  <pageSetup orientation="portrait" horizontalDpi="300" verticalDpi="30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52"/>
  <sheetViews>
    <sheetView topLeftCell="A14" zoomScaleNormal="100" workbookViewId="0">
      <selection activeCell="A22" sqref="A22"/>
    </sheetView>
  </sheetViews>
  <sheetFormatPr defaultColWidth="8.5703125" defaultRowHeight="15"/>
  <cols>
    <col min="1" max="1" width="27.140625" customWidth="1"/>
    <col min="2" max="2" width="26.85546875" customWidth="1"/>
    <col min="3" max="3" width="6.85546875" customWidth="1"/>
    <col min="4" max="4" width="8.42578125" customWidth="1"/>
    <col min="5" max="5" width="13.5703125" customWidth="1"/>
    <col min="6" max="6" width="17.140625" customWidth="1"/>
    <col min="7" max="7" width="11.140625" customWidth="1"/>
    <col min="8" max="8" width="13.5703125" customWidth="1"/>
    <col min="9" max="9" width="20.140625" customWidth="1"/>
    <col min="10" max="10" width="8.42578125" customWidth="1"/>
    <col min="11" max="11" width="20.42578125" customWidth="1"/>
    <col min="12" max="12" width="27.85546875" customWidth="1"/>
    <col min="13" max="13" width="9.42578125" customWidth="1"/>
  </cols>
  <sheetData>
    <row r="1" spans="1:12">
      <c r="B1" t="s">
        <v>174</v>
      </c>
      <c r="D1" s="104">
        <f>INT(MoonDeg*0.075)+1</f>
        <v>4</v>
      </c>
      <c r="H1">
        <f>IF(D1&gt;21,D1-1,D1)</f>
        <v>4</v>
      </c>
    </row>
    <row r="2" spans="1:12" ht="19.5">
      <c r="A2" s="105" t="s">
        <v>175</v>
      </c>
      <c r="B2" s="106" t="s">
        <v>176</v>
      </c>
      <c r="C2" s="106" t="s">
        <v>177</v>
      </c>
      <c r="D2" s="107" t="s">
        <v>178</v>
      </c>
      <c r="E2" s="107" t="s">
        <v>179</v>
      </c>
      <c r="F2" s="107" t="s">
        <v>180</v>
      </c>
      <c r="G2" s="107" t="s">
        <v>181</v>
      </c>
      <c r="H2" s="108"/>
      <c r="I2" s="107" t="s">
        <v>182</v>
      </c>
      <c r="J2" s="107" t="s">
        <v>180</v>
      </c>
      <c r="K2" s="107" t="s">
        <v>183</v>
      </c>
      <c r="L2" s="109" t="s">
        <v>184</v>
      </c>
    </row>
    <row r="3" spans="1:12" ht="19.5">
      <c r="A3" s="110" t="s">
        <v>185</v>
      </c>
      <c r="B3" s="111" t="s">
        <v>186</v>
      </c>
      <c r="C3" s="111">
        <v>1</v>
      </c>
      <c r="D3" s="112">
        <f t="shared" ref="D3:D13" si="0">MOD(C3+D$1+26,28)+1</f>
        <v>4</v>
      </c>
      <c r="E3" s="112" t="str">
        <f t="shared" ref="E3:E13" si="1">INDEX(NaxNames28,D3)</f>
        <v>Rohini</v>
      </c>
      <c r="F3" s="112" t="str">
        <f t="shared" ref="F3:F13" si="2">INDEX(NakshatraTbl,D3,3)</f>
        <v>Moon</v>
      </c>
      <c r="G3" s="112" t="s">
        <v>181</v>
      </c>
      <c r="H3" s="113">
        <f t="shared" ref="H3:H8" si="3">MOD(C3+H$1+25,27)+1</f>
        <v>4</v>
      </c>
      <c r="I3" s="112" t="str">
        <f t="shared" ref="I3:I8" si="4">VLOOKUP(H3,NakshatraInfo,2)</f>
        <v>Rohini</v>
      </c>
      <c r="J3" s="112" t="str">
        <f t="shared" ref="J3:J8" si="5">VLOOKUP(H3,NakshatraInfo,4)</f>
        <v>Moon</v>
      </c>
      <c r="K3" s="112"/>
    </row>
    <row r="4" spans="1:12" ht="19.5">
      <c r="A4" s="110" t="s">
        <v>187</v>
      </c>
      <c r="B4" s="114" t="s">
        <v>188</v>
      </c>
      <c r="C4" s="111">
        <v>4</v>
      </c>
      <c r="D4" s="112">
        <f t="shared" si="0"/>
        <v>7</v>
      </c>
      <c r="E4" s="112" t="str">
        <f t="shared" si="1"/>
        <v>Punarvasu</v>
      </c>
      <c r="F4" s="112" t="str">
        <f t="shared" si="2"/>
        <v>Jupiter</v>
      </c>
      <c r="G4" s="112" t="s">
        <v>181</v>
      </c>
      <c r="H4" s="113">
        <f t="shared" si="3"/>
        <v>7</v>
      </c>
      <c r="I4" s="112" t="str">
        <f t="shared" si="4"/>
        <v>Punarvasu</v>
      </c>
      <c r="J4" s="112" t="str">
        <f t="shared" si="5"/>
        <v>Jupiter</v>
      </c>
      <c r="K4" s="112"/>
    </row>
    <row r="5" spans="1:12" ht="19.5">
      <c r="A5" s="110" t="s">
        <v>189</v>
      </c>
      <c r="B5" s="114" t="s">
        <v>190</v>
      </c>
      <c r="C5" s="111">
        <v>7</v>
      </c>
      <c r="D5" s="112">
        <f t="shared" si="0"/>
        <v>10</v>
      </c>
      <c r="E5" s="112" t="str">
        <f t="shared" si="1"/>
        <v>Magha</v>
      </c>
      <c r="F5" s="112" t="str">
        <f t="shared" si="2"/>
        <v>Ketu</v>
      </c>
      <c r="G5" s="112" t="s">
        <v>181</v>
      </c>
      <c r="H5" s="113">
        <f t="shared" si="3"/>
        <v>10</v>
      </c>
      <c r="I5" s="112" t="str">
        <f t="shared" si="4"/>
        <v>Magha</v>
      </c>
      <c r="J5" s="112" t="str">
        <f t="shared" si="5"/>
        <v>Ketu</v>
      </c>
      <c r="K5" s="112"/>
    </row>
    <row r="6" spans="1:12" ht="19.5">
      <c r="A6" s="110" t="s">
        <v>191</v>
      </c>
      <c r="B6" s="114" t="s">
        <v>192</v>
      </c>
      <c r="C6" s="111">
        <v>8</v>
      </c>
      <c r="D6" s="112">
        <f t="shared" si="0"/>
        <v>11</v>
      </c>
      <c r="E6" s="112" t="str">
        <f t="shared" si="1"/>
        <v>P. Phalguni</v>
      </c>
      <c r="F6" s="112" t="str">
        <f t="shared" si="2"/>
        <v>Venus</v>
      </c>
      <c r="G6" s="112" t="s">
        <v>181</v>
      </c>
      <c r="H6" s="113">
        <f t="shared" si="3"/>
        <v>11</v>
      </c>
      <c r="I6" s="112" t="str">
        <f t="shared" si="4"/>
        <v>Purva Phalguni</v>
      </c>
      <c r="J6" s="112" t="str">
        <f t="shared" si="5"/>
        <v>Venus</v>
      </c>
      <c r="K6" s="112"/>
    </row>
    <row r="7" spans="1:12" ht="19.5">
      <c r="A7" s="110" t="s">
        <v>193</v>
      </c>
      <c r="B7" s="114" t="s">
        <v>194</v>
      </c>
      <c r="C7" s="111">
        <v>10</v>
      </c>
      <c r="D7" s="112">
        <f t="shared" si="0"/>
        <v>13</v>
      </c>
      <c r="E7" s="112" t="str">
        <f t="shared" si="1"/>
        <v>Hasta</v>
      </c>
      <c r="F7" s="112" t="str">
        <f t="shared" si="2"/>
        <v>Moon</v>
      </c>
      <c r="G7" s="112" t="s">
        <v>181</v>
      </c>
      <c r="H7" s="113">
        <f t="shared" si="3"/>
        <v>13</v>
      </c>
      <c r="I7" s="112" t="str">
        <f t="shared" si="4"/>
        <v>Hasta</v>
      </c>
      <c r="J7" s="112" t="str">
        <f t="shared" si="5"/>
        <v>Moon</v>
      </c>
      <c r="K7" s="115">
        <v>10</v>
      </c>
    </row>
    <row r="8" spans="1:12" ht="19.5">
      <c r="A8" s="110" t="s">
        <v>195</v>
      </c>
      <c r="B8" s="114"/>
      <c r="C8" s="111">
        <v>11</v>
      </c>
      <c r="D8" s="112">
        <f t="shared" si="0"/>
        <v>14</v>
      </c>
      <c r="E8" s="112" t="str">
        <f t="shared" si="1"/>
        <v>Chitra</v>
      </c>
      <c r="F8" s="112" t="str">
        <f t="shared" si="2"/>
        <v>Mars</v>
      </c>
      <c r="G8" s="112" t="s">
        <v>181</v>
      </c>
      <c r="H8" s="113">
        <f t="shared" si="3"/>
        <v>14</v>
      </c>
      <c r="I8" s="112" t="str">
        <f t="shared" si="4"/>
        <v>Chitra</v>
      </c>
      <c r="J8" s="112" t="str">
        <f t="shared" si="5"/>
        <v>Mars</v>
      </c>
      <c r="K8" s="115"/>
    </row>
    <row r="9" spans="1:12" ht="19.5">
      <c r="A9" s="110" t="s">
        <v>196</v>
      </c>
      <c r="B9" s="114" t="s">
        <v>197</v>
      </c>
      <c r="C9" s="111">
        <v>12</v>
      </c>
      <c r="D9" s="112">
        <f t="shared" si="0"/>
        <v>15</v>
      </c>
      <c r="E9" s="112" t="str">
        <f t="shared" si="1"/>
        <v>Swati</v>
      </c>
      <c r="F9" s="112" t="str">
        <f t="shared" si="2"/>
        <v>Rahu</v>
      </c>
      <c r="G9" s="112" t="s">
        <v>181</v>
      </c>
      <c r="H9" s="113" t="s">
        <v>98</v>
      </c>
      <c r="I9" s="112" t="s">
        <v>98</v>
      </c>
      <c r="J9" s="112" t="s">
        <v>98</v>
      </c>
      <c r="K9" s="115">
        <v>12</v>
      </c>
    </row>
    <row r="10" spans="1:12" ht="19.5">
      <c r="A10" s="110" t="s">
        <v>198</v>
      </c>
      <c r="B10" s="114" t="s">
        <v>199</v>
      </c>
      <c r="C10" s="111">
        <v>13</v>
      </c>
      <c r="D10" s="112">
        <f t="shared" si="0"/>
        <v>16</v>
      </c>
      <c r="E10" s="112" t="str">
        <f t="shared" si="1"/>
        <v>Vishaka</v>
      </c>
      <c r="F10" s="112" t="str">
        <f t="shared" si="2"/>
        <v>Jupiter</v>
      </c>
      <c r="G10" s="112" t="s">
        <v>181</v>
      </c>
      <c r="H10" s="113">
        <f t="shared" ref="H10:H22" si="6">MOD(C10+H$1+25,27)+1</f>
        <v>16</v>
      </c>
      <c r="I10" s="112" t="str">
        <f>VLOOKUP(H10,NakshatraInfo,2)</f>
        <v>Vishakha</v>
      </c>
      <c r="J10" s="112" t="str">
        <f>VLOOKUP(H10,NakshatraInfo,4)</f>
        <v>Jupiter</v>
      </c>
      <c r="K10" s="115">
        <v>1</v>
      </c>
    </row>
    <row r="11" spans="1:12" ht="19.5">
      <c r="A11" s="110" t="s">
        <v>200</v>
      </c>
      <c r="B11" s="114"/>
      <c r="C11" s="111">
        <v>14</v>
      </c>
      <c r="D11" s="112">
        <f t="shared" si="0"/>
        <v>17</v>
      </c>
      <c r="E11" s="112" t="str">
        <f t="shared" si="1"/>
        <v>Anuradha</v>
      </c>
      <c r="F11" s="112" t="str">
        <f t="shared" si="2"/>
        <v>Sat</v>
      </c>
      <c r="G11" s="112" t="s">
        <v>181</v>
      </c>
      <c r="H11" s="113">
        <f t="shared" si="6"/>
        <v>17</v>
      </c>
      <c r="I11" s="112" t="str">
        <f>VLOOKUP(H11,NakshatraInfo,2)</f>
        <v>Anuradha</v>
      </c>
      <c r="J11" s="112" t="str">
        <f>VLOOKUP(H11,NakshatraInfo,4)</f>
        <v>Sat</v>
      </c>
      <c r="K11" s="115"/>
    </row>
    <row r="12" spans="1:12" ht="19.5">
      <c r="A12" s="110" t="s">
        <v>201</v>
      </c>
      <c r="B12" s="114"/>
      <c r="C12" s="111">
        <v>15</v>
      </c>
      <c r="D12" s="112">
        <f t="shared" si="0"/>
        <v>18</v>
      </c>
      <c r="E12" s="112" t="str">
        <f t="shared" si="1"/>
        <v>Jyeshta</v>
      </c>
      <c r="F12" s="112" t="str">
        <f t="shared" si="2"/>
        <v>Merc</v>
      </c>
      <c r="G12" s="112" t="s">
        <v>181</v>
      </c>
      <c r="H12" s="113">
        <f t="shared" si="6"/>
        <v>18</v>
      </c>
      <c r="I12" s="112"/>
      <c r="J12" s="112"/>
      <c r="K12" s="115"/>
    </row>
    <row r="13" spans="1:12" ht="19.5">
      <c r="A13" s="110" t="s">
        <v>202</v>
      </c>
      <c r="B13" s="114" t="s">
        <v>203</v>
      </c>
      <c r="C13" s="111">
        <v>16</v>
      </c>
      <c r="D13" s="112">
        <f t="shared" si="0"/>
        <v>19</v>
      </c>
      <c r="E13" s="112" t="str">
        <f t="shared" si="1"/>
        <v>Moola</v>
      </c>
      <c r="F13" s="112" t="str">
        <f t="shared" si="2"/>
        <v>Ketu</v>
      </c>
      <c r="G13" s="112" t="s">
        <v>181</v>
      </c>
      <c r="H13" s="113">
        <f t="shared" si="6"/>
        <v>19</v>
      </c>
      <c r="I13" s="112" t="str">
        <f t="shared" ref="I13:I19" si="7">VLOOKUP(H13,NakshatraInfo,2)</f>
        <v>Mula</v>
      </c>
      <c r="J13" s="112" t="str">
        <f t="shared" ref="J13:J19" si="8">VLOOKUP(H13,NakshatraInfo,4)</f>
        <v>Ketu</v>
      </c>
      <c r="K13" s="115">
        <v>4</v>
      </c>
    </row>
    <row r="14" spans="1:12" ht="19.5">
      <c r="A14" s="110" t="s">
        <v>204</v>
      </c>
      <c r="B14" s="111" t="s">
        <v>205</v>
      </c>
      <c r="C14" s="111">
        <v>17</v>
      </c>
      <c r="D14" s="112" t="s">
        <v>98</v>
      </c>
      <c r="E14" s="112" t="s">
        <v>98</v>
      </c>
      <c r="F14" s="112" t="s">
        <v>98</v>
      </c>
      <c r="G14" s="112" t="s">
        <v>181</v>
      </c>
      <c r="H14" s="113">
        <f t="shared" si="6"/>
        <v>20</v>
      </c>
      <c r="I14" s="112" t="str">
        <f t="shared" si="7"/>
        <v>Purva Ashadha</v>
      </c>
      <c r="J14" s="112" t="str">
        <f t="shared" si="8"/>
        <v>Venus</v>
      </c>
      <c r="K14" s="115"/>
    </row>
    <row r="15" spans="1:12" ht="19.5">
      <c r="A15" s="110" t="s">
        <v>206</v>
      </c>
      <c r="B15" s="114" t="s">
        <v>207</v>
      </c>
      <c r="C15" s="111">
        <v>18</v>
      </c>
      <c r="D15" s="112">
        <f t="shared" ref="D15:D25" si="9">MOD(C15+D$1+26,28)+1</f>
        <v>21</v>
      </c>
      <c r="E15" s="112" t="str">
        <f t="shared" ref="E15:E25" si="10">INDEX(NaxNames28,D15)</f>
        <v>U. Ashada</v>
      </c>
      <c r="F15" s="112" t="str">
        <f t="shared" ref="F15:F25" si="11">INDEX(NakshatraTbl,D15,3)</f>
        <v>Sun</v>
      </c>
      <c r="G15" s="112" t="s">
        <v>181</v>
      </c>
      <c r="H15" s="113">
        <f t="shared" si="6"/>
        <v>21</v>
      </c>
      <c r="I15" s="112" t="str">
        <f t="shared" si="7"/>
        <v>Uttara Ashadha</v>
      </c>
      <c r="J15" s="112" t="str">
        <f t="shared" si="8"/>
        <v>Sun</v>
      </c>
      <c r="K15" s="115">
        <v>6</v>
      </c>
    </row>
    <row r="16" spans="1:12" ht="19.5">
      <c r="A16" s="110" t="s">
        <v>208</v>
      </c>
      <c r="B16" s="114" t="s">
        <v>209</v>
      </c>
      <c r="C16" s="111">
        <v>19</v>
      </c>
      <c r="D16" s="112">
        <f t="shared" si="9"/>
        <v>22</v>
      </c>
      <c r="E16" s="112" t="str">
        <f t="shared" si="10"/>
        <v>Abhjit</v>
      </c>
      <c r="F16" s="112" t="str">
        <f t="shared" si="11"/>
        <v>Sun</v>
      </c>
      <c r="G16" s="112" t="s">
        <v>181</v>
      </c>
      <c r="H16" s="113">
        <f t="shared" si="6"/>
        <v>22</v>
      </c>
      <c r="I16" s="112" t="str">
        <f t="shared" si="7"/>
        <v>Shravan</v>
      </c>
      <c r="J16" s="112" t="str">
        <f t="shared" si="8"/>
        <v>Moon</v>
      </c>
      <c r="K16" s="115">
        <v>7</v>
      </c>
    </row>
    <row r="17" spans="1:11" ht="19.5">
      <c r="A17" s="110" t="s">
        <v>210</v>
      </c>
      <c r="B17" s="114"/>
      <c r="C17" s="111">
        <v>20</v>
      </c>
      <c r="D17" s="112">
        <f t="shared" si="9"/>
        <v>23</v>
      </c>
      <c r="E17" s="112" t="str">
        <f t="shared" si="10"/>
        <v>Sravana</v>
      </c>
      <c r="F17" s="112" t="str">
        <f t="shared" si="11"/>
        <v>Moon</v>
      </c>
      <c r="G17" s="112" t="s">
        <v>181</v>
      </c>
      <c r="H17" s="113">
        <f t="shared" si="6"/>
        <v>23</v>
      </c>
      <c r="I17" s="112" t="str">
        <f t="shared" si="7"/>
        <v>Dhanistha</v>
      </c>
      <c r="J17" s="112" t="str">
        <f t="shared" si="8"/>
        <v>Mars</v>
      </c>
      <c r="K17" s="115"/>
    </row>
    <row r="18" spans="1:11" ht="19.5">
      <c r="A18" s="110" t="s">
        <v>211</v>
      </c>
      <c r="B18" s="114"/>
      <c r="C18" s="111">
        <v>21</v>
      </c>
      <c r="D18" s="112">
        <f t="shared" si="9"/>
        <v>24</v>
      </c>
      <c r="E18" s="112" t="str">
        <f t="shared" si="10"/>
        <v>Dhanishta</v>
      </c>
      <c r="F18" s="112" t="str">
        <f t="shared" si="11"/>
        <v>Mars</v>
      </c>
      <c r="G18" s="112" t="s">
        <v>181</v>
      </c>
      <c r="H18" s="113">
        <f t="shared" si="6"/>
        <v>24</v>
      </c>
      <c r="I18" s="112" t="str">
        <f t="shared" si="7"/>
        <v>Satabishak</v>
      </c>
      <c r="J18" s="112" t="str">
        <f t="shared" si="8"/>
        <v>Rahu</v>
      </c>
      <c r="K18" s="115"/>
    </row>
    <row r="19" spans="1:11" ht="19.5">
      <c r="A19" s="110" t="s">
        <v>212</v>
      </c>
      <c r="B19" s="114" t="s">
        <v>213</v>
      </c>
      <c r="C19" s="111">
        <v>22</v>
      </c>
      <c r="D19" s="112">
        <f t="shared" si="9"/>
        <v>25</v>
      </c>
      <c r="E19" s="112" t="str">
        <f t="shared" si="10"/>
        <v>Shatabhishaj</v>
      </c>
      <c r="F19" s="112" t="str">
        <f t="shared" si="11"/>
        <v>Rahu</v>
      </c>
      <c r="G19" s="112" t="s">
        <v>181</v>
      </c>
      <c r="H19" s="113">
        <f t="shared" si="6"/>
        <v>25</v>
      </c>
      <c r="I19" s="112" t="str">
        <f t="shared" si="7"/>
        <v>Purva Bhadrapad</v>
      </c>
      <c r="J19" s="112" t="str">
        <f t="shared" si="8"/>
        <v>Jupiter</v>
      </c>
      <c r="K19" s="115">
        <v>10</v>
      </c>
    </row>
    <row r="20" spans="1:11" ht="19.5">
      <c r="A20" s="110" t="s">
        <v>214</v>
      </c>
      <c r="B20" s="114"/>
      <c r="C20" s="111">
        <v>23</v>
      </c>
      <c r="D20" s="112">
        <f t="shared" si="9"/>
        <v>26</v>
      </c>
      <c r="E20" s="112" t="str">
        <f t="shared" si="10"/>
        <v>P. Bhadra</v>
      </c>
      <c r="F20" s="112" t="str">
        <f t="shared" si="11"/>
        <v>Jupiter</v>
      </c>
      <c r="G20" s="112"/>
      <c r="H20" s="113">
        <f t="shared" si="6"/>
        <v>26</v>
      </c>
      <c r="I20" s="112"/>
      <c r="J20" s="112"/>
      <c r="K20" s="115"/>
    </row>
    <row r="21" spans="1:11" ht="19.5">
      <c r="A21" s="110" t="s">
        <v>215</v>
      </c>
      <c r="B21" s="114"/>
      <c r="C21" s="111">
        <v>24</v>
      </c>
      <c r="D21" s="112">
        <f t="shared" si="9"/>
        <v>27</v>
      </c>
      <c r="E21" s="112" t="str">
        <f t="shared" si="10"/>
        <v>U. Bhadra</v>
      </c>
      <c r="F21" s="112" t="str">
        <f t="shared" si="11"/>
        <v>Sat</v>
      </c>
      <c r="G21" s="112"/>
      <c r="H21" s="113">
        <f t="shared" si="6"/>
        <v>27</v>
      </c>
      <c r="I21" s="112"/>
      <c r="J21" s="112"/>
      <c r="K21" s="115"/>
    </row>
    <row r="22" spans="1:11" ht="19.5">
      <c r="A22" s="110" t="s">
        <v>216</v>
      </c>
      <c r="B22" s="114" t="s">
        <v>217</v>
      </c>
      <c r="C22" s="111">
        <v>25</v>
      </c>
      <c r="D22" s="112">
        <f t="shared" si="9"/>
        <v>28</v>
      </c>
      <c r="E22" s="112" t="str">
        <f t="shared" si="10"/>
        <v>Revati</v>
      </c>
      <c r="F22" s="112" t="str">
        <f t="shared" si="11"/>
        <v>Merc</v>
      </c>
      <c r="G22" s="112" t="s">
        <v>181</v>
      </c>
      <c r="H22" s="116">
        <f t="shared" si="6"/>
        <v>1</v>
      </c>
      <c r="I22" s="117" t="str">
        <f>VLOOKUP(H22,NakshatraInfo,2)</f>
        <v>Ashvini</v>
      </c>
      <c r="J22" s="117" t="str">
        <f>VLOOKUP(H22,NakshatraInfo,4)</f>
        <v>Ketu</v>
      </c>
      <c r="K22" s="115">
        <v>1</v>
      </c>
    </row>
    <row r="23" spans="1:11" ht="19.5">
      <c r="A23" s="110" t="s">
        <v>218</v>
      </c>
      <c r="B23" s="114"/>
      <c r="C23" s="111">
        <v>26</v>
      </c>
      <c r="D23" s="112">
        <f t="shared" si="9"/>
        <v>1</v>
      </c>
      <c r="E23" s="112" t="str">
        <f t="shared" si="10"/>
        <v>Ashwini</v>
      </c>
      <c r="F23" s="112" t="str">
        <f t="shared" si="11"/>
        <v>Ketu</v>
      </c>
      <c r="G23" s="112" t="s">
        <v>181</v>
      </c>
      <c r="H23" s="113" t="s">
        <v>98</v>
      </c>
      <c r="I23" s="112" t="s">
        <v>98</v>
      </c>
      <c r="J23" s="112" t="s">
        <v>98</v>
      </c>
      <c r="K23" s="115"/>
    </row>
    <row r="24" spans="1:11" ht="19.5">
      <c r="A24" s="110" t="s">
        <v>219</v>
      </c>
      <c r="B24" s="118"/>
      <c r="C24" s="111">
        <v>27</v>
      </c>
      <c r="D24" s="112">
        <f t="shared" si="9"/>
        <v>2</v>
      </c>
      <c r="E24" s="112" t="str">
        <f t="shared" si="10"/>
        <v>Bharani</v>
      </c>
      <c r="F24" s="112" t="str">
        <f t="shared" si="11"/>
        <v>Venus</v>
      </c>
      <c r="G24" s="112" t="s">
        <v>181</v>
      </c>
      <c r="H24" s="113">
        <f>MOD(C24+H$1+25,27)+1</f>
        <v>3</v>
      </c>
      <c r="I24" s="112" t="str">
        <f>VLOOKUP(H24,NakshatraInfo,2)</f>
        <v>Kritika</v>
      </c>
      <c r="J24" s="112" t="str">
        <f>VLOOKUP(H24,NakshatraInfo,4)</f>
        <v>Sun</v>
      </c>
      <c r="K24" s="115">
        <v>3</v>
      </c>
    </row>
    <row r="25" spans="1:11" ht="19.5">
      <c r="A25" s="119" t="s">
        <v>220</v>
      </c>
      <c r="B25" s="118" t="s">
        <v>221</v>
      </c>
      <c r="C25" s="118">
        <v>28</v>
      </c>
      <c r="D25" s="112">
        <f t="shared" si="9"/>
        <v>3</v>
      </c>
      <c r="E25" s="112" t="str">
        <f t="shared" si="10"/>
        <v>Krittika</v>
      </c>
      <c r="F25" s="112" t="str">
        <f t="shared" si="11"/>
        <v>Sun</v>
      </c>
      <c r="G25" s="112" t="s">
        <v>181</v>
      </c>
      <c r="H25" s="113" t="s">
        <v>98</v>
      </c>
      <c r="I25" s="112" t="s">
        <v>98</v>
      </c>
      <c r="J25" s="112" t="s">
        <v>98</v>
      </c>
      <c r="K25" s="115">
        <v>3</v>
      </c>
    </row>
    <row r="27" spans="1:11">
      <c r="A27" t="s">
        <v>222</v>
      </c>
      <c r="B27" s="104">
        <f>INT(SunDeg*0.075)+1</f>
        <v>7</v>
      </c>
      <c r="D27" t="str">
        <f>INDEX(NaxNames28,B27)</f>
        <v>Punarvasu</v>
      </c>
    </row>
    <row r="28" spans="1:11" ht="15.75">
      <c r="A28" s="120" t="s">
        <v>223</v>
      </c>
      <c r="B28" s="120" t="s">
        <v>224</v>
      </c>
      <c r="C28" s="120" t="s">
        <v>177</v>
      </c>
      <c r="D28" s="120" t="s">
        <v>225</v>
      </c>
      <c r="E28" s="120"/>
      <c r="F28" s="120" t="s">
        <v>182</v>
      </c>
      <c r="G28" s="120" t="s">
        <v>180</v>
      </c>
      <c r="H28" s="120"/>
      <c r="I28" s="120" t="s">
        <v>179</v>
      </c>
    </row>
    <row r="29" spans="1:11" ht="15.75">
      <c r="A29" s="121" t="s">
        <v>226</v>
      </c>
      <c r="B29" s="122" t="s">
        <v>227</v>
      </c>
      <c r="C29" s="122">
        <v>5</v>
      </c>
      <c r="D29" s="123">
        <f t="shared" ref="D29:D36" si="12">MOD(C29+B$27+25,27)+1</f>
        <v>11</v>
      </c>
      <c r="E29" s="123" t="str">
        <f t="shared" ref="E29:E36" si="13">INDEX(NakshatraTbl,D29,1)</f>
        <v>Purva Phalguni</v>
      </c>
      <c r="F29" s="124"/>
      <c r="G29" s="123" t="str">
        <f t="shared" ref="G29:G36" si="14">INDEX(NakshatraTbl,D29,3)</f>
        <v>Venus</v>
      </c>
      <c r="H29" s="123">
        <f t="shared" ref="H29:H36" si="15">MOD(C29+B$27+26,28)+1</f>
        <v>11</v>
      </c>
      <c r="I29" s="123" t="str">
        <f t="shared" ref="I29:I36" si="16">INDEX(NaxNames28,H29)</f>
        <v>P. Phalguni</v>
      </c>
    </row>
    <row r="30" spans="1:11" ht="15.75">
      <c r="A30" s="121" t="s">
        <v>228</v>
      </c>
      <c r="B30" s="122" t="s">
        <v>229</v>
      </c>
      <c r="C30" s="122">
        <v>8</v>
      </c>
      <c r="D30" s="123">
        <f t="shared" si="12"/>
        <v>14</v>
      </c>
      <c r="E30" s="123" t="str">
        <f t="shared" si="13"/>
        <v>Chitra</v>
      </c>
      <c r="F30" s="124"/>
      <c r="G30" s="123" t="str">
        <f t="shared" si="14"/>
        <v>Mars</v>
      </c>
      <c r="H30" s="123">
        <f t="shared" si="15"/>
        <v>14</v>
      </c>
      <c r="I30" s="123" t="str">
        <f t="shared" si="16"/>
        <v>Chitra</v>
      </c>
    </row>
    <row r="31" spans="1:11" ht="15.75">
      <c r="A31" s="121" t="s">
        <v>230</v>
      </c>
      <c r="B31" s="122" t="s">
        <v>231</v>
      </c>
      <c r="C31" s="122">
        <v>14</v>
      </c>
      <c r="D31" s="123">
        <f t="shared" si="12"/>
        <v>20</v>
      </c>
      <c r="E31" s="123" t="str">
        <f t="shared" si="13"/>
        <v>Purva Ashadha</v>
      </c>
      <c r="F31" s="124"/>
      <c r="G31" s="123" t="str">
        <f t="shared" si="14"/>
        <v>Venus</v>
      </c>
      <c r="H31" s="123">
        <f t="shared" si="15"/>
        <v>20</v>
      </c>
      <c r="I31" s="123" t="str">
        <f t="shared" si="16"/>
        <v>P. Ashada</v>
      </c>
    </row>
    <row r="32" spans="1:11" ht="15.75">
      <c r="A32" s="121" t="s">
        <v>166</v>
      </c>
      <c r="B32" s="122" t="s">
        <v>232</v>
      </c>
      <c r="C32" s="122">
        <v>18</v>
      </c>
      <c r="D32" s="123">
        <f t="shared" si="12"/>
        <v>24</v>
      </c>
      <c r="E32" s="123" t="str">
        <f t="shared" si="13"/>
        <v>Dhanistha</v>
      </c>
      <c r="F32" s="124"/>
      <c r="G32" s="123" t="str">
        <f t="shared" si="14"/>
        <v>Mars</v>
      </c>
      <c r="H32" s="123">
        <f t="shared" si="15"/>
        <v>24</v>
      </c>
      <c r="I32" s="123" t="str">
        <f t="shared" si="16"/>
        <v>Dhanishta</v>
      </c>
    </row>
    <row r="33" spans="1:15" ht="15.75">
      <c r="A33" s="121" t="s">
        <v>233</v>
      </c>
      <c r="B33" s="122" t="s">
        <v>234</v>
      </c>
      <c r="C33" s="122">
        <v>21</v>
      </c>
      <c r="D33" s="123">
        <f t="shared" si="12"/>
        <v>27</v>
      </c>
      <c r="E33" s="123" t="str">
        <f t="shared" si="13"/>
        <v>Uttara Bhadrapad</v>
      </c>
      <c r="F33" s="124"/>
      <c r="G33" s="123" t="str">
        <f t="shared" si="14"/>
        <v>Sat</v>
      </c>
      <c r="H33" s="123">
        <f t="shared" si="15"/>
        <v>27</v>
      </c>
      <c r="I33" s="123" t="str">
        <f t="shared" si="16"/>
        <v>U. Bhadra</v>
      </c>
    </row>
    <row r="34" spans="1:15" ht="15.75">
      <c r="A34" s="121" t="s">
        <v>235</v>
      </c>
      <c r="B34" s="122" t="s">
        <v>236</v>
      </c>
      <c r="C34" s="122">
        <v>22</v>
      </c>
      <c r="D34" s="123">
        <f t="shared" si="12"/>
        <v>1</v>
      </c>
      <c r="E34" s="123" t="str">
        <f t="shared" si="13"/>
        <v>Ashvini</v>
      </c>
      <c r="F34" s="124"/>
      <c r="G34" s="123" t="str">
        <f t="shared" si="14"/>
        <v>Ketu</v>
      </c>
      <c r="H34" s="123">
        <f t="shared" si="15"/>
        <v>28</v>
      </c>
      <c r="I34" s="123" t="str">
        <f t="shared" si="16"/>
        <v>Revati</v>
      </c>
    </row>
    <row r="35" spans="1:15" ht="15.75">
      <c r="A35" s="121" t="s">
        <v>237</v>
      </c>
      <c r="B35" s="122" t="s">
        <v>238</v>
      </c>
      <c r="C35" s="122">
        <v>23</v>
      </c>
      <c r="D35" s="123">
        <f t="shared" si="12"/>
        <v>2</v>
      </c>
      <c r="E35" s="123" t="str">
        <f t="shared" si="13"/>
        <v>Bharani</v>
      </c>
      <c r="F35" s="124"/>
      <c r="G35" s="123" t="str">
        <f t="shared" si="14"/>
        <v>Venus</v>
      </c>
      <c r="H35" s="123">
        <f t="shared" si="15"/>
        <v>1</v>
      </c>
      <c r="I35" s="123" t="str">
        <f t="shared" si="16"/>
        <v>Ashwini</v>
      </c>
    </row>
    <row r="36" spans="1:15" ht="15.75">
      <c r="A36" s="121" t="s">
        <v>239</v>
      </c>
      <c r="B36" s="122" t="s">
        <v>240</v>
      </c>
      <c r="C36" s="122">
        <v>24</v>
      </c>
      <c r="D36" s="123">
        <f t="shared" si="12"/>
        <v>3</v>
      </c>
      <c r="E36" s="123" t="str">
        <f t="shared" si="13"/>
        <v>Kritika</v>
      </c>
      <c r="F36" s="124"/>
      <c r="G36" s="123" t="str">
        <f t="shared" si="14"/>
        <v>Sun</v>
      </c>
      <c r="H36" s="123">
        <f t="shared" si="15"/>
        <v>2</v>
      </c>
      <c r="I36" s="123" t="str">
        <f t="shared" si="16"/>
        <v>Bharani</v>
      </c>
    </row>
    <row r="39" spans="1:15">
      <c r="A39" t="s">
        <v>241</v>
      </c>
      <c r="B39" t="s">
        <v>242</v>
      </c>
      <c r="C39" t="s">
        <v>243</v>
      </c>
      <c r="D39" s="125" t="s">
        <v>244</v>
      </c>
      <c r="E39" s="126" t="s">
        <v>245</v>
      </c>
      <c r="F39" s="127" t="s">
        <v>246</v>
      </c>
      <c r="G39" s="128" t="s">
        <v>247</v>
      </c>
      <c r="H39" s="126" t="s">
        <v>248</v>
      </c>
      <c r="I39" s="127" t="s">
        <v>249</v>
      </c>
      <c r="J39" s="128" t="s">
        <v>250</v>
      </c>
      <c r="K39" s="126" t="s">
        <v>251</v>
      </c>
      <c r="L39" s="127" t="s">
        <v>252</v>
      </c>
      <c r="M39" s="127" t="s">
        <v>253</v>
      </c>
      <c r="N39" s="128" t="s">
        <v>254</v>
      </c>
      <c r="O39" t="s">
        <v>255</v>
      </c>
    </row>
    <row r="40" spans="1:15">
      <c r="A40" s="32" t="s">
        <v>186</v>
      </c>
      <c r="B40" s="32" t="s">
        <v>159</v>
      </c>
      <c r="C40" s="129">
        <v>1</v>
      </c>
      <c r="D40" s="130" t="str">
        <f t="shared" ref="D40:D48" si="17">VLOOKUP(E40,NakshatraInfo,4)</f>
        <v>Moon</v>
      </c>
      <c r="E40" s="131">
        <f>D1</f>
        <v>4</v>
      </c>
      <c r="F40" t="str">
        <f t="shared" ref="F40:F48" si="18">VLOOKUP(E40,NakshatraInfo,2)</f>
        <v>Rohini</v>
      </c>
      <c r="G40" s="132" t="s">
        <v>186</v>
      </c>
      <c r="H40" s="133">
        <f>MOD(E48,27)+1</f>
        <v>13</v>
      </c>
      <c r="I40" t="str">
        <f t="shared" ref="I40:I48" si="19">VLOOKUP(H40,NakshatraInfo,2)</f>
        <v>Hasta</v>
      </c>
      <c r="J40" s="132" t="s">
        <v>256</v>
      </c>
      <c r="K40" s="133">
        <f>MOD(H48,27)+1</f>
        <v>22</v>
      </c>
      <c r="L40" t="str">
        <f t="shared" ref="L40:L48" si="20">VLOOKUP(K40,NakshatraInfo,2)</f>
        <v>Shravan</v>
      </c>
      <c r="M40" t="s">
        <v>257</v>
      </c>
      <c r="N40" s="132" t="str">
        <f t="shared" ref="N40:N48" si="21">VLOOKUP(K40,NakshatraInfo,4)</f>
        <v>Moon</v>
      </c>
      <c r="O40">
        <v>1</v>
      </c>
    </row>
    <row r="41" spans="1:15">
      <c r="A41" s="32" t="s">
        <v>258</v>
      </c>
      <c r="B41" s="32" t="s">
        <v>160</v>
      </c>
      <c r="C41" s="129">
        <v>2</v>
      </c>
      <c r="D41" s="130" t="str">
        <f t="shared" si="17"/>
        <v>Mars</v>
      </c>
      <c r="E41" s="133">
        <f t="shared" ref="E41:E48" si="22">MOD(E40,27)+1</f>
        <v>5</v>
      </c>
      <c r="F41" t="str">
        <f t="shared" si="18"/>
        <v>Mrigashira</v>
      </c>
      <c r="G41" s="132" t="s">
        <v>259</v>
      </c>
      <c r="H41" s="133">
        <f t="shared" ref="H41:H48" si="23">MOD(H40,27)+1</f>
        <v>14</v>
      </c>
      <c r="I41" t="str">
        <f t="shared" si="19"/>
        <v>Chitra</v>
      </c>
      <c r="J41" s="132" t="s">
        <v>260</v>
      </c>
      <c r="K41" s="133">
        <f t="shared" ref="K41:K48" si="24">MOD(K40,27)+1</f>
        <v>23</v>
      </c>
      <c r="L41" t="str">
        <f t="shared" si="20"/>
        <v>Dhanistha</v>
      </c>
      <c r="M41" t="s">
        <v>261</v>
      </c>
      <c r="N41" s="132" t="str">
        <f t="shared" si="21"/>
        <v>Mars</v>
      </c>
      <c r="O41">
        <v>2</v>
      </c>
    </row>
    <row r="42" spans="1:15">
      <c r="A42" s="134" t="s">
        <v>262</v>
      </c>
      <c r="B42" s="134" t="s">
        <v>165</v>
      </c>
      <c r="C42" s="135">
        <v>3</v>
      </c>
      <c r="D42" s="136" t="str">
        <f t="shared" si="17"/>
        <v>Rahu</v>
      </c>
      <c r="E42" s="137">
        <f t="shared" si="22"/>
        <v>6</v>
      </c>
      <c r="F42" s="138" t="str">
        <f t="shared" si="18"/>
        <v>Ardra</v>
      </c>
      <c r="G42" s="139" t="s">
        <v>263</v>
      </c>
      <c r="H42" s="137">
        <f t="shared" si="23"/>
        <v>15</v>
      </c>
      <c r="I42" s="138" t="str">
        <f t="shared" si="19"/>
        <v>Swati</v>
      </c>
      <c r="J42" s="139" t="s">
        <v>264</v>
      </c>
      <c r="K42" s="137">
        <f t="shared" si="24"/>
        <v>24</v>
      </c>
      <c r="L42" s="138" t="str">
        <f t="shared" si="20"/>
        <v>Satabishak</v>
      </c>
      <c r="M42" s="138" t="s">
        <v>265</v>
      </c>
      <c r="N42" s="139" t="str">
        <f t="shared" si="21"/>
        <v>Rahu</v>
      </c>
      <c r="O42">
        <v>3</v>
      </c>
    </row>
    <row r="43" spans="1:15">
      <c r="A43" s="32" t="s">
        <v>266</v>
      </c>
      <c r="B43" s="32" t="s">
        <v>162</v>
      </c>
      <c r="C43" s="129">
        <v>4</v>
      </c>
      <c r="D43" s="130" t="str">
        <f t="shared" si="17"/>
        <v>Jupiter</v>
      </c>
      <c r="E43" s="133">
        <f t="shared" si="22"/>
        <v>7</v>
      </c>
      <c r="F43" t="str">
        <f t="shared" si="18"/>
        <v>Punarvasu</v>
      </c>
      <c r="G43" s="132" t="s">
        <v>267</v>
      </c>
      <c r="H43" s="133">
        <f t="shared" si="23"/>
        <v>16</v>
      </c>
      <c r="I43" t="str">
        <f t="shared" si="19"/>
        <v>Vishakha</v>
      </c>
      <c r="J43" s="132" t="s">
        <v>268</v>
      </c>
      <c r="K43" s="133">
        <f t="shared" si="24"/>
        <v>25</v>
      </c>
      <c r="L43" t="str">
        <f t="shared" si="20"/>
        <v>Purva Bhadrapad</v>
      </c>
      <c r="M43" t="s">
        <v>269</v>
      </c>
      <c r="N43" s="132" t="str">
        <f t="shared" si="21"/>
        <v>Jupiter</v>
      </c>
      <c r="O43">
        <v>4</v>
      </c>
    </row>
    <row r="44" spans="1:15">
      <c r="A44" s="134" t="s">
        <v>270</v>
      </c>
      <c r="B44" s="134" t="s">
        <v>164</v>
      </c>
      <c r="C44" s="135">
        <v>5</v>
      </c>
      <c r="D44" s="136" t="str">
        <f t="shared" si="17"/>
        <v>Sat</v>
      </c>
      <c r="E44" s="137">
        <f t="shared" si="22"/>
        <v>8</v>
      </c>
      <c r="F44" s="138" t="str">
        <f t="shared" si="18"/>
        <v>Pushya</v>
      </c>
      <c r="G44" s="139" t="s">
        <v>271</v>
      </c>
      <c r="H44" s="137">
        <f t="shared" si="23"/>
        <v>17</v>
      </c>
      <c r="I44" s="138" t="str">
        <f t="shared" si="19"/>
        <v>Anuradha</v>
      </c>
      <c r="J44" s="139" t="s">
        <v>272</v>
      </c>
      <c r="K44" s="137">
        <f t="shared" si="24"/>
        <v>26</v>
      </c>
      <c r="L44" s="138" t="str">
        <f t="shared" si="20"/>
        <v>Uttara Bhadrapad</v>
      </c>
      <c r="M44" s="138" t="s">
        <v>273</v>
      </c>
      <c r="N44" s="139" t="str">
        <f t="shared" si="21"/>
        <v>Sat</v>
      </c>
      <c r="O44">
        <v>5</v>
      </c>
    </row>
    <row r="45" spans="1:15">
      <c r="A45" s="32" t="s">
        <v>274</v>
      </c>
      <c r="B45" s="32" t="s">
        <v>161</v>
      </c>
      <c r="C45" s="129">
        <v>6</v>
      </c>
      <c r="D45" s="130" t="str">
        <f t="shared" si="17"/>
        <v>Merc</v>
      </c>
      <c r="E45" s="133">
        <f t="shared" si="22"/>
        <v>9</v>
      </c>
      <c r="F45" t="str">
        <f t="shared" si="18"/>
        <v>Ashlesha</v>
      </c>
      <c r="G45" s="132" t="s">
        <v>275</v>
      </c>
      <c r="H45" s="133">
        <f t="shared" si="23"/>
        <v>18</v>
      </c>
      <c r="I45" t="str">
        <f t="shared" si="19"/>
        <v>Jyeshtha</v>
      </c>
      <c r="J45" s="132" t="s">
        <v>276</v>
      </c>
      <c r="K45" s="133">
        <f t="shared" si="24"/>
        <v>27</v>
      </c>
      <c r="L45" t="str">
        <f t="shared" si="20"/>
        <v>Revati</v>
      </c>
      <c r="M45" t="s">
        <v>277</v>
      </c>
      <c r="N45" s="132" t="str">
        <f t="shared" si="21"/>
        <v>Merc</v>
      </c>
      <c r="O45">
        <v>6</v>
      </c>
    </row>
    <row r="46" spans="1:15">
      <c r="A46" s="134" t="s">
        <v>278</v>
      </c>
      <c r="B46" s="134" t="s">
        <v>166</v>
      </c>
      <c r="C46" s="135">
        <v>7</v>
      </c>
      <c r="D46" s="136" t="str">
        <f t="shared" si="17"/>
        <v>Ketu</v>
      </c>
      <c r="E46" s="137">
        <f t="shared" si="22"/>
        <v>10</v>
      </c>
      <c r="F46" s="138" t="str">
        <f t="shared" si="18"/>
        <v>Magha</v>
      </c>
      <c r="G46" s="139" t="s">
        <v>279</v>
      </c>
      <c r="H46" s="137">
        <f t="shared" si="23"/>
        <v>19</v>
      </c>
      <c r="I46" s="138" t="str">
        <f t="shared" si="19"/>
        <v>Mula</v>
      </c>
      <c r="J46" s="139" t="s">
        <v>280</v>
      </c>
      <c r="K46" s="137">
        <f t="shared" si="24"/>
        <v>1</v>
      </c>
      <c r="L46" s="138" t="str">
        <f t="shared" si="20"/>
        <v>Ashvini</v>
      </c>
      <c r="M46" s="138" t="s">
        <v>281</v>
      </c>
      <c r="N46" s="139" t="str">
        <f t="shared" si="21"/>
        <v>Ketu</v>
      </c>
      <c r="O46">
        <v>7</v>
      </c>
    </row>
    <row r="47" spans="1:15">
      <c r="A47" s="32" t="s">
        <v>282</v>
      </c>
      <c r="B47" s="32" t="s">
        <v>163</v>
      </c>
      <c r="C47" s="129">
        <v>8</v>
      </c>
      <c r="D47" s="130" t="str">
        <f t="shared" si="17"/>
        <v>Venus</v>
      </c>
      <c r="E47" s="133">
        <f t="shared" si="22"/>
        <v>11</v>
      </c>
      <c r="F47" t="str">
        <f t="shared" si="18"/>
        <v>Purva Phalguni</v>
      </c>
      <c r="G47" s="132" t="s">
        <v>283</v>
      </c>
      <c r="H47" s="133">
        <f t="shared" si="23"/>
        <v>20</v>
      </c>
      <c r="I47" t="str">
        <f t="shared" si="19"/>
        <v>Purva Ashadha</v>
      </c>
      <c r="J47" s="132" t="s">
        <v>284</v>
      </c>
      <c r="K47" s="133">
        <f t="shared" si="24"/>
        <v>2</v>
      </c>
      <c r="L47" t="str">
        <f t="shared" si="20"/>
        <v>Bharani</v>
      </c>
      <c r="M47" t="s">
        <v>285</v>
      </c>
      <c r="N47" s="132" t="str">
        <f t="shared" si="21"/>
        <v>Venus</v>
      </c>
      <c r="O47">
        <v>8</v>
      </c>
    </row>
    <row r="48" spans="1:15">
      <c r="A48" s="32" t="s">
        <v>286</v>
      </c>
      <c r="B48" s="32" t="s">
        <v>158</v>
      </c>
      <c r="C48" s="129">
        <v>9</v>
      </c>
      <c r="D48" s="140" t="str">
        <f t="shared" si="17"/>
        <v>Sun</v>
      </c>
      <c r="E48" s="141">
        <f t="shared" si="22"/>
        <v>12</v>
      </c>
      <c r="F48" s="142" t="str">
        <f t="shared" si="18"/>
        <v>Uttara Phalguni</v>
      </c>
      <c r="G48" s="143" t="s">
        <v>287</v>
      </c>
      <c r="H48" s="141">
        <f t="shared" si="23"/>
        <v>21</v>
      </c>
      <c r="I48" s="142" t="str">
        <f t="shared" si="19"/>
        <v>Uttara Ashadha</v>
      </c>
      <c r="J48" s="143" t="s">
        <v>288</v>
      </c>
      <c r="K48" s="141">
        <f t="shared" si="24"/>
        <v>3</v>
      </c>
      <c r="L48" s="142" t="str">
        <f t="shared" si="20"/>
        <v>Kritika</v>
      </c>
      <c r="M48" s="142" t="s">
        <v>289</v>
      </c>
      <c r="N48" s="143" t="str">
        <f t="shared" si="21"/>
        <v>Sun</v>
      </c>
      <c r="O48">
        <v>9</v>
      </c>
    </row>
    <row r="51" spans="1:3">
      <c r="A51" t="s">
        <v>290</v>
      </c>
      <c r="B51" t="s">
        <v>140</v>
      </c>
      <c r="C51" t="s">
        <v>291</v>
      </c>
    </row>
    <row r="52" spans="1:3">
      <c r="B52" t="str">
        <f>INDEX(NakshatraTbl,C52,1)</f>
        <v>Revati</v>
      </c>
      <c r="C52">
        <v>28</v>
      </c>
    </row>
  </sheetData>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1"/>
  <sheetViews>
    <sheetView zoomScaleNormal="100" workbookViewId="0">
      <selection activeCell="P18" sqref="P18"/>
    </sheetView>
  </sheetViews>
  <sheetFormatPr defaultColWidth="8.5703125" defaultRowHeight="15"/>
  <cols>
    <col min="1" max="1" width="11" customWidth="1"/>
    <col min="2" max="2" width="9" customWidth="1"/>
    <col min="3" max="3" width="10.140625" customWidth="1"/>
    <col min="4" max="4" width="10.7109375" customWidth="1"/>
    <col min="5" max="5" width="9" customWidth="1"/>
    <col min="6" max="6" width="12.42578125" customWidth="1"/>
    <col min="7" max="7" width="8.7109375" customWidth="1"/>
    <col min="8" max="8" width="10" customWidth="1"/>
    <col min="9" max="9" width="13.42578125" customWidth="1"/>
    <col min="10" max="10" width="9.7109375" customWidth="1"/>
    <col min="11" max="11" width="7" customWidth="1"/>
    <col min="12" max="12" width="13.42578125" customWidth="1"/>
    <col min="13" max="13" width="12.7109375" customWidth="1"/>
    <col min="14" max="14" width="10" customWidth="1"/>
    <col min="15" max="15" width="11" customWidth="1"/>
    <col min="16" max="16" width="11.85546875" customWidth="1"/>
    <col min="17" max="17" width="18.7109375" customWidth="1"/>
    <col min="18" max="18" width="24.42578125" customWidth="1"/>
    <col min="19" max="19" width="19.7109375" customWidth="1"/>
  </cols>
  <sheetData>
    <row r="1" spans="1:19">
      <c r="A1" s="126"/>
      <c r="B1" s="4" t="s">
        <v>292</v>
      </c>
      <c r="C1" s="4"/>
      <c r="D1" s="4"/>
      <c r="E1" s="4" t="s">
        <v>293</v>
      </c>
      <c r="F1" s="4"/>
      <c r="G1" s="4"/>
      <c r="H1" s="3" t="s">
        <v>294</v>
      </c>
      <c r="I1" s="3"/>
      <c r="J1" s="3"/>
      <c r="K1" s="3" t="s">
        <v>295</v>
      </c>
      <c r="L1" s="3"/>
      <c r="M1" s="127" t="s">
        <v>296</v>
      </c>
      <c r="N1" s="3" t="s">
        <v>297</v>
      </c>
      <c r="O1" s="3"/>
      <c r="P1" s="3"/>
      <c r="Q1" s="128" t="s">
        <v>298</v>
      </c>
      <c r="R1" s="128" t="s">
        <v>299</v>
      </c>
      <c r="S1" s="132" t="s">
        <v>300</v>
      </c>
    </row>
    <row r="2" spans="1:19">
      <c r="A2" t="s">
        <v>301</v>
      </c>
      <c r="B2" t="s">
        <v>302</v>
      </c>
      <c r="C2" t="s">
        <v>303</v>
      </c>
      <c r="D2" s="132" t="s">
        <v>304</v>
      </c>
      <c r="E2" s="142" t="s">
        <v>305</v>
      </c>
      <c r="F2" s="142" t="s">
        <v>306</v>
      </c>
      <c r="G2" s="143" t="s">
        <v>307</v>
      </c>
      <c r="H2" s="141" t="s">
        <v>308</v>
      </c>
      <c r="I2" s="142" t="s">
        <v>309</v>
      </c>
      <c r="J2" s="143" t="s">
        <v>310</v>
      </c>
      <c r="K2" s="133" t="s">
        <v>151</v>
      </c>
      <c r="L2" s="132" t="s">
        <v>311</v>
      </c>
      <c r="M2" t="s">
        <v>312</v>
      </c>
      <c r="N2" s="141" t="s">
        <v>313</v>
      </c>
      <c r="O2" s="142" t="s">
        <v>314</v>
      </c>
      <c r="P2" s="143" t="s">
        <v>315</v>
      </c>
      <c r="Q2" s="142" t="s">
        <v>316</v>
      </c>
      <c r="R2" s="142" t="s">
        <v>317</v>
      </c>
      <c r="S2" t="s">
        <v>318</v>
      </c>
    </row>
    <row r="3" spans="1:19">
      <c r="A3" s="127" t="s">
        <v>158</v>
      </c>
      <c r="B3" s="145">
        <f t="shared" ref="B3:B10" ca="1" si="0">INDIRECT(A3)</f>
        <v>92.399202777777774</v>
      </c>
      <c r="C3" s="146">
        <f>SunDeb</f>
        <v>190</v>
      </c>
      <c r="D3" s="147">
        <f t="shared" ref="D3:D10" ca="1" si="1">(1-COS((360+B3-C3)/180*PI()))/2</f>
        <v>0.56613509108432658</v>
      </c>
      <c r="E3">
        <v>19</v>
      </c>
      <c r="G3" s="148">
        <f t="shared" ref="G3:G9" ca="1" si="2">(1-COS((360+B3-C3)/180*PI()))/2*E3</f>
        <v>10.756566730602206</v>
      </c>
      <c r="H3" s="133">
        <v>1</v>
      </c>
      <c r="J3" s="149">
        <f t="shared" ref="J3:J9" ca="1" si="3">(1-COS((360+B3-C3)/180*PI()))/2*H3</f>
        <v>0.56613509108432658</v>
      </c>
      <c r="K3" s="150">
        <f t="shared" ref="K3:K10" ca="1" si="4">MOD(B3/3.333,12)</f>
        <v>3.7225330866419952</v>
      </c>
      <c r="L3" s="128"/>
      <c r="M3" s="145">
        <f ca="1">Ashtakavarga!P30</f>
        <v>8.0383293996794034</v>
      </c>
      <c r="N3" s="133">
        <v>10</v>
      </c>
      <c r="O3" s="30">
        <f ca="1">N3*$D3*Table19[[#This Row],[Factor]]</f>
        <v>5.6613509108432662</v>
      </c>
      <c r="P3" s="151">
        <v>1</v>
      </c>
    </row>
    <row r="4" spans="1:19">
      <c r="A4" t="s">
        <v>159</v>
      </c>
      <c r="B4" s="30">
        <f t="shared" ca="1" si="0"/>
        <v>53.015944444444443</v>
      </c>
      <c r="C4" s="59">
        <f>MoonDeb</f>
        <v>213</v>
      </c>
      <c r="D4" s="148">
        <f t="shared" ca="1" si="1"/>
        <v>0.96979870299594828</v>
      </c>
      <c r="E4">
        <v>25</v>
      </c>
      <c r="G4" s="148">
        <f t="shared" ca="1" si="2"/>
        <v>24.244967574898705</v>
      </c>
      <c r="H4" s="133">
        <v>2</v>
      </c>
      <c r="J4" s="149">
        <f t="shared" ca="1" si="3"/>
        <v>1.9395974059918966</v>
      </c>
      <c r="K4" s="152">
        <f t="shared" ca="1" si="4"/>
        <v>3.9063739707304048</v>
      </c>
      <c r="L4" s="132"/>
      <c r="M4" s="30">
        <f ca="1">Ashtakavarga!P31</f>
        <v>20.049280656730662</v>
      </c>
      <c r="N4" s="133">
        <v>9</v>
      </c>
      <c r="O4" s="30">
        <f ca="1">N4*$D4*Table19[[#This Row],[Factor]]</f>
        <v>26.184564980890606</v>
      </c>
      <c r="P4" s="151">
        <v>3</v>
      </c>
    </row>
    <row r="5" spans="1:19">
      <c r="A5" t="s">
        <v>160</v>
      </c>
      <c r="B5" s="30">
        <f t="shared" ca="1" si="0"/>
        <v>298.10866388888888</v>
      </c>
      <c r="C5" s="59">
        <f>MarsDeb</f>
        <v>118</v>
      </c>
      <c r="D5" s="148">
        <f t="shared" ca="1" si="1"/>
        <v>0.99999910078177401</v>
      </c>
      <c r="E5">
        <v>15</v>
      </c>
      <c r="G5" s="148">
        <f t="shared" ca="1" si="2"/>
        <v>14.999986511726609</v>
      </c>
      <c r="H5" s="133">
        <v>9</v>
      </c>
      <c r="J5" s="149">
        <f t="shared" ca="1" si="3"/>
        <v>8.999991907035966</v>
      </c>
      <c r="K5" s="152">
        <f t="shared" ca="1" si="4"/>
        <v>5.4415433209987611</v>
      </c>
      <c r="L5" s="132"/>
      <c r="M5" s="30">
        <f ca="1">Ashtakavarga!P32</f>
        <v>20.043805028205032</v>
      </c>
      <c r="N5" s="133">
        <v>5</v>
      </c>
      <c r="O5" s="30">
        <f ca="1">N5*$D5*Table19[[#This Row],[Factor]]</f>
        <v>14.999986511726611</v>
      </c>
      <c r="P5" s="151">
        <v>3</v>
      </c>
    </row>
    <row r="6" spans="1:19">
      <c r="A6" t="s">
        <v>161</v>
      </c>
      <c r="B6" s="30">
        <f t="shared" ca="1" si="0"/>
        <v>117.12978611111112</v>
      </c>
      <c r="C6" s="59">
        <f>MercDeb</f>
        <v>345</v>
      </c>
      <c r="D6" s="148">
        <f t="shared" ca="1" si="1"/>
        <v>0.83540612807205905</v>
      </c>
      <c r="E6">
        <v>12</v>
      </c>
      <c r="G6" s="148">
        <f t="shared" ca="1" si="2"/>
        <v>10.024873536864709</v>
      </c>
      <c r="H6" s="133">
        <v>20</v>
      </c>
      <c r="J6" s="149">
        <f t="shared" ca="1" si="3"/>
        <v>16.708122561441179</v>
      </c>
      <c r="K6" s="152">
        <f t="shared" ca="1" si="4"/>
        <v>11.14245007834117</v>
      </c>
      <c r="L6" s="132"/>
      <c r="M6" s="30">
        <f ca="1">Ashtakavarga!P33</f>
        <v>14.12457054895806</v>
      </c>
      <c r="N6" s="133">
        <v>5</v>
      </c>
      <c r="O6" s="30">
        <f ca="1">N6*$D6*Table19[[#This Row],[Factor]]</f>
        <v>4.1770306403602948</v>
      </c>
      <c r="P6" s="151">
        <v>1</v>
      </c>
    </row>
    <row r="7" spans="1:19">
      <c r="A7" t="s">
        <v>162</v>
      </c>
      <c r="B7" s="30">
        <f t="shared" ca="1" si="0"/>
        <v>213.19717499999999</v>
      </c>
      <c r="C7" s="59">
        <f>JupDeb</f>
        <v>275</v>
      </c>
      <c r="D7" s="148">
        <f t="shared" ca="1" si="1"/>
        <v>0.26374634442897488</v>
      </c>
      <c r="E7">
        <v>15</v>
      </c>
      <c r="G7" s="148">
        <f t="shared" ca="1" si="2"/>
        <v>3.9561951664346231</v>
      </c>
      <c r="H7" s="133">
        <v>18</v>
      </c>
      <c r="J7" s="149">
        <f t="shared" ca="1" si="3"/>
        <v>4.7474341997215479</v>
      </c>
      <c r="K7" s="152">
        <f t="shared" ca="1" si="4"/>
        <v>3.9655490549054804</v>
      </c>
      <c r="L7" s="132"/>
      <c r="M7" s="30">
        <f ca="1">Ashtakavarga!P34</f>
        <v>4.0971924063299161</v>
      </c>
      <c r="N7" s="133">
        <v>7</v>
      </c>
      <c r="O7" s="30">
        <f ca="1">N7*$D7*Table19[[#This Row],[Factor]]</f>
        <v>2.4554784666337564</v>
      </c>
      <c r="P7" s="151">
        <v>1.33</v>
      </c>
    </row>
    <row r="8" spans="1:19">
      <c r="A8" t="s">
        <v>163</v>
      </c>
      <c r="B8" s="30">
        <f t="shared" ca="1" si="0"/>
        <v>81.540602777777778</v>
      </c>
      <c r="C8" s="59">
        <f>VenuDeb</f>
        <v>177</v>
      </c>
      <c r="D8" s="148">
        <f t="shared" ca="1" si="1"/>
        <v>0.54757016942463022</v>
      </c>
      <c r="E8">
        <v>21</v>
      </c>
      <c r="G8" s="148">
        <f t="shared" ca="1" si="2"/>
        <v>11.498973557917235</v>
      </c>
      <c r="H8" s="133">
        <v>20</v>
      </c>
      <c r="J8" s="149">
        <f t="shared" ca="1" si="3"/>
        <v>10.951403388492604</v>
      </c>
      <c r="K8" s="152">
        <f t="shared" ca="1" si="4"/>
        <v>0.46462729606293962</v>
      </c>
      <c r="L8" s="132"/>
      <c r="M8" s="30">
        <f ca="1">Ashtakavarga!P35</f>
        <v>14.069814263701771</v>
      </c>
      <c r="N8" s="133">
        <v>8</v>
      </c>
      <c r="O8" s="30">
        <f ca="1">N8*$D8*Table19[[#This Row],[Factor]]</f>
        <v>5.8261466026780662</v>
      </c>
      <c r="P8" s="151">
        <v>1.33</v>
      </c>
    </row>
    <row r="9" spans="1:19">
      <c r="A9" t="s">
        <v>164</v>
      </c>
      <c r="B9" s="30">
        <f t="shared" ca="1" si="0"/>
        <v>39.885211111111111</v>
      </c>
      <c r="C9" s="59">
        <f>SatDeb</f>
        <v>20</v>
      </c>
      <c r="D9" s="148">
        <f t="shared" ca="1" si="1"/>
        <v>2.9812023656127173E-2</v>
      </c>
      <c r="E9">
        <v>20</v>
      </c>
      <c r="G9" s="148">
        <f t="shared" ca="1" si="2"/>
        <v>0.59624047312254347</v>
      </c>
      <c r="H9" s="133">
        <v>50</v>
      </c>
      <c r="J9" s="149">
        <f t="shared" ca="1" si="3"/>
        <v>1.4906011828063588</v>
      </c>
      <c r="K9" s="152">
        <f t="shared" ca="1" si="4"/>
        <v>11.966760009334266</v>
      </c>
      <c r="L9" s="132"/>
      <c r="M9" s="30">
        <f ca="1">Ashtakavarga!P36</f>
        <v>8.0876100564100657</v>
      </c>
      <c r="N9" s="133">
        <v>5</v>
      </c>
      <c r="O9" s="30">
        <f ca="1">N9*$D9*Table19[[#This Row],[Factor]]</f>
        <v>0.19824995731324571</v>
      </c>
      <c r="P9" s="151">
        <v>1.33</v>
      </c>
    </row>
    <row r="10" spans="1:19">
      <c r="A10" t="s">
        <v>319</v>
      </c>
      <c r="B10" s="30">
        <f t="shared" ca="1" si="0"/>
        <v>136.71151666666665</v>
      </c>
      <c r="C10" s="59"/>
      <c r="D10" s="148">
        <f t="shared" ca="1" si="1"/>
        <v>0.86395529750830846</v>
      </c>
      <c r="E10" t="s">
        <v>98</v>
      </c>
      <c r="G10" s="149"/>
      <c r="H10" s="133" t="s">
        <v>98</v>
      </c>
      <c r="J10" s="149"/>
      <c r="K10" s="153">
        <f t="shared" ca="1" si="4"/>
        <v>5.0175567556755638</v>
      </c>
      <c r="L10" s="132"/>
      <c r="M10" s="154">
        <f ca="1">Ashtakavarga!P37</f>
        <v>12.088978963541473</v>
      </c>
      <c r="N10" s="133"/>
      <c r="P10" s="151">
        <f>O10</f>
        <v>0</v>
      </c>
    </row>
    <row r="11" spans="1:19">
      <c r="A11" s="127" t="s">
        <v>320</v>
      </c>
      <c r="B11" s="127"/>
      <c r="C11" s="127"/>
      <c r="D11" s="128"/>
      <c r="E11" s="126">
        <f>SUM(E3:E9)</f>
        <v>127</v>
      </c>
      <c r="F11" s="127"/>
      <c r="G11" s="155">
        <f ca="1">SUM(G3:G9)</f>
        <v>76.077803551566646</v>
      </c>
      <c r="H11" s="126">
        <f>SUM(H3:H9)</f>
        <v>120</v>
      </c>
      <c r="I11" s="127"/>
      <c r="J11" s="145">
        <f ca="1">SUM(J3:J9)</f>
        <v>45.403285736573878</v>
      </c>
      <c r="K11" s="150">
        <f ca="1">SUM(K3:K10)</f>
        <v>45.627393572690586</v>
      </c>
      <c r="L11" s="128"/>
      <c r="M11" s="150">
        <f ca="1">SUM(M3:M10)</f>
        <v>100.59958132355639</v>
      </c>
      <c r="N11" s="126">
        <f>SUM(N3:N9)</f>
        <v>49</v>
      </c>
      <c r="O11" s="145">
        <f ca="1">SUM(O3:O9)</f>
        <v>59.502808070445845</v>
      </c>
      <c r="P11" s="156">
        <f>SUM(P3:P9)</f>
        <v>11.99</v>
      </c>
      <c r="Q11" s="126">
        <f>'KalaChakra Dasa'!L31</f>
        <v>100</v>
      </c>
      <c r="R11" s="126"/>
    </row>
    <row r="16" spans="1:19">
      <c r="D16" t="s">
        <v>321</v>
      </c>
    </row>
    <row r="17" spans="1:5">
      <c r="A17" t="s">
        <v>322</v>
      </c>
      <c r="B17" t="s">
        <v>75</v>
      </c>
      <c r="C17" t="s">
        <v>323</v>
      </c>
      <c r="D17" t="s">
        <v>324</v>
      </c>
      <c r="E17">
        <f>E11</f>
        <v>127</v>
      </c>
    </row>
    <row r="18" spans="1:5">
      <c r="A18" t="s">
        <v>325</v>
      </c>
      <c r="B18">
        <v>365.24250000000001</v>
      </c>
      <c r="C18">
        <f>B18/B18</f>
        <v>1</v>
      </c>
      <c r="E18">
        <f>E17*C18</f>
        <v>127</v>
      </c>
    </row>
    <row r="19" spans="1:5">
      <c r="A19" t="s">
        <v>140</v>
      </c>
      <c r="B19">
        <f>27.33*12</f>
        <v>327.96</v>
      </c>
      <c r="C19" s="157">
        <f>B18/B19</f>
        <v>1.1136800219538969</v>
      </c>
      <c r="D19" s="149"/>
      <c r="E19">
        <f>E17/C19</f>
        <v>114.03634571551775</v>
      </c>
    </row>
    <row r="20" spans="1:5">
      <c r="A20" t="s">
        <v>326</v>
      </c>
      <c r="B20">
        <f>29.5*12</f>
        <v>354</v>
      </c>
      <c r="C20" s="157">
        <f>B18/B20</f>
        <v>1.0317584745762711</v>
      </c>
      <c r="D20" s="149"/>
      <c r="E20">
        <f>E17/C20</f>
        <v>123.09082322018934</v>
      </c>
    </row>
    <row r="21" spans="1:5">
      <c r="A21" t="s">
        <v>327</v>
      </c>
      <c r="B21">
        <v>360</v>
      </c>
      <c r="C21" s="157">
        <f>B18/B21</f>
        <v>1.0145625</v>
      </c>
      <c r="D21" s="149"/>
      <c r="E21">
        <f>E17/C21</f>
        <v>125.17710835951456</v>
      </c>
    </row>
  </sheetData>
  <mergeCells count="5">
    <mergeCell ref="B1:D1"/>
    <mergeCell ref="E1:G1"/>
    <mergeCell ref="H1:J1"/>
    <mergeCell ref="K1:L1"/>
    <mergeCell ref="N1:P1"/>
  </mergeCells>
  <pageMargins left="0.7" right="0.7" top="0.75" bottom="0.75" header="0.511811023622047" footer="0.511811023622047"/>
  <pageSetup orientation="portrait" horizontalDpi="300" verticalDpi="300"/>
  <legacy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AE24"/>
  <sheetViews>
    <sheetView topLeftCell="A5" zoomScaleNormal="100" workbookViewId="0">
      <selection activeCell="F16" sqref="F16"/>
    </sheetView>
  </sheetViews>
  <sheetFormatPr defaultColWidth="8.5703125" defaultRowHeight="15"/>
  <cols>
    <col min="1" max="1" width="3.7109375" customWidth="1"/>
    <col min="2" max="2" width="8.28515625" customWidth="1"/>
    <col min="3" max="3" width="6.5703125" customWidth="1"/>
    <col min="4" max="4" width="6.28515625" customWidth="1"/>
    <col min="5" max="5" width="21" customWidth="1"/>
    <col min="6" max="6" width="6.5703125" customWidth="1"/>
    <col min="7" max="8" width="3.7109375" customWidth="1"/>
    <col min="9" max="9" width="4.85546875" customWidth="1"/>
    <col min="10" max="10" width="3.7109375" customWidth="1"/>
    <col min="11" max="11" width="6.28515625" customWidth="1"/>
    <col min="12" max="21" width="3.7109375" customWidth="1"/>
    <col min="22" max="22" width="4.5703125" customWidth="1"/>
    <col min="23" max="26" width="3.7109375" customWidth="1"/>
    <col min="27" max="27" width="4.5703125" customWidth="1"/>
    <col min="28" max="31" width="3.7109375" customWidth="1"/>
  </cols>
  <sheetData>
    <row r="2" spans="2:31" ht="75" customHeight="1">
      <c r="B2" s="2" t="s">
        <v>301</v>
      </c>
      <c r="C2" s="1" t="s">
        <v>328</v>
      </c>
      <c r="D2" s="1319" t="s">
        <v>329</v>
      </c>
      <c r="E2" s="1319"/>
      <c r="F2" s="1319"/>
      <c r="G2" s="1319"/>
      <c r="H2" s="1319"/>
      <c r="I2" s="1319"/>
      <c r="J2" s="1319"/>
      <c r="K2" s="1319"/>
      <c r="L2" s="1319"/>
      <c r="M2" s="1319"/>
      <c r="N2" s="1319"/>
      <c r="O2" s="1319"/>
      <c r="P2" s="1319"/>
      <c r="Q2" s="1320" t="s">
        <v>330</v>
      </c>
      <c r="R2" s="1319" t="s">
        <v>331</v>
      </c>
      <c r="S2" s="1319"/>
      <c r="T2" s="1319"/>
      <c r="U2" s="1319"/>
      <c r="V2" s="1319"/>
      <c r="W2" s="1319"/>
      <c r="X2" s="1319"/>
      <c r="Y2" s="1319"/>
      <c r="Z2" s="1319"/>
      <c r="AA2" s="1320" t="s">
        <v>332</v>
      </c>
      <c r="AB2" s="1320" t="s">
        <v>333</v>
      </c>
      <c r="AC2" s="1320" t="s">
        <v>334</v>
      </c>
      <c r="AD2" s="1320" t="s">
        <v>335</v>
      </c>
      <c r="AE2" s="1320" t="s">
        <v>336</v>
      </c>
    </row>
    <row r="3" spans="2:31" ht="96" customHeight="1">
      <c r="B3" s="2"/>
      <c r="C3" s="1"/>
      <c r="D3" s="1321" t="s">
        <v>337</v>
      </c>
      <c r="E3" s="1322" t="s">
        <v>338</v>
      </c>
      <c r="F3" s="1322"/>
      <c r="G3" s="1322"/>
      <c r="H3" s="1322"/>
      <c r="I3" s="1322"/>
      <c r="J3" s="1322"/>
      <c r="K3" s="1322"/>
      <c r="L3" s="1322"/>
      <c r="M3" s="1321" t="s">
        <v>339</v>
      </c>
      <c r="N3" s="1321" t="s">
        <v>340</v>
      </c>
      <c r="O3" s="1321" t="s">
        <v>341</v>
      </c>
      <c r="P3" s="1321" t="s">
        <v>342</v>
      </c>
      <c r="Q3" s="1320"/>
      <c r="R3" s="1321" t="s">
        <v>343</v>
      </c>
      <c r="S3" s="1321" t="s">
        <v>344</v>
      </c>
      <c r="T3" s="1321" t="s">
        <v>345</v>
      </c>
      <c r="U3" s="1323" t="s">
        <v>346</v>
      </c>
      <c r="V3" s="1323"/>
      <c r="W3" s="1323"/>
      <c r="X3" s="1323"/>
      <c r="Y3" s="1323"/>
      <c r="Z3" s="1324" t="s">
        <v>347</v>
      </c>
      <c r="AA3" s="1320"/>
      <c r="AB3" s="1320"/>
      <c r="AC3" s="1320"/>
      <c r="AD3" s="1320"/>
      <c r="AE3" s="1320"/>
    </row>
    <row r="4" spans="2:31" s="158" customFormat="1" ht="66.75">
      <c r="B4" s="2"/>
      <c r="C4" s="1"/>
      <c r="D4" s="1321"/>
      <c r="E4" s="159" t="s">
        <v>142</v>
      </c>
      <c r="F4" s="159" t="s">
        <v>348</v>
      </c>
      <c r="G4" s="159" t="s">
        <v>145</v>
      </c>
      <c r="H4" s="159" t="s">
        <v>149</v>
      </c>
      <c r="I4" s="159" t="s">
        <v>151</v>
      </c>
      <c r="J4" s="159" t="s">
        <v>155</v>
      </c>
      <c r="K4" s="159" t="s">
        <v>349</v>
      </c>
      <c r="L4" s="160" t="s">
        <v>320</v>
      </c>
      <c r="M4" s="1321"/>
      <c r="N4" s="1321"/>
      <c r="O4" s="1321"/>
      <c r="P4" s="1321"/>
      <c r="Q4" s="1321"/>
      <c r="R4" s="1321"/>
      <c r="S4" s="1321"/>
      <c r="T4" s="1321"/>
      <c r="U4" s="159" t="s">
        <v>350</v>
      </c>
      <c r="V4" s="159" t="s">
        <v>351</v>
      </c>
      <c r="W4" s="159" t="s">
        <v>352</v>
      </c>
      <c r="X4" s="159" t="s">
        <v>353</v>
      </c>
      <c r="Y4" s="159" t="s">
        <v>354</v>
      </c>
      <c r="Z4" s="1324"/>
      <c r="AA4" s="1320"/>
      <c r="AB4" s="1320"/>
      <c r="AC4" s="1320"/>
      <c r="AD4" s="1320"/>
      <c r="AE4" s="1320"/>
    </row>
    <row r="5" spans="2:31">
      <c r="B5" s="133" t="str">
        <f>Basics!A8</f>
        <v>Sun</v>
      </c>
      <c r="C5" s="161">
        <f>Basics!G8</f>
        <v>92.399202777777774</v>
      </c>
      <c r="D5" s="162">
        <f>(1-COS((360+C5-SunDeb)/180*PI()))/2</f>
        <v>0.56613509108432658</v>
      </c>
      <c r="E5" s="30">
        <f t="shared" ref="E5:E11" si="0">ACOS(1-2*D5)*180/PI()/3/60</f>
        <v>0.54222665123456781</v>
      </c>
      <c r="F5" s="145"/>
      <c r="G5" s="145"/>
      <c r="H5" s="145"/>
      <c r="I5" s="145"/>
      <c r="J5" s="145"/>
      <c r="K5" s="145"/>
      <c r="L5" s="163"/>
      <c r="M5" s="163"/>
      <c r="N5" s="163"/>
      <c r="O5" s="163"/>
      <c r="P5" s="156"/>
      <c r="Q5" s="30"/>
      <c r="R5" s="161"/>
      <c r="S5" s="161"/>
      <c r="T5" s="161"/>
      <c r="U5" s="150"/>
      <c r="V5" s="145"/>
      <c r="W5" s="145"/>
      <c r="X5" s="145"/>
      <c r="Y5" s="145"/>
      <c r="Z5" s="156"/>
      <c r="AA5" s="162">
        <f>7/7</f>
        <v>1</v>
      </c>
      <c r="AB5" s="161"/>
      <c r="AC5" s="161"/>
      <c r="AD5" s="161"/>
      <c r="AE5" s="151"/>
    </row>
    <row r="6" spans="2:31">
      <c r="B6" s="133" t="str">
        <f>Basics!A9</f>
        <v>Moon</v>
      </c>
      <c r="C6" s="162">
        <f>Basics!G9</f>
        <v>53.015944444444443</v>
      </c>
      <c r="D6" s="162">
        <f>(1-COS((360+C6-MoonDeb)/180*PI()))/2</f>
        <v>0.96979870299594828</v>
      </c>
      <c r="E6" s="30">
        <f t="shared" si="0"/>
        <v>0.88880030864197535</v>
      </c>
      <c r="F6" s="30"/>
      <c r="G6" s="30"/>
      <c r="H6" s="30"/>
      <c r="I6" s="30"/>
      <c r="J6" s="30"/>
      <c r="K6" s="30"/>
      <c r="L6" s="164"/>
      <c r="M6" s="164"/>
      <c r="N6" s="164"/>
      <c r="O6" s="164"/>
      <c r="P6" s="151"/>
      <c r="Q6" s="30"/>
      <c r="R6" s="162"/>
      <c r="S6" s="162"/>
      <c r="T6" s="162"/>
      <c r="U6" s="152"/>
      <c r="V6" s="30"/>
      <c r="W6" s="30"/>
      <c r="X6" s="30"/>
      <c r="Y6" s="30"/>
      <c r="Z6" s="151"/>
      <c r="AA6" s="162">
        <f>6/7</f>
        <v>0.8571428571428571</v>
      </c>
      <c r="AB6" s="162"/>
      <c r="AC6" s="162"/>
      <c r="AD6" s="162"/>
      <c r="AE6" s="151"/>
    </row>
    <row r="7" spans="2:31">
      <c r="B7" s="133" t="str">
        <f>Basics!A10</f>
        <v>Mars</v>
      </c>
      <c r="C7" s="162">
        <f>Basics!G10</f>
        <v>298.10866388888888</v>
      </c>
      <c r="D7" s="162">
        <f>(1-COS((360+C7-MarsDeb)/180*PI()))/2</f>
        <v>0.99999910078177401</v>
      </c>
      <c r="E7" s="30">
        <f t="shared" si="0"/>
        <v>0.9993963117283915</v>
      </c>
      <c r="F7" s="30"/>
      <c r="G7" s="30"/>
      <c r="H7" s="30"/>
      <c r="I7" s="30"/>
      <c r="J7" s="30"/>
      <c r="K7" s="30"/>
      <c r="L7" s="164"/>
      <c r="M7" s="164"/>
      <c r="N7" s="164"/>
      <c r="O7" s="164"/>
      <c r="P7" s="151"/>
      <c r="Q7" s="30"/>
      <c r="R7" s="162"/>
      <c r="S7" s="162"/>
      <c r="T7" s="162"/>
      <c r="U7" s="152"/>
      <c r="V7" s="30"/>
      <c r="W7" s="30"/>
      <c r="X7" s="30"/>
      <c r="Y7" s="30"/>
      <c r="Z7" s="151"/>
      <c r="AA7" s="162">
        <f>5/7</f>
        <v>0.7142857142857143</v>
      </c>
      <c r="AB7" s="162"/>
      <c r="AC7" s="162"/>
      <c r="AD7" s="162"/>
      <c r="AE7" s="151"/>
    </row>
    <row r="8" spans="2:31">
      <c r="B8" s="133" t="str">
        <f>Basics!A11</f>
        <v>Mercury</v>
      </c>
      <c r="C8" s="162">
        <f>Basics!G11</f>
        <v>117.12978611111112</v>
      </c>
      <c r="D8" s="162">
        <f>(1-COS((360+C8-MercDeb)/180*PI()))/2</f>
        <v>0.83540612807205905</v>
      </c>
      <c r="E8" s="30">
        <f t="shared" si="0"/>
        <v>0.73405436728395068</v>
      </c>
      <c r="F8" s="30"/>
      <c r="G8" s="30"/>
      <c r="H8" s="30"/>
      <c r="I8" s="30"/>
      <c r="J8" s="30"/>
      <c r="K8" s="30"/>
      <c r="L8" s="164"/>
      <c r="M8" s="164"/>
      <c r="N8" s="164"/>
      <c r="O8" s="164"/>
      <c r="P8" s="151"/>
      <c r="Q8" s="30"/>
      <c r="R8" s="162"/>
      <c r="S8" s="162"/>
      <c r="T8" s="162"/>
      <c r="U8" s="152"/>
      <c r="V8" s="30"/>
      <c r="W8" s="30"/>
      <c r="X8" s="30"/>
      <c r="Y8" s="30"/>
      <c r="Z8" s="151"/>
      <c r="AA8" s="162">
        <f>4/7</f>
        <v>0.5714285714285714</v>
      </c>
      <c r="AB8" s="162"/>
      <c r="AC8" s="162"/>
      <c r="AD8" s="162"/>
      <c r="AE8" s="151"/>
    </row>
    <row r="9" spans="2:31">
      <c r="B9" s="133" t="str">
        <f>Basics!A12</f>
        <v>Jupiter</v>
      </c>
      <c r="C9" s="162">
        <f>Basics!G12</f>
        <v>213.19717499999999</v>
      </c>
      <c r="D9" s="162">
        <f>(1-COS((360+C9-JupDeb)/180*PI()))/2</f>
        <v>0.26374634442897488</v>
      </c>
      <c r="E9" s="30">
        <f t="shared" si="0"/>
        <v>0.34334902777777765</v>
      </c>
      <c r="F9" s="30"/>
      <c r="G9" s="30"/>
      <c r="H9" s="30"/>
      <c r="I9" s="30"/>
      <c r="J9" s="30"/>
      <c r="K9" s="30"/>
      <c r="L9" s="164"/>
      <c r="M9" s="164"/>
      <c r="N9" s="164"/>
      <c r="O9" s="164"/>
      <c r="P9" s="151"/>
      <c r="Q9" s="30"/>
      <c r="R9" s="162"/>
      <c r="S9" s="162"/>
      <c r="T9" s="162"/>
      <c r="U9" s="152"/>
      <c r="V9" s="30"/>
      <c r="W9" s="30"/>
      <c r="X9" s="30"/>
      <c r="Y9" s="30"/>
      <c r="Z9" s="151"/>
      <c r="AA9" s="162">
        <f>3/7</f>
        <v>0.42857142857142855</v>
      </c>
      <c r="AB9" s="162"/>
      <c r="AC9" s="162"/>
      <c r="AD9" s="162"/>
      <c r="AE9" s="151"/>
    </row>
    <row r="10" spans="2:31">
      <c r="B10" s="133" t="str">
        <f>Basics!A13</f>
        <v>Venus</v>
      </c>
      <c r="C10" s="162">
        <f>Basics!G13</f>
        <v>81.540602777777778</v>
      </c>
      <c r="D10" s="162">
        <f>(1-COS((360+C10-VenuDeb)/180*PI()))/2</f>
        <v>0.54757016942463022</v>
      </c>
      <c r="E10" s="30">
        <f t="shared" si="0"/>
        <v>0.53032998456790137</v>
      </c>
      <c r="F10" s="30"/>
      <c r="G10" s="30"/>
      <c r="H10" s="30"/>
      <c r="I10" s="30"/>
      <c r="J10" s="30"/>
      <c r="K10" s="30"/>
      <c r="L10" s="164"/>
      <c r="M10" s="164"/>
      <c r="N10" s="164"/>
      <c r="O10" s="164"/>
      <c r="P10" s="151"/>
      <c r="Q10" s="30"/>
      <c r="R10" s="162"/>
      <c r="S10" s="162"/>
      <c r="T10" s="162"/>
      <c r="U10" s="152"/>
      <c r="V10" s="30"/>
      <c r="W10" s="30"/>
      <c r="X10" s="30"/>
      <c r="Y10" s="30"/>
      <c r="Z10" s="151"/>
      <c r="AA10" s="162">
        <f>2/7</f>
        <v>0.2857142857142857</v>
      </c>
      <c r="AB10" s="162"/>
      <c r="AC10" s="162"/>
      <c r="AD10" s="162"/>
      <c r="AE10" s="151"/>
    </row>
    <row r="11" spans="2:31">
      <c r="B11" s="141" t="str">
        <f>Basics!A14</f>
        <v>Saturn</v>
      </c>
      <c r="C11" s="165">
        <f>Basics!G14</f>
        <v>39.885211111111111</v>
      </c>
      <c r="D11" s="165">
        <f>(1-COS((360+C11-SatDeb)/180*PI()))/2</f>
        <v>2.9812023656127173E-2</v>
      </c>
      <c r="E11" s="166">
        <f t="shared" si="0"/>
        <v>0.11047339506172835</v>
      </c>
      <c r="F11" s="166"/>
      <c r="G11" s="166"/>
      <c r="H11" s="166"/>
      <c r="I11" s="166"/>
      <c r="J11" s="166"/>
      <c r="K11" s="166"/>
      <c r="L11" s="167"/>
      <c r="M11" s="167"/>
      <c r="N11" s="167"/>
      <c r="O11" s="167"/>
      <c r="P11" s="168"/>
      <c r="Q11" s="166"/>
      <c r="R11" s="165"/>
      <c r="S11" s="165"/>
      <c r="T11" s="165"/>
      <c r="U11" s="169"/>
      <c r="V11" s="166"/>
      <c r="W11" s="166"/>
      <c r="X11" s="166"/>
      <c r="Y11" s="166"/>
      <c r="Z11" s="168"/>
      <c r="AA11" s="165">
        <f>1/7</f>
        <v>0.14285714285714285</v>
      </c>
      <c r="AB11" s="165"/>
      <c r="AC11" s="165"/>
      <c r="AD11" s="165"/>
      <c r="AE11" s="168"/>
    </row>
    <row r="12" spans="2:31">
      <c r="U12" s="30"/>
      <c r="V12" s="30"/>
      <c r="W12" s="30"/>
      <c r="X12" s="30"/>
      <c r="Y12" s="30"/>
      <c r="Z12" s="30"/>
    </row>
    <row r="13" spans="2:31">
      <c r="G13" s="1325" t="s">
        <v>355</v>
      </c>
      <c r="H13" s="1325"/>
      <c r="I13" s="1325"/>
      <c r="J13" s="1325"/>
      <c r="K13" t="s">
        <v>356</v>
      </c>
    </row>
    <row r="14" spans="2:31">
      <c r="C14" s="32" t="s">
        <v>78</v>
      </c>
      <c r="D14" s="32"/>
      <c r="E14" s="32"/>
      <c r="F14" s="32"/>
      <c r="G14" s="32" t="s">
        <v>357</v>
      </c>
      <c r="H14" t="s">
        <v>358</v>
      </c>
      <c r="I14" t="s">
        <v>359</v>
      </c>
      <c r="J14" t="s">
        <v>360</v>
      </c>
    </row>
    <row r="15" spans="2:31">
      <c r="B15" t="str">
        <f>Basics!A7</f>
        <v>Lagna</v>
      </c>
      <c r="C15" s="30">
        <f>Basics!G7</f>
        <v>136.71151666666665</v>
      </c>
      <c r="D15" s="37"/>
      <c r="E15" s="38">
        <f>+ROUNDUP(Moon/13.333,0)+ROUNDUP(JanmaGhatika,0)+ROUNDUP(Lagna/30,0)</f>
        <v>17</v>
      </c>
      <c r="F15" s="39"/>
      <c r="G15" s="39"/>
    </row>
    <row r="16" spans="2:31">
      <c r="B16" t="str">
        <f>Basics!A8</f>
        <v>Sun</v>
      </c>
      <c r="C16" s="37">
        <f>Basics!G8</f>
        <v>92.399202777777774</v>
      </c>
      <c r="D16" s="37"/>
      <c r="E16" s="38" t="str">
        <f t="shared" ref="E16:E24" si="1">INDEX(NakshatraTbl,INT(C16*0.075)+1,3)</f>
        <v>Jupiter</v>
      </c>
      <c r="F16" s="39">
        <f>MOD(ROUNDUP(C16/13.3333333333,0)*1*ROUNDUP(MOD(C16,30)/3.33333,0)+ROUNDUP(Moon/13.333,0)+ROUNDUP(JanmaGhatika,0)+ROUNDUP(Lagna/30,0)+11,12)+1</f>
        <v>12</v>
      </c>
      <c r="G16" s="39">
        <v>1</v>
      </c>
      <c r="H16">
        <f t="shared" ref="H16:H24" si="2">ROUNDUP(C16/13.3333333333,0)</f>
        <v>7</v>
      </c>
      <c r="I16">
        <f t="shared" ref="I16:I24" si="3">ROUNDUP(MOD(C16,30)/3.33333,0)</f>
        <v>1</v>
      </c>
      <c r="J16">
        <f t="shared" ref="J16:J24" si="4">ROUNDUP(MOD(C16,30),0)</f>
        <v>3</v>
      </c>
      <c r="K16">
        <f t="shared" ref="K16:K24" si="5">G16*H16*J16</f>
        <v>21</v>
      </c>
      <c r="L16">
        <f t="shared" ref="L16:L24" si="6">MOD(K16+$E$15,12)</f>
        <v>2</v>
      </c>
    </row>
    <row r="17" spans="2:12">
      <c r="B17" t="str">
        <f>Basics!A9</f>
        <v>Moon</v>
      </c>
      <c r="C17" s="43">
        <f>Basics!G9</f>
        <v>53.015944444444443</v>
      </c>
      <c r="D17" s="43"/>
      <c r="E17" s="44" t="str">
        <f t="shared" si="1"/>
        <v>Moon</v>
      </c>
      <c r="F17" s="39">
        <f>MOD(ROUNDUP(C17/13.3333333333,0)*2*ROUNDUP(MOD(C17,30)/3.33333,0)+ROUNDUP(Moon/13.333,0)+ROUNDUP(JanmaGhatika,0)+ROUNDUP(Lagna/30,0)+11,12)+1</f>
        <v>1</v>
      </c>
      <c r="G17" s="39">
        <v>2</v>
      </c>
      <c r="H17">
        <f t="shared" si="2"/>
        <v>4</v>
      </c>
      <c r="I17">
        <f t="shared" si="3"/>
        <v>7</v>
      </c>
      <c r="J17">
        <f t="shared" si="4"/>
        <v>24</v>
      </c>
      <c r="K17">
        <f t="shared" si="5"/>
        <v>192</v>
      </c>
      <c r="L17">
        <f t="shared" si="6"/>
        <v>5</v>
      </c>
    </row>
    <row r="18" spans="2:12">
      <c r="B18" t="str">
        <f>Basics!A10</f>
        <v>Mars</v>
      </c>
      <c r="C18" s="43">
        <f>Basics!G10</f>
        <v>298.10866388888888</v>
      </c>
      <c r="D18" s="37"/>
      <c r="E18" s="38" t="str">
        <f t="shared" si="1"/>
        <v>Moon</v>
      </c>
      <c r="F18" s="39">
        <f>MOD(ROUNDUP(C18/13.3333333333,0)*3*ROUNDUP(MOD(C18,30)/3.33333,0)+ROUNDUP(Moon/13.333,0)+ROUNDUP(JanmaGhatika,0)+ROUNDUP(Lagna/30,0)+11,12)+1</f>
        <v>2</v>
      </c>
      <c r="G18" s="39">
        <v>3</v>
      </c>
      <c r="H18">
        <f t="shared" si="2"/>
        <v>23</v>
      </c>
      <c r="I18">
        <f t="shared" si="3"/>
        <v>9</v>
      </c>
      <c r="J18">
        <f t="shared" si="4"/>
        <v>29</v>
      </c>
      <c r="K18">
        <f t="shared" si="5"/>
        <v>2001</v>
      </c>
      <c r="L18">
        <f t="shared" si="6"/>
        <v>2</v>
      </c>
    </row>
    <row r="19" spans="2:12">
      <c r="B19" t="str">
        <f>Basics!A11</f>
        <v>Mercury</v>
      </c>
      <c r="C19" s="43">
        <f>Basics!G11</f>
        <v>117.12978611111112</v>
      </c>
      <c r="D19" s="37"/>
      <c r="E19" s="38" t="str">
        <f t="shared" si="1"/>
        <v>Merc</v>
      </c>
      <c r="F19" s="39">
        <f>MOD(ROUNDUP(C19/13.3333333333,0)*4*ROUNDUP(MOD(C19,30)/3.33333,0)+ROUNDUP(Moon/13.333,0)+ROUNDUP(JanmaGhatika,0)+ROUNDUP(Lagna/30,0)+11,12)+1</f>
        <v>5</v>
      </c>
      <c r="G19" s="39">
        <v>4</v>
      </c>
      <c r="H19">
        <f t="shared" si="2"/>
        <v>9</v>
      </c>
      <c r="I19">
        <f t="shared" si="3"/>
        <v>9</v>
      </c>
      <c r="J19">
        <f t="shared" si="4"/>
        <v>28</v>
      </c>
      <c r="K19">
        <f t="shared" si="5"/>
        <v>1008</v>
      </c>
      <c r="L19">
        <f t="shared" si="6"/>
        <v>5</v>
      </c>
    </row>
    <row r="20" spans="2:12">
      <c r="B20" t="str">
        <f>Basics!A12</f>
        <v>Jupiter</v>
      </c>
      <c r="C20" s="43">
        <f>Basics!G12</f>
        <v>213.19717499999999</v>
      </c>
      <c r="D20" s="37"/>
      <c r="E20" s="38" t="str">
        <f t="shared" si="1"/>
        <v>Jupiter</v>
      </c>
      <c r="F20" s="39">
        <f>MOD(ROUNDUP(C20/13.3333333333,0)*5*ROUNDUP(MOD(C20,30)/3.33333,0)+ROUNDUP(Moon/13.333,0)+ROUNDUP(JanmaGhatika,0)+ROUNDUP(Lagna/30,0),12)</f>
        <v>1</v>
      </c>
      <c r="G20" s="39">
        <v>5</v>
      </c>
      <c r="H20">
        <f t="shared" si="2"/>
        <v>16</v>
      </c>
      <c r="I20">
        <f t="shared" si="3"/>
        <v>1</v>
      </c>
      <c r="J20">
        <f t="shared" si="4"/>
        <v>4</v>
      </c>
      <c r="K20">
        <f t="shared" si="5"/>
        <v>320</v>
      </c>
      <c r="L20">
        <f t="shared" si="6"/>
        <v>1</v>
      </c>
    </row>
    <row r="21" spans="2:12">
      <c r="B21" t="str">
        <f>Basics!A13</f>
        <v>Venus</v>
      </c>
      <c r="C21" s="43">
        <f>Basics!G13</f>
        <v>81.540602777777778</v>
      </c>
      <c r="D21" s="37"/>
      <c r="E21" s="38" t="str">
        <f t="shared" si="1"/>
        <v>Jupiter</v>
      </c>
      <c r="F21" s="39">
        <f>MOD(ROUNDUP(C21/13.3333333333,0)*6*ROUNDUP(MOD(C21,30)/3.33333,0)+ROUNDUP(Moon/13.333,0)+ROUNDUP(JanmaGhatika,0)+ROUNDUP(Lagna/30,0)+11,12)+1</f>
        <v>11</v>
      </c>
      <c r="G21" s="39">
        <v>6</v>
      </c>
      <c r="H21">
        <f t="shared" si="2"/>
        <v>7</v>
      </c>
      <c r="I21">
        <f t="shared" si="3"/>
        <v>7</v>
      </c>
      <c r="J21">
        <f t="shared" si="4"/>
        <v>22</v>
      </c>
      <c r="K21">
        <f t="shared" si="5"/>
        <v>924</v>
      </c>
      <c r="L21">
        <f t="shared" si="6"/>
        <v>5</v>
      </c>
    </row>
    <row r="22" spans="2:12">
      <c r="B22" t="str">
        <f>Basics!A14</f>
        <v>Saturn</v>
      </c>
      <c r="C22" s="43">
        <f>Basics!G14</f>
        <v>39.885211111111111</v>
      </c>
      <c r="D22" s="37"/>
      <c r="E22" s="38" t="str">
        <f t="shared" si="1"/>
        <v>Sun</v>
      </c>
      <c r="F22" s="39">
        <f>MOD(ROUNDUP(C22/13.3333333333,0)*7*ROUNDUP(MOD(C22,30)/3.33333,0)+ROUNDUP(Moon/13.333,0)+ROUNDUP(JanmaGhatika,0)+ROUNDUP(Lagna/30,0)+11,12)+1</f>
        <v>8</v>
      </c>
      <c r="G22" s="39">
        <v>7</v>
      </c>
      <c r="H22">
        <f t="shared" si="2"/>
        <v>3</v>
      </c>
      <c r="I22">
        <f t="shared" si="3"/>
        <v>3</v>
      </c>
      <c r="J22">
        <f t="shared" si="4"/>
        <v>10</v>
      </c>
      <c r="K22">
        <f t="shared" si="5"/>
        <v>210</v>
      </c>
      <c r="L22">
        <f t="shared" si="6"/>
        <v>11</v>
      </c>
    </row>
    <row r="23" spans="2:12">
      <c r="B23" t="str">
        <f>Basics!A15</f>
        <v>Rahu</v>
      </c>
      <c r="C23" s="43">
        <f>Basics!G15</f>
        <v>291.96723888888891</v>
      </c>
      <c r="D23" s="37"/>
      <c r="E23" s="38" t="str">
        <f t="shared" si="1"/>
        <v>Sun</v>
      </c>
      <c r="F23" s="39">
        <f>MOD(ROUNDUP(C23/13.3333333333,0)*8*ROUNDUP(MOD(C23,30)/3.33333,0)+ROUNDUP(Moon/13.333,0)+ROUNDUP(JanmaGhatika,0)+ROUNDUP(Lagna/30,0)+11,12)+1</f>
        <v>1</v>
      </c>
      <c r="G23" s="39">
        <v>8</v>
      </c>
      <c r="H23">
        <f t="shared" si="2"/>
        <v>22</v>
      </c>
      <c r="I23">
        <f t="shared" si="3"/>
        <v>7</v>
      </c>
      <c r="J23">
        <f t="shared" si="4"/>
        <v>22</v>
      </c>
      <c r="K23">
        <f t="shared" si="5"/>
        <v>3872</v>
      </c>
      <c r="L23">
        <f t="shared" si="6"/>
        <v>1</v>
      </c>
    </row>
    <row r="24" spans="2:12">
      <c r="B24" t="str">
        <f>Basics!A16</f>
        <v>Ketu</v>
      </c>
      <c r="C24" s="43">
        <f>Basics!G16</f>
        <v>111.96723888888889</v>
      </c>
      <c r="D24" s="37"/>
      <c r="E24" s="38" t="str">
        <f t="shared" si="1"/>
        <v>Merc</v>
      </c>
      <c r="F24" s="39">
        <f>MOD(ROUNDUP(C24/13.3333333333,0)*9*ROUNDUP(MOD(C24,30)/3.33333,0)+ROUNDUP(Moon/13.333,0)+ROUNDUP(JanmaGhatika,0)+ROUNDUP(Lagna/30,0)+11,12)+1</f>
        <v>8</v>
      </c>
      <c r="G24" s="39">
        <v>9</v>
      </c>
      <c r="H24">
        <f t="shared" si="2"/>
        <v>9</v>
      </c>
      <c r="I24">
        <f t="shared" si="3"/>
        <v>7</v>
      </c>
      <c r="J24">
        <f t="shared" si="4"/>
        <v>22</v>
      </c>
      <c r="K24">
        <f t="shared" si="5"/>
        <v>1782</v>
      </c>
      <c r="L24">
        <f t="shared" si="6"/>
        <v>11</v>
      </c>
    </row>
  </sheetData>
  <mergeCells count="22">
    <mergeCell ref="G13:J13"/>
    <mergeCell ref="AA2:AA4"/>
    <mergeCell ref="AB2:AB4"/>
    <mergeCell ref="AC2:AC4"/>
    <mergeCell ref="AD2:AD4"/>
    <mergeCell ref="AE2:AE4"/>
    <mergeCell ref="B2:B4"/>
    <mergeCell ref="C2:C4"/>
    <mergeCell ref="D2:P2"/>
    <mergeCell ref="Q2:Q4"/>
    <mergeCell ref="R2:Z2"/>
    <mergeCell ref="D3:D4"/>
    <mergeCell ref="E3:L3"/>
    <mergeCell ref="M3:M4"/>
    <mergeCell ref="N3:N4"/>
    <mergeCell ref="O3:O4"/>
    <mergeCell ref="P3:P4"/>
    <mergeCell ref="R3:R4"/>
    <mergeCell ref="S3:S4"/>
    <mergeCell ref="T3:T4"/>
    <mergeCell ref="U3:Y3"/>
    <mergeCell ref="Z3:Z4"/>
  </mergeCells>
  <pageMargins left="0.75" right="0.75" top="1" bottom="1"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323"/>
  <sheetViews>
    <sheetView topLeftCell="A5" zoomScaleNormal="100" workbookViewId="0">
      <selection activeCell="F21" sqref="F21"/>
    </sheetView>
  </sheetViews>
  <sheetFormatPr defaultColWidth="7.140625" defaultRowHeight="15"/>
  <cols>
    <col min="1" max="1" width="22.5703125" customWidth="1"/>
    <col min="2" max="2" width="16.28515625" customWidth="1"/>
    <col min="3" max="3" width="14.28515625" customWidth="1"/>
    <col min="4" max="4" width="19.42578125" customWidth="1"/>
    <col min="5" max="5" width="13" customWidth="1"/>
    <col min="6" max="6" width="16" customWidth="1"/>
    <col min="7" max="7" width="20" customWidth="1"/>
    <col min="8" max="8" width="17" customWidth="1"/>
    <col min="9" max="10" width="16.140625" customWidth="1"/>
    <col min="11" max="11" width="15.5703125" customWidth="1"/>
    <col min="12" max="12" width="18" customWidth="1"/>
    <col min="13" max="13" width="13" customWidth="1"/>
    <col min="14" max="14" width="11.5703125" customWidth="1"/>
    <col min="15" max="15" width="12.28515625" customWidth="1"/>
    <col min="16" max="16" width="12.42578125" customWidth="1"/>
    <col min="17" max="17" width="11.5703125" customWidth="1"/>
    <col min="18" max="18" width="18.140625" customWidth="1"/>
    <col min="19" max="19" width="27" customWidth="1"/>
    <col min="20" max="20" width="9.85546875" customWidth="1"/>
    <col min="21" max="21" width="17.85546875" customWidth="1"/>
    <col min="22" max="22" width="15.42578125" customWidth="1"/>
  </cols>
  <sheetData>
    <row r="1" spans="1:12">
      <c r="A1" t="s">
        <v>138</v>
      </c>
      <c r="B1" t="s">
        <v>361</v>
      </c>
      <c r="C1" t="s">
        <v>362</v>
      </c>
      <c r="D1" t="s">
        <v>363</v>
      </c>
      <c r="E1" t="s">
        <v>364</v>
      </c>
      <c r="F1" t="s">
        <v>301</v>
      </c>
      <c r="G1" t="s">
        <v>365</v>
      </c>
      <c r="H1" t="s">
        <v>366</v>
      </c>
      <c r="I1" t="s">
        <v>367</v>
      </c>
      <c r="J1" t="s">
        <v>368</v>
      </c>
      <c r="K1" t="s">
        <v>369</v>
      </c>
      <c r="L1" t="s">
        <v>370</v>
      </c>
    </row>
    <row r="2" spans="1:12">
      <c r="A2" t="str">
        <f t="shared" ref="A2:A10" si="0">IF($E$1,F2,D2)</f>
        <v>Ketu</v>
      </c>
      <c r="B2">
        <f t="shared" ref="B2:B10" si="1">IF($E$1,G2,E2)</f>
        <v>7</v>
      </c>
      <c r="C2">
        <f t="shared" ref="C2:C10" si="2">H2</f>
        <v>0</v>
      </c>
      <c r="D2" t="s">
        <v>161</v>
      </c>
      <c r="E2">
        <f>VimFactor*17</f>
        <v>17</v>
      </c>
      <c r="F2" t="s">
        <v>166</v>
      </c>
      <c r="G2">
        <v>7</v>
      </c>
      <c r="H2">
        <v>0</v>
      </c>
      <c r="I2" s="59">
        <f t="shared" ref="I2:I10" si="3">G2*360/13.33333333</f>
        <v>189.00000004724998</v>
      </c>
      <c r="J2">
        <f t="shared" ref="J2:J10" si="4">G2*360/800</f>
        <v>3.15</v>
      </c>
      <c r="K2">
        <f t="shared" ref="K2:K10" si="5">J2/60</f>
        <v>5.2499999999999998E-2</v>
      </c>
      <c r="L2">
        <f t="shared" ref="L2:L10" si="6">G2*360/(MoonPeriod/27*24*60)</f>
        <v>1.7294020529265104</v>
      </c>
    </row>
    <row r="3" spans="1:12">
      <c r="A3" t="str">
        <f t="shared" si="0"/>
        <v>Venus</v>
      </c>
      <c r="B3">
        <f t="shared" si="1"/>
        <v>20</v>
      </c>
      <c r="C3">
        <f t="shared" si="2"/>
        <v>1</v>
      </c>
      <c r="D3" t="s">
        <v>164</v>
      </c>
      <c r="E3">
        <f>VimFactor*19</f>
        <v>19</v>
      </c>
      <c r="F3" t="s">
        <v>163</v>
      </c>
      <c r="G3">
        <v>20</v>
      </c>
      <c r="H3">
        <v>1</v>
      </c>
      <c r="I3" s="59">
        <f t="shared" si="3"/>
        <v>540.00000013499994</v>
      </c>
      <c r="J3">
        <f t="shared" si="4"/>
        <v>9</v>
      </c>
      <c r="K3">
        <f t="shared" si="5"/>
        <v>0.15</v>
      </c>
      <c r="L3">
        <f t="shared" si="6"/>
        <v>4.9411487226471724</v>
      </c>
    </row>
    <row r="4" spans="1:12">
      <c r="A4" t="str">
        <f t="shared" si="0"/>
        <v>Sun</v>
      </c>
      <c r="B4">
        <f t="shared" si="1"/>
        <v>6</v>
      </c>
      <c r="C4">
        <f t="shared" si="2"/>
        <v>2</v>
      </c>
      <c r="D4" t="s">
        <v>162</v>
      </c>
      <c r="E4">
        <f>VimFactor*16</f>
        <v>16</v>
      </c>
      <c r="F4" t="s">
        <v>158</v>
      </c>
      <c r="G4">
        <v>6</v>
      </c>
      <c r="H4">
        <v>2</v>
      </c>
      <c r="I4" s="59">
        <f t="shared" si="3"/>
        <v>162.0000000405</v>
      </c>
      <c r="J4">
        <f t="shared" si="4"/>
        <v>2.7</v>
      </c>
      <c r="K4">
        <f t="shared" si="5"/>
        <v>4.5000000000000005E-2</v>
      </c>
      <c r="L4">
        <f t="shared" si="6"/>
        <v>1.4823446167941519</v>
      </c>
    </row>
    <row r="5" spans="1:12">
      <c r="A5" t="str">
        <f t="shared" si="0"/>
        <v>Moon</v>
      </c>
      <c r="B5">
        <f t="shared" si="1"/>
        <v>10</v>
      </c>
      <c r="C5">
        <f t="shared" si="2"/>
        <v>3</v>
      </c>
      <c r="D5" t="s">
        <v>165</v>
      </c>
      <c r="E5">
        <f>VimFactor*18</f>
        <v>18</v>
      </c>
      <c r="F5" t="s">
        <v>159</v>
      </c>
      <c r="G5">
        <v>10</v>
      </c>
      <c r="H5">
        <v>3</v>
      </c>
      <c r="I5" s="59">
        <f t="shared" si="3"/>
        <v>270.00000006749997</v>
      </c>
      <c r="J5">
        <f t="shared" si="4"/>
        <v>4.5</v>
      </c>
      <c r="K5">
        <f t="shared" si="5"/>
        <v>7.4999999999999997E-2</v>
      </c>
      <c r="L5">
        <f t="shared" si="6"/>
        <v>2.4705743613235862</v>
      </c>
    </row>
    <row r="6" spans="1:12">
      <c r="A6" t="str">
        <f t="shared" si="0"/>
        <v>Mars</v>
      </c>
      <c r="B6">
        <f t="shared" si="1"/>
        <v>7</v>
      </c>
      <c r="C6">
        <f t="shared" si="2"/>
        <v>4</v>
      </c>
      <c r="D6" t="s">
        <v>160</v>
      </c>
      <c r="E6">
        <f>VimFactor*7</f>
        <v>7</v>
      </c>
      <c r="F6" t="s">
        <v>160</v>
      </c>
      <c r="G6">
        <v>7</v>
      </c>
      <c r="H6">
        <v>4</v>
      </c>
      <c r="I6" s="59">
        <f t="shared" si="3"/>
        <v>189.00000004724998</v>
      </c>
      <c r="J6">
        <f t="shared" si="4"/>
        <v>3.15</v>
      </c>
      <c r="K6">
        <f t="shared" si="5"/>
        <v>5.2499999999999998E-2</v>
      </c>
      <c r="L6">
        <f t="shared" si="6"/>
        <v>1.7294020529265104</v>
      </c>
    </row>
    <row r="7" spans="1:12">
      <c r="A7" t="str">
        <f t="shared" si="0"/>
        <v>Rahu</v>
      </c>
      <c r="B7">
        <f t="shared" si="1"/>
        <v>18</v>
      </c>
      <c r="C7">
        <f t="shared" si="2"/>
        <v>5</v>
      </c>
      <c r="D7" t="s">
        <v>159</v>
      </c>
      <c r="E7">
        <f>VimFactor*10</f>
        <v>10</v>
      </c>
      <c r="F7" t="s">
        <v>165</v>
      </c>
      <c r="G7">
        <v>18</v>
      </c>
      <c r="H7">
        <v>5</v>
      </c>
      <c r="I7" s="59">
        <f t="shared" si="3"/>
        <v>486.00000012149997</v>
      </c>
      <c r="J7">
        <f t="shared" si="4"/>
        <v>8.1</v>
      </c>
      <c r="K7">
        <f t="shared" si="5"/>
        <v>0.13499999999999998</v>
      </c>
      <c r="L7">
        <f t="shared" si="6"/>
        <v>4.4470338503824554</v>
      </c>
    </row>
    <row r="8" spans="1:12">
      <c r="A8" t="str">
        <f t="shared" si="0"/>
        <v>Jupiter</v>
      </c>
      <c r="B8">
        <f t="shared" si="1"/>
        <v>16</v>
      </c>
      <c r="C8">
        <f t="shared" si="2"/>
        <v>6</v>
      </c>
      <c r="D8" t="s">
        <v>158</v>
      </c>
      <c r="E8">
        <f>VimFactor*6</f>
        <v>6</v>
      </c>
      <c r="F8" t="s">
        <v>162</v>
      </c>
      <c r="G8">
        <v>16</v>
      </c>
      <c r="H8">
        <v>6</v>
      </c>
      <c r="I8" s="59">
        <f t="shared" si="3"/>
        <v>432.00000010799999</v>
      </c>
      <c r="J8">
        <f t="shared" si="4"/>
        <v>7.2</v>
      </c>
      <c r="K8">
        <f t="shared" si="5"/>
        <v>0.12000000000000001</v>
      </c>
      <c r="L8">
        <f t="shared" si="6"/>
        <v>3.9529189781177378</v>
      </c>
    </row>
    <row r="9" spans="1:12">
      <c r="A9" t="str">
        <f t="shared" si="0"/>
        <v>Saturn</v>
      </c>
      <c r="B9">
        <f t="shared" si="1"/>
        <v>19</v>
      </c>
      <c r="C9">
        <f t="shared" si="2"/>
        <v>7</v>
      </c>
      <c r="D9" t="s">
        <v>163</v>
      </c>
      <c r="E9">
        <f>VimFactor*20</f>
        <v>20</v>
      </c>
      <c r="F9" t="s">
        <v>164</v>
      </c>
      <c r="G9">
        <v>19</v>
      </c>
      <c r="H9">
        <v>7</v>
      </c>
      <c r="I9" s="59">
        <f t="shared" si="3"/>
        <v>513.00000012825001</v>
      </c>
      <c r="J9">
        <f t="shared" si="4"/>
        <v>8.5500000000000007</v>
      </c>
      <c r="K9">
        <f t="shared" si="5"/>
        <v>0.14250000000000002</v>
      </c>
      <c r="L9">
        <f t="shared" si="6"/>
        <v>4.6940912865148139</v>
      </c>
    </row>
    <row r="10" spans="1:12">
      <c r="A10" t="str">
        <f t="shared" si="0"/>
        <v>Mercury</v>
      </c>
      <c r="B10">
        <f t="shared" si="1"/>
        <v>17</v>
      </c>
      <c r="C10">
        <f t="shared" si="2"/>
        <v>8</v>
      </c>
      <c r="D10" t="s">
        <v>166</v>
      </c>
      <c r="E10">
        <f>VimFactor*7</f>
        <v>7</v>
      </c>
      <c r="F10" t="s">
        <v>161</v>
      </c>
      <c r="G10">
        <v>17</v>
      </c>
      <c r="H10">
        <v>8</v>
      </c>
      <c r="I10" s="59">
        <f t="shared" si="3"/>
        <v>459.00000011474998</v>
      </c>
      <c r="J10">
        <f t="shared" si="4"/>
        <v>7.65</v>
      </c>
      <c r="K10">
        <f t="shared" si="5"/>
        <v>0.1275</v>
      </c>
      <c r="L10">
        <f t="shared" si="6"/>
        <v>4.1999764142500968</v>
      </c>
    </row>
    <row r="11" spans="1:12">
      <c r="C11" s="171"/>
    </row>
    <row r="12" spans="1:12" ht="15.75">
      <c r="A12" s="172" t="s">
        <v>371</v>
      </c>
      <c r="B12" s="173"/>
      <c r="C12" s="173"/>
      <c r="D12" s="173"/>
      <c r="E12" s="174"/>
      <c r="F12" t="s">
        <v>372</v>
      </c>
      <c r="G12">
        <f>DATA!L4</f>
        <v>27.321581999999999</v>
      </c>
      <c r="H12" t="s">
        <v>373</v>
      </c>
    </row>
    <row r="13" spans="1:12">
      <c r="A13" s="175" t="str">
        <f>Basics!A9</f>
        <v>Moon</v>
      </c>
      <c r="B13" t="s">
        <v>374</v>
      </c>
      <c r="E13" s="176"/>
      <c r="H13">
        <f>E15*360/(G12/27*24*60)</f>
        <v>2.4705743613235862</v>
      </c>
    </row>
    <row r="14" spans="1:12">
      <c r="A14" s="177" t="s">
        <v>375</v>
      </c>
      <c r="B14" s="11">
        <f>VLOOKUP(A13,ChartInfo,7,0)</f>
        <v>53.015944444444443</v>
      </c>
      <c r="C14" s="11"/>
      <c r="D14" s="11"/>
      <c r="E14" s="176"/>
      <c r="G14" t="s">
        <v>367</v>
      </c>
      <c r="H14" t="s">
        <v>368</v>
      </c>
      <c r="I14" t="s">
        <v>369</v>
      </c>
    </row>
    <row r="15" spans="1:12">
      <c r="A15" s="178" t="s">
        <v>376</v>
      </c>
      <c r="B15" t="str">
        <f>INDEX(DasaYears,D15+1,1)</f>
        <v>Moon</v>
      </c>
      <c r="D15">
        <f>MOD(FLOOR(B14/StarDeg,1),9)</f>
        <v>3</v>
      </c>
      <c r="E15" s="176">
        <f>INDEX(DasaYears,MOD(FLOOR(B14/StarDeg,1),9)+1,2)</f>
        <v>10</v>
      </c>
      <c r="G15" s="149">
        <f>E15*360/13.33333333</f>
        <v>270.00000006749997</v>
      </c>
      <c r="H15">
        <f>E15*360/800</f>
        <v>4.5</v>
      </c>
      <c r="I15" s="179">
        <f>H15/60</f>
        <v>7.4999999999999997E-2</v>
      </c>
    </row>
    <row r="16" spans="1:12">
      <c r="A16" s="178" t="s">
        <v>377</v>
      </c>
      <c r="B16" s="1326">
        <f>((StarDeg-MOD(B14,StarDeg))/StarDeg)*E15</f>
        <v>0.23804166666666934</v>
      </c>
      <c r="C16" s="1326"/>
      <c r="D16" s="1326"/>
      <c r="E16" s="1326"/>
      <c r="F16" s="50"/>
    </row>
    <row r="17" spans="1:22">
      <c r="A17" s="178" t="s">
        <v>378</v>
      </c>
      <c r="E17" s="176">
        <f>((MOD(B14,StarDeg))/StarDeg)*E15</f>
        <v>9.7619583333333306</v>
      </c>
      <c r="F17" s="50"/>
    </row>
    <row r="18" spans="1:22">
      <c r="A18" s="178" t="str">
        <f>INDEX(DasaYears,MOD(D15,9)+1,1)</f>
        <v>Moon</v>
      </c>
      <c r="B18" s="1327">
        <f>DoB+G18</f>
        <v>26133.384143518517</v>
      </c>
      <c r="C18" s="1327"/>
      <c r="D18" s="1327"/>
      <c r="E18" s="1327"/>
      <c r="F18" s="50"/>
      <c r="G18">
        <v>0</v>
      </c>
      <c r="H18" t="s">
        <v>379</v>
      </c>
    </row>
    <row r="19" spans="1:22">
      <c r="A19" s="178"/>
      <c r="E19" s="176"/>
      <c r="I19" t="s">
        <v>380</v>
      </c>
      <c r="L19" t="s">
        <v>381</v>
      </c>
      <c r="O19" t="s">
        <v>382</v>
      </c>
      <c r="R19" t="s">
        <v>383</v>
      </c>
      <c r="U19" t="s">
        <v>384</v>
      </c>
    </row>
    <row r="20" spans="1:22">
      <c r="A20" s="180" t="s">
        <v>385</v>
      </c>
      <c r="B20" s="180" t="s">
        <v>386</v>
      </c>
      <c r="C20" s="181" t="s">
        <v>387</v>
      </c>
      <c r="D20" s="50" t="s">
        <v>388</v>
      </c>
      <c r="E20" s="182"/>
      <c r="F20" s="182" t="s">
        <v>389</v>
      </c>
      <c r="G20" s="181" t="s">
        <v>390</v>
      </c>
      <c r="H20" s="50" t="s">
        <v>391</v>
      </c>
      <c r="I20" s="183" t="str">
        <f>VLOOKUP("&gt;",VimMahaDasa,2,0)</f>
        <v>Saturn</v>
      </c>
      <c r="J20" s="184">
        <f>I30</f>
        <v>48135.622383281545</v>
      </c>
      <c r="K20" s="50" t="s">
        <v>392</v>
      </c>
      <c r="L20" s="185" t="str">
        <f>VLOOKUP("&gt;",VimAD,2,0)</f>
        <v>Mercury</v>
      </c>
      <c r="M20" s="186">
        <f>L30</f>
        <v>43277.732576568626</v>
      </c>
      <c r="N20" s="50" t="s">
        <v>393</v>
      </c>
      <c r="O20" s="185" t="str">
        <f>VLOOKUP("&gt;",VimPD,2,0)</f>
        <v>Saturn</v>
      </c>
      <c r="P20" s="186">
        <f>O30</f>
        <v>43277.732576568633</v>
      </c>
      <c r="Q20" s="50" t="s">
        <v>384</v>
      </c>
      <c r="R20" s="185" t="str">
        <f>VLOOKUP("&gt;",VimSD,2,0)</f>
        <v>Saturn</v>
      </c>
      <c r="S20" s="187">
        <f>R30</f>
        <v>43146.714935063676</v>
      </c>
      <c r="T20" s="50" t="s">
        <v>245</v>
      </c>
      <c r="U20" s="185" t="str">
        <f>VLOOKUP("&gt;",VimPAD,2,0)</f>
        <v>Sun</v>
      </c>
      <c r="V20" s="188">
        <f>U30</f>
        <v>43136.240009765133</v>
      </c>
    </row>
    <row r="21" spans="1:22">
      <c r="A21">
        <v>1</v>
      </c>
      <c r="B21" t="s">
        <v>186</v>
      </c>
      <c r="C21" s="181"/>
      <c r="D21" s="189" t="str">
        <f>INDEX(DasaYears,MOD(D15,9)+1,1)</f>
        <v>Moon</v>
      </c>
      <c r="E21" s="190">
        <f>DoB-DaysInYear*E17</f>
        <v>22567.7812953188</v>
      </c>
      <c r="F21" s="191">
        <f>(SunDeg-360*E17)/360</f>
        <v>-9.505293881172836</v>
      </c>
      <c r="G21" s="192"/>
      <c r="H21" s="189" t="str">
        <f>INDEX(DasaYears,MOD(VLOOKUP(VLOOKUP("&gt;",VimMahaDasa,2),DasaYears,3,0)+IF(VLOOKUP(""&amp;VLOOKUP("&gt;",VimMahaDasa,2)&amp;"",ChartInfo,11),-1,0),9)+1,1)</f>
        <v>Saturn</v>
      </c>
      <c r="I21" s="193">
        <f>VLOOKUP("&gt;",VimMahaDasa,3,0)</f>
        <v>41195.779802263081</v>
      </c>
      <c r="J21" s="194"/>
      <c r="K21" s="189" t="str">
        <f>INDEX(DasaYears,MOD(VLOOKUP(L20,DasaYears,3,0)+IF(VLOOKUP(L20,ChartInfo,11,0),-1,0),9)+1,1)</f>
        <v>Mercury</v>
      </c>
      <c r="L21" s="193">
        <f>VLOOKUP("&gt;",VimAD,3,0)</f>
        <v>42294.588210924339</v>
      </c>
      <c r="M21" s="181" t="s">
        <v>394</v>
      </c>
      <c r="N21" s="189" t="str">
        <f>INDEX(DasaYears,MOD(VLOOKUP(O20,DasaYears,3,0)+IF(VLOOKUP(O20,ChartInfo,11,0),-1,0),9)+1,1)</f>
        <v>Saturn</v>
      </c>
      <c r="O21" s="193">
        <f>VLOOKUP("&gt;",VimPD,3,0)</f>
        <v>43122.068052008282</v>
      </c>
      <c r="P21" s="181"/>
      <c r="Q21" s="189" t="str">
        <f>INDEX(DasaYears,MOD(VLOOKUP(R20,DasaYears,3,0)+IF(VLOOKUP(R20,ChartInfo,11,0),-1,0),9)+1,1)</f>
        <v>Saturn</v>
      </c>
      <c r="R21" s="190">
        <f>VLOOKUP("&gt;",VimSD,3,0)</f>
        <v>43122.068052008282</v>
      </c>
      <c r="S21" s="189"/>
      <c r="T21" s="193" t="str">
        <f>INDEX(DasaYears,MOD(VLOOKUP(U20,DasaYears,3,0)+IF(VLOOKUP(U20,ChartInfo,11,0),-1,0),9)+1,1)</f>
        <v>Sun</v>
      </c>
      <c r="U21" s="195">
        <f>VLOOKUP("&gt;",VimPAD,3,0)</f>
        <v>43135.007665612364</v>
      </c>
    </row>
    <row r="22" spans="1:22">
      <c r="A22">
        <v>2</v>
      </c>
      <c r="B22" t="s">
        <v>258</v>
      </c>
      <c r="C22" s="181"/>
      <c r="D22" s="182" t="str">
        <f>INDEX(DasaYears,MOD($D$15+1,9)+1,1)</f>
        <v>Mars</v>
      </c>
      <c r="E22" s="196">
        <f>B18+(B16*DaysInYear)</f>
        <v>26220.330022170619</v>
      </c>
      <c r="F22" s="191">
        <f>(SunDeg+(B16*360))</f>
        <v>178.09420277777872</v>
      </c>
      <c r="G22" s="197" t="s">
        <v>394</v>
      </c>
      <c r="H22" s="182" t="str">
        <f t="shared" ref="H22:H29" si="7">INDEX(DasaYears,(MOD(VLOOKUP(H21,DasaYears,3,0)+IF(VLOOKUP(VLOOKUP("&gt;",VimMahaDasa,2,0),ChartInfo,11),-1,1),9)+1),1)</f>
        <v>Mercury</v>
      </c>
      <c r="I22" s="198">
        <f t="shared" ref="I22:I30" si="8">I21+(VLOOKUP($I$20,DasaYears,2,0)*VLOOKUP(H21,DasaYears,2,0)/VimTotal)*DaysInYear</f>
        <v>42294.588210924339</v>
      </c>
      <c r="J22" s="181"/>
      <c r="K22" s="182" t="str">
        <f t="shared" ref="K22:K29" si="9">INDEX(DasaYears,(MOD(VLOOKUP(K21,DasaYears,3,0)+IF(VLOOKUP($L$20,ChartInfo,11,0),-1,1),9)+1),1)</f>
        <v>Ketu</v>
      </c>
      <c r="L22" s="198">
        <f t="shared" ref="L22:L30" si="10">L21+DaysInYear*VLOOKUP($I$20,DasaYears,2,0)*VLOOKUP($L$20,DasaYears,2,0)/120*VLOOKUP(K21,DasaYears,2,0)/120</f>
        <v>42433.866996057281</v>
      </c>
      <c r="M22" s="181"/>
      <c r="N22" s="182" t="str">
        <f t="shared" ref="N22:N29" si="11">INDEX(DasaYears,(MOD(VLOOKUP(N21,DasaYears,3,0)+IF(VLOOKUP($L$20,ChartInfo,11,0),-1,1),9)+1),1)</f>
        <v>Mercury</v>
      </c>
      <c r="O22" s="198">
        <f t="shared" ref="O22:O30" si="12">O21+DaysInYear*VLOOKUP($I$20,DasaYears,2,0)*VLOOKUP($L$20,DasaYears,2,0)/120*VLOOKUP(N21,DasaYears,2,0)/120*VLOOKUP($O$20,DasaYears,2,0)/120</f>
        <v>43146.714935063668</v>
      </c>
      <c r="P22" s="181"/>
      <c r="Q22" s="182" t="str">
        <f t="shared" ref="Q22:Q29" si="13">INDEX(DasaYears,(MOD(VLOOKUP(Q21,DasaYears,3,0)+IF(VLOOKUP($L$20,ChartInfo,11,0),-1,1),9)+1),1)</f>
        <v>Mercury</v>
      </c>
      <c r="R22" s="196">
        <f t="shared" ref="R22:R30" si="14">R21+DaysInYear*VLOOKUP($I$20,DasaYears,2,0)*VLOOKUP($L$20,DasaYears,2,0)/120*VLOOKUP(Q21,DasaYears,2,0)/120*VLOOKUP($O$20,DasaYears,2,0)/120*VLOOKUP($R$20,DasaYears,2,0)/120</f>
        <v>43125.97047515872</v>
      </c>
      <c r="S22" s="182"/>
      <c r="T22" s="198" t="str">
        <f t="shared" ref="T22:T29" si="15">INDEX(DasaYears,(MOD(VLOOKUP(T21,DasaYears,3,0)+IF(VLOOKUP($L$20,ChartInfo,11,0),-1,1),9)+1),1)</f>
        <v>Moon</v>
      </c>
      <c r="U22" s="199">
        <f t="shared" ref="U22:U30" si="16">U21+DaysInYear*VLOOKUP($I$20,DasaYears,2,0)*VLOOKUP($L$20,DasaYears,2,0)/120*VLOOKUP(T21,DasaYears,2,0)/120*VLOOKUP($O$20,DasaYears,2,0)/120*VLOOKUP($R$20,DasaYears,2,0)/120*VLOOKUP($U$20,DasaYears,2,0)/120</f>
        <v>43135.069282820004</v>
      </c>
    </row>
    <row r="23" spans="1:22">
      <c r="A23">
        <v>3</v>
      </c>
      <c r="B23" t="s">
        <v>262</v>
      </c>
      <c r="C23" s="181"/>
      <c r="D23" s="189" t="str">
        <f>INDEX(DasaYears,MOD($D$15+2,9)+1,1)</f>
        <v>Rahu</v>
      </c>
      <c r="E23" s="190">
        <f t="shared" ref="E23:E30" si="17">E22+DaysInYear*VLOOKUP(D22,DasaYears,2,0)</f>
        <v>28777.114130966893</v>
      </c>
      <c r="F23" s="200">
        <f t="shared" ref="F23:F30" si="18">F22+360*VLOOKUP(D22,DasaYears,2,0)</f>
        <v>2698.0942027777787</v>
      </c>
      <c r="G23" s="192"/>
      <c r="H23" s="182" t="str">
        <f t="shared" si="7"/>
        <v>Ketu</v>
      </c>
      <c r="I23" s="193">
        <f t="shared" si="8"/>
        <v>43277.732576568618</v>
      </c>
      <c r="J23" s="194"/>
      <c r="K23" s="189" t="str">
        <f t="shared" si="9"/>
        <v>Venus</v>
      </c>
      <c r="L23" s="193">
        <f t="shared" si="10"/>
        <v>42491.217084053198</v>
      </c>
      <c r="M23" s="181"/>
      <c r="N23" s="189" t="str">
        <f t="shared" si="11"/>
        <v>Ketu</v>
      </c>
      <c r="O23" s="193">
        <f t="shared" si="12"/>
        <v>43168.767409376385</v>
      </c>
      <c r="P23" s="181"/>
      <c r="Q23" s="189" t="str">
        <f t="shared" si="13"/>
        <v>Ketu</v>
      </c>
      <c r="R23" s="190">
        <f t="shared" si="14"/>
        <v>43129.4621169249</v>
      </c>
      <c r="S23" s="189"/>
      <c r="T23" s="193" t="str">
        <f t="shared" si="15"/>
        <v>Mars</v>
      </c>
      <c r="U23" s="195">
        <f t="shared" si="16"/>
        <v>43135.171978166065</v>
      </c>
    </row>
    <row r="24" spans="1:22">
      <c r="A24">
        <v>4</v>
      </c>
      <c r="B24" t="s">
        <v>395</v>
      </c>
      <c r="C24" s="181"/>
      <c r="D24" s="182" t="str">
        <f>INDEX(DasaYears,MOD($D$15+3,9)+1,1)</f>
        <v>Jupiter</v>
      </c>
      <c r="E24" s="196">
        <f t="shared" si="17"/>
        <v>35351.701839300171</v>
      </c>
      <c r="F24" s="200">
        <f t="shared" si="18"/>
        <v>9178.0942027777783</v>
      </c>
      <c r="G24" s="197"/>
      <c r="H24" s="182" t="str">
        <f t="shared" si="7"/>
        <v>Venus</v>
      </c>
      <c r="I24" s="198">
        <f t="shared" si="8"/>
        <v>43682.556727128031</v>
      </c>
      <c r="J24" s="194"/>
      <c r="K24" s="182" t="str">
        <f t="shared" si="9"/>
        <v>Sun</v>
      </c>
      <c r="L24" s="198">
        <f t="shared" si="10"/>
        <v>42655.074478327246</v>
      </c>
      <c r="M24" s="181"/>
      <c r="N24" s="182" t="str">
        <f t="shared" si="11"/>
        <v>Venus</v>
      </c>
      <c r="O24" s="198">
        <f t="shared" si="12"/>
        <v>43177.847839975737</v>
      </c>
      <c r="P24" s="181"/>
      <c r="Q24" s="182" t="str">
        <f t="shared" si="13"/>
        <v>Venus</v>
      </c>
      <c r="R24" s="196">
        <f t="shared" si="14"/>
        <v>43130.899851769798</v>
      </c>
      <c r="S24" s="182"/>
      <c r="T24" s="198" t="str">
        <f t="shared" si="15"/>
        <v>Rahu</v>
      </c>
      <c r="U24" s="199">
        <f t="shared" si="16"/>
        <v>43135.243864908312</v>
      </c>
    </row>
    <row r="25" spans="1:22">
      <c r="A25">
        <v>5</v>
      </c>
      <c r="B25" t="s">
        <v>396</v>
      </c>
      <c r="C25" s="181" t="s">
        <v>394</v>
      </c>
      <c r="D25" s="201" t="str">
        <f>INDEX(DasaYears,MOD($D$15+4,9)+1,1)</f>
        <v>Saturn</v>
      </c>
      <c r="E25" s="202">
        <f t="shared" si="17"/>
        <v>41195.779802263081</v>
      </c>
      <c r="F25" s="200">
        <f t="shared" si="18"/>
        <v>14938.094202777778</v>
      </c>
      <c r="G25" s="203" t="s">
        <v>394</v>
      </c>
      <c r="H25" s="182" t="str">
        <f t="shared" si="7"/>
        <v>Sun</v>
      </c>
      <c r="I25" s="204">
        <f t="shared" si="8"/>
        <v>44839.197157297771</v>
      </c>
      <c r="J25" s="205"/>
      <c r="K25" s="201" t="str">
        <f t="shared" si="9"/>
        <v>Moon</v>
      </c>
      <c r="L25" s="204">
        <f t="shared" si="10"/>
        <v>42704.231696609459</v>
      </c>
      <c r="M25" s="206"/>
      <c r="N25" s="201" t="str">
        <f t="shared" si="11"/>
        <v>Sun</v>
      </c>
      <c r="O25" s="204">
        <f t="shared" si="12"/>
        <v>43203.791927402461</v>
      </c>
      <c r="P25" s="206" t="s">
        <v>394</v>
      </c>
      <c r="Q25" s="201" t="str">
        <f t="shared" si="13"/>
        <v>Sun</v>
      </c>
      <c r="R25" s="202">
        <f t="shared" si="14"/>
        <v>43135.007665612364</v>
      </c>
      <c r="S25" s="201"/>
      <c r="T25" s="204" t="str">
        <f t="shared" si="15"/>
        <v>Jupiter</v>
      </c>
      <c r="U25" s="207">
        <f t="shared" si="16"/>
        <v>43135.428716531227</v>
      </c>
    </row>
    <row r="26" spans="1:22">
      <c r="A26">
        <v>6</v>
      </c>
      <c r="B26" t="s">
        <v>397</v>
      </c>
      <c r="C26" s="181"/>
      <c r="D26" s="182" t="str">
        <f>INDEX(DasaYears,MOD($D$15+5,9)+1,1)</f>
        <v>Mercury</v>
      </c>
      <c r="E26" s="196">
        <f t="shared" si="17"/>
        <v>48135.622383281538</v>
      </c>
      <c r="F26" s="200">
        <f t="shared" si="18"/>
        <v>21778.094202777778</v>
      </c>
      <c r="G26" s="197"/>
      <c r="H26" s="182" t="str">
        <f t="shared" si="7"/>
        <v>Moon</v>
      </c>
      <c r="I26" s="198">
        <f t="shared" si="8"/>
        <v>45186.189286348694</v>
      </c>
      <c r="J26" s="194"/>
      <c r="K26" s="182" t="str">
        <f t="shared" si="9"/>
        <v>Mars</v>
      </c>
      <c r="L26" s="198">
        <f t="shared" si="10"/>
        <v>42786.160393746482</v>
      </c>
      <c r="M26" s="181"/>
      <c r="N26" s="182" t="str">
        <f t="shared" si="11"/>
        <v>Moon</v>
      </c>
      <c r="O26" s="198">
        <f t="shared" si="12"/>
        <v>43211.575153630482</v>
      </c>
      <c r="P26" s="181"/>
      <c r="Q26" s="182" t="str">
        <f t="shared" si="13"/>
        <v>Moon</v>
      </c>
      <c r="R26" s="196">
        <f t="shared" si="14"/>
        <v>43136.240009765133</v>
      </c>
      <c r="S26" s="182"/>
      <c r="T26" s="198" t="str">
        <f t="shared" si="15"/>
        <v>Saturn</v>
      </c>
      <c r="U26" s="199">
        <f t="shared" si="16"/>
        <v>43135.593029084928</v>
      </c>
    </row>
    <row r="27" spans="1:22">
      <c r="A27">
        <v>7</v>
      </c>
      <c r="B27" t="s">
        <v>398</v>
      </c>
      <c r="C27" s="181"/>
      <c r="D27" s="201" t="str">
        <f>INDEX(DasaYears,MOD($D$15+6,9)+1,1)</f>
        <v>Ketu</v>
      </c>
      <c r="E27" s="202">
        <f t="shared" si="17"/>
        <v>54344.95521892963</v>
      </c>
      <c r="F27" s="200">
        <f t="shared" si="18"/>
        <v>27898.094202777778</v>
      </c>
      <c r="G27" s="203"/>
      <c r="H27" s="182" t="str">
        <f t="shared" si="7"/>
        <v>Mars</v>
      </c>
      <c r="I27" s="204">
        <f t="shared" si="8"/>
        <v>45764.509501433567</v>
      </c>
      <c r="J27" s="194"/>
      <c r="K27" s="201" t="str">
        <f t="shared" si="9"/>
        <v>Rahu</v>
      </c>
      <c r="L27" s="204">
        <f t="shared" si="10"/>
        <v>42843.5104817424</v>
      </c>
      <c r="M27" s="181"/>
      <c r="N27" s="201" t="str">
        <f t="shared" si="11"/>
        <v>Mars</v>
      </c>
      <c r="O27" s="204">
        <f t="shared" si="12"/>
        <v>43224.547197343847</v>
      </c>
      <c r="P27" s="181" t="s">
        <v>394</v>
      </c>
      <c r="Q27" s="201" t="str">
        <f t="shared" si="13"/>
        <v>Mars</v>
      </c>
      <c r="R27" s="202">
        <f t="shared" si="14"/>
        <v>43138.293916686416</v>
      </c>
      <c r="S27" s="201"/>
      <c r="T27" s="204" t="str">
        <f t="shared" si="15"/>
        <v>Mercury</v>
      </c>
      <c r="U27" s="207">
        <f t="shared" si="16"/>
        <v>43135.78815024245</v>
      </c>
    </row>
    <row r="28" spans="1:22">
      <c r="A28">
        <v>8</v>
      </c>
      <c r="B28" t="s">
        <v>282</v>
      </c>
      <c r="C28" s="181"/>
      <c r="D28" s="182" t="str">
        <f>INDEX(DasaYears,MOD($D$15+7,9)+1,1)</f>
        <v>Venus</v>
      </c>
      <c r="E28" s="196">
        <f t="shared" si="17"/>
        <v>56901.739327725903</v>
      </c>
      <c r="F28" s="200">
        <f t="shared" si="18"/>
        <v>30418.094202777778</v>
      </c>
      <c r="G28" s="197" t="s">
        <v>394</v>
      </c>
      <c r="H28" s="182" t="str">
        <f t="shared" si="7"/>
        <v>Rahu</v>
      </c>
      <c r="I28" s="198">
        <f t="shared" si="8"/>
        <v>46169.33365199298</v>
      </c>
      <c r="J28" s="194"/>
      <c r="K28" s="182" t="str">
        <f t="shared" si="9"/>
        <v>Jupiter</v>
      </c>
      <c r="L28" s="198">
        <f t="shared" si="10"/>
        <v>42990.982136589046</v>
      </c>
      <c r="M28" s="181" t="s">
        <v>394</v>
      </c>
      <c r="N28" s="182" t="str">
        <f t="shared" si="11"/>
        <v>Rahu</v>
      </c>
      <c r="O28" s="198">
        <f t="shared" si="12"/>
        <v>43233.627627943199</v>
      </c>
      <c r="P28" s="181" t="s">
        <v>394</v>
      </c>
      <c r="Q28" s="182" t="str">
        <f t="shared" si="13"/>
        <v>Rahu</v>
      </c>
      <c r="R28" s="196">
        <f t="shared" si="14"/>
        <v>43139.731651531314</v>
      </c>
      <c r="S28" s="182"/>
      <c r="T28" s="198" t="str">
        <f t="shared" si="15"/>
        <v>Ketu</v>
      </c>
      <c r="U28" s="199">
        <f t="shared" si="16"/>
        <v>43135.962732330758</v>
      </c>
    </row>
    <row r="29" spans="1:22">
      <c r="A29">
        <v>9</v>
      </c>
      <c r="B29" t="s">
        <v>399</v>
      </c>
      <c r="C29" s="181" t="s">
        <v>394</v>
      </c>
      <c r="D29" s="201" t="str">
        <f>INDEX(DasaYears,MOD($D$15+8,9)+1,1)</f>
        <v>Sun</v>
      </c>
      <c r="E29" s="202">
        <f t="shared" si="17"/>
        <v>64206.836781429542</v>
      </c>
      <c r="F29" s="200">
        <f t="shared" si="18"/>
        <v>37618.094202777778</v>
      </c>
      <c r="G29" s="203" t="s">
        <v>394</v>
      </c>
      <c r="H29" s="182" t="str">
        <f t="shared" si="7"/>
        <v>Jupiter</v>
      </c>
      <c r="I29" s="204">
        <f t="shared" si="8"/>
        <v>47210.310039145748</v>
      </c>
      <c r="J29" s="194" t="s">
        <v>394</v>
      </c>
      <c r="K29" s="201" t="str">
        <f t="shared" si="9"/>
        <v>Saturn</v>
      </c>
      <c r="L29" s="204">
        <f t="shared" si="10"/>
        <v>43122.068052008282</v>
      </c>
      <c r="M29" s="181" t="s">
        <v>394</v>
      </c>
      <c r="N29" s="201" t="str">
        <f t="shared" si="11"/>
        <v>Jupiter</v>
      </c>
      <c r="O29" s="204">
        <f t="shared" si="12"/>
        <v>43256.977306627254</v>
      </c>
      <c r="P29" s="181" t="s">
        <v>394</v>
      </c>
      <c r="Q29" s="201" t="str">
        <f t="shared" si="13"/>
        <v>Jupiter</v>
      </c>
      <c r="R29" s="202">
        <f t="shared" si="14"/>
        <v>43143.428683989623</v>
      </c>
      <c r="S29" s="201"/>
      <c r="T29" s="202" t="str">
        <f t="shared" si="15"/>
        <v>Venus</v>
      </c>
      <c r="U29" s="207">
        <f t="shared" si="16"/>
        <v>43136.034619073005</v>
      </c>
    </row>
    <row r="30" spans="1:22">
      <c r="C30" s="181"/>
      <c r="D30" s="208" t="str">
        <f>INDEX(DasaYears,MOD(D15+9,9)+1,1)</f>
        <v>Moon</v>
      </c>
      <c r="E30" s="209">
        <f t="shared" si="17"/>
        <v>66398.36601754064</v>
      </c>
      <c r="F30" s="200">
        <f t="shared" si="18"/>
        <v>39778.094202777778</v>
      </c>
      <c r="G30" s="181"/>
      <c r="H30" s="208"/>
      <c r="I30" s="210">
        <f t="shared" si="8"/>
        <v>48135.622383281545</v>
      </c>
      <c r="J30" s="194"/>
      <c r="K30" s="208"/>
      <c r="L30" s="210">
        <f t="shared" si="10"/>
        <v>43277.732576568626</v>
      </c>
      <c r="M30" s="181"/>
      <c r="N30" s="208"/>
      <c r="O30" s="210">
        <f t="shared" si="12"/>
        <v>43277.732576568633</v>
      </c>
      <c r="P30" s="181"/>
      <c r="Q30" s="208"/>
      <c r="R30" s="209">
        <f t="shared" si="14"/>
        <v>43146.714935063676</v>
      </c>
      <c r="S30" s="208"/>
      <c r="T30" s="210"/>
      <c r="U30" s="211">
        <f t="shared" si="16"/>
        <v>43136.240009765133</v>
      </c>
    </row>
    <row r="31" spans="1:22">
      <c r="C31" s="181"/>
      <c r="D31" s="208"/>
      <c r="E31" s="210"/>
      <c r="F31" s="210"/>
      <c r="G31" s="181"/>
      <c r="H31" t="s">
        <v>400</v>
      </c>
      <c r="I31">
        <f>I30-I21</f>
        <v>6939.8425810184635</v>
      </c>
      <c r="J31" s="194"/>
      <c r="K31" t="s">
        <v>400</v>
      </c>
      <c r="L31">
        <f>L30-L21</f>
        <v>983.14436564428615</v>
      </c>
      <c r="M31" s="181"/>
      <c r="N31" t="s">
        <v>400</v>
      </c>
      <c r="O31">
        <f>O30-O21</f>
        <v>155.6645245603504</v>
      </c>
      <c r="P31" s="181"/>
      <c r="Q31" t="s">
        <v>400</v>
      </c>
      <c r="R31" s="212">
        <f>R30-R21</f>
        <v>24.646883055393118</v>
      </c>
      <c r="S31" s="208"/>
      <c r="T31" t="s">
        <v>400</v>
      </c>
      <c r="U31" s="212">
        <f>U30-U21</f>
        <v>1.2323441527696559</v>
      </c>
    </row>
    <row r="32" spans="1:22" ht="17.25">
      <c r="C32" s="181"/>
      <c r="D32" s="208"/>
      <c r="E32" s="210"/>
      <c r="F32" s="210"/>
      <c r="G32" s="181"/>
      <c r="H32" t="s">
        <v>401</v>
      </c>
      <c r="I32" s="20">
        <f>I21</f>
        <v>41195.779802263081</v>
      </c>
      <c r="J32" s="194"/>
      <c r="K32" t="s">
        <v>402</v>
      </c>
      <c r="L32" s="20">
        <f>L21</f>
        <v>42294.588210924339</v>
      </c>
      <c r="M32" s="181"/>
      <c r="N32" t="s">
        <v>402</v>
      </c>
      <c r="O32" s="20">
        <f>O21</f>
        <v>43122.068052008282</v>
      </c>
      <c r="P32" s="181"/>
      <c r="Q32" t="s">
        <v>402</v>
      </c>
      <c r="R32" s="20">
        <f>R21</f>
        <v>43122.068052008282</v>
      </c>
      <c r="S32" s="208"/>
      <c r="T32" t="s">
        <v>402</v>
      </c>
      <c r="U32" s="20">
        <f>U21</f>
        <v>43135.007665612364</v>
      </c>
    </row>
    <row r="33" spans="1:21" ht="17.25">
      <c r="C33" s="181"/>
      <c r="D33" s="208"/>
      <c r="E33" s="210"/>
      <c r="F33" s="210"/>
      <c r="G33" s="181"/>
      <c r="H33" t="s">
        <v>403</v>
      </c>
      <c r="I33" s="20">
        <f>I32+I31/4</f>
        <v>42930.740447517695</v>
      </c>
      <c r="J33" s="194"/>
      <c r="K33" t="s">
        <v>404</v>
      </c>
      <c r="L33" s="20">
        <f>L32+L31/4</f>
        <v>42540.374302335411</v>
      </c>
      <c r="M33" s="181"/>
      <c r="N33" t="s">
        <v>404</v>
      </c>
      <c r="O33" s="20">
        <f>O32+O31/4</f>
        <v>43160.984183148372</v>
      </c>
      <c r="P33" s="181"/>
      <c r="Q33" t="s">
        <v>404</v>
      </c>
      <c r="R33" s="20">
        <f>R32+R31/4</f>
        <v>43128.229772772131</v>
      </c>
      <c r="S33" s="208"/>
      <c r="T33" t="s">
        <v>404</v>
      </c>
      <c r="U33" s="20">
        <f>U32+U31/4</f>
        <v>43135.31575165056</v>
      </c>
    </row>
    <row r="34" spans="1:21" ht="17.25">
      <c r="B34" s="213"/>
      <c r="C34" s="181"/>
      <c r="D34" s="208"/>
      <c r="E34" s="210"/>
      <c r="F34" s="210"/>
      <c r="G34" s="181"/>
      <c r="H34" t="s">
        <v>405</v>
      </c>
      <c r="I34" s="20">
        <f>I33+I31/4</f>
        <v>44665.701092772309</v>
      </c>
      <c r="J34" s="194"/>
      <c r="K34" t="s">
        <v>406</v>
      </c>
      <c r="L34" s="20">
        <f>L33+L31/4</f>
        <v>42786.160393746482</v>
      </c>
      <c r="M34" s="181"/>
      <c r="N34" t="s">
        <v>406</v>
      </c>
      <c r="O34" s="20">
        <f>O33+O31/4</f>
        <v>43199.900314288461</v>
      </c>
      <c r="P34" s="181"/>
      <c r="Q34" t="s">
        <v>406</v>
      </c>
      <c r="R34" s="20">
        <f>R33+R31/4</f>
        <v>43134.391493535979</v>
      </c>
      <c r="S34" s="208"/>
      <c r="T34" t="s">
        <v>406</v>
      </c>
      <c r="U34" s="20">
        <f>U33+U31/4</f>
        <v>43135.623837688749</v>
      </c>
    </row>
    <row r="35" spans="1:21" ht="17.25">
      <c r="C35" s="181"/>
      <c r="D35" s="208"/>
      <c r="E35" s="210"/>
      <c r="F35" s="210"/>
      <c r="G35" s="181"/>
      <c r="H35" t="s">
        <v>407</v>
      </c>
      <c r="I35" s="20">
        <f>I34+I31/4</f>
        <v>46400.661738026924</v>
      </c>
      <c r="J35" s="194"/>
      <c r="K35" t="s">
        <v>408</v>
      </c>
      <c r="L35" s="20">
        <f>L34+L31/4</f>
        <v>43031.946485157554</v>
      </c>
      <c r="M35" s="181"/>
      <c r="N35" t="s">
        <v>408</v>
      </c>
      <c r="O35" s="20">
        <f>O34+O31/4</f>
        <v>43238.816445428551</v>
      </c>
      <c r="P35" s="181"/>
      <c r="Q35" t="s">
        <v>408</v>
      </c>
      <c r="R35" s="20">
        <f>R34+R31/4</f>
        <v>43140.553214299827</v>
      </c>
      <c r="S35" s="208"/>
      <c r="T35" t="s">
        <v>408</v>
      </c>
      <c r="U35" s="20">
        <f>U34+U31/4</f>
        <v>43135.931923726937</v>
      </c>
    </row>
    <row r="36" spans="1:21">
      <c r="C36" s="181"/>
      <c r="D36" s="214"/>
      <c r="E36" s="215"/>
      <c r="F36" s="215"/>
      <c r="G36" s="181"/>
      <c r="I36" s="20"/>
      <c r="J36" s="194"/>
      <c r="L36" s="20"/>
      <c r="M36" s="181"/>
      <c r="O36" s="20"/>
      <c r="P36" s="181"/>
      <c r="R36" s="20"/>
      <c r="S36" s="214"/>
      <c r="U36" s="20"/>
    </row>
    <row r="37" spans="1:21">
      <c r="C37" s="181"/>
      <c r="D37" s="214"/>
      <c r="I37" s="20"/>
      <c r="R37" s="20"/>
      <c r="S37" s="214"/>
      <c r="U37" s="20"/>
    </row>
    <row r="38" spans="1:21">
      <c r="A38" t="s">
        <v>409</v>
      </c>
      <c r="C38" s="216" t="str">
        <f>I20</f>
        <v>Saturn</v>
      </c>
      <c r="E38" s="215" t="s">
        <v>410</v>
      </c>
      <c r="F38" s="215" t="s">
        <v>411</v>
      </c>
      <c r="G38" s="181" t="s">
        <v>412</v>
      </c>
      <c r="H38" s="217" t="str">
        <f>IF(C38="Rahu","Saturn",IF(C38="Ketu","Ketu",C38))</f>
        <v>Saturn</v>
      </c>
      <c r="I38" s="194" t="s">
        <v>164</v>
      </c>
      <c r="J38" t="s">
        <v>162</v>
      </c>
      <c r="K38" s="20" t="s">
        <v>160</v>
      </c>
      <c r="L38" s="181" t="s">
        <v>158</v>
      </c>
      <c r="M38" t="s">
        <v>163</v>
      </c>
      <c r="N38" s="20" t="s">
        <v>161</v>
      </c>
      <c r="O38" s="181" t="s">
        <v>159</v>
      </c>
      <c r="P38" t="s">
        <v>319</v>
      </c>
      <c r="R38" s="20"/>
      <c r="S38" s="214"/>
      <c r="U38" s="20"/>
    </row>
    <row r="39" spans="1:21">
      <c r="C39" s="214"/>
      <c r="D39" s="215" t="s">
        <v>413</v>
      </c>
      <c r="E39" s="217">
        <f>INT(VLOOKUP(I20,ChartInfo,7,0)/30+0.9999999)</f>
        <v>2</v>
      </c>
      <c r="F39" s="218" t="b">
        <f>NOT(VLOOKUP(I20,ChartInfo,11,0))</f>
        <v>1</v>
      </c>
      <c r="G39" s="181" t="s">
        <v>414</v>
      </c>
      <c r="H39" t="s">
        <v>415</v>
      </c>
      <c r="I39" s="219" t="str">
        <f t="shared" ref="I39:P39" ca="1" si="19">VLOOKUP($H$38&amp;"-"&amp;I$38,AllPAV,$E40+3,0)</f>
        <v>*</v>
      </c>
      <c r="J39" s="220" t="str">
        <f t="shared" ca="1" si="19"/>
        <v>*</v>
      </c>
      <c r="K39" s="220">
        <f t="shared" ca="1" si="19"/>
        <v>1</v>
      </c>
      <c r="L39" s="220">
        <f t="shared" ca="1" si="19"/>
        <v>1</v>
      </c>
      <c r="M39" s="220">
        <f t="shared" ca="1" si="19"/>
        <v>1</v>
      </c>
      <c r="N39" s="220">
        <f t="shared" ca="1" si="19"/>
        <v>1</v>
      </c>
      <c r="O39" s="220" t="str">
        <f t="shared" ca="1" si="19"/>
        <v>*</v>
      </c>
      <c r="P39" s="144">
        <f t="shared" ca="1" si="19"/>
        <v>1</v>
      </c>
      <c r="Q39" s="128"/>
      <c r="R39" s="221"/>
      <c r="S39" s="214"/>
      <c r="U39" s="20"/>
    </row>
    <row r="40" spans="1:21">
      <c r="C40" s="214"/>
      <c r="D40" s="215"/>
      <c r="E40" s="222">
        <f>MOD(E39+12-IF($F$39,1,2),12)+1</f>
        <v>2</v>
      </c>
      <c r="F40" s="181" t="str">
        <f>INDEX(RsTbl,E40)</f>
        <v>Ta</v>
      </c>
      <c r="G40">
        <f ca="1">VLOOKUP($H$38,BAV,E40+2,0)</f>
        <v>5</v>
      </c>
      <c r="H40" s="223" t="s">
        <v>416</v>
      </c>
      <c r="I40" s="224">
        <f>I21</f>
        <v>41195.779802263081</v>
      </c>
      <c r="J40" s="225">
        <f t="shared" ref="J40:Q40" si="20">I40+$I$31/12/8</f>
        <v>41268.069829148691</v>
      </c>
      <c r="K40" s="226">
        <f t="shared" si="20"/>
        <v>41340.359856034302</v>
      </c>
      <c r="L40" s="226">
        <f t="shared" si="20"/>
        <v>41412.649882919912</v>
      </c>
      <c r="M40" s="226">
        <f t="shared" si="20"/>
        <v>41484.939909805522</v>
      </c>
      <c r="N40" s="226">
        <f t="shared" si="20"/>
        <v>41557.229936691132</v>
      </c>
      <c r="O40" s="226">
        <f t="shared" si="20"/>
        <v>41629.519963576742</v>
      </c>
      <c r="P40" s="226">
        <f t="shared" si="20"/>
        <v>41701.809990462352</v>
      </c>
      <c r="Q40" s="227">
        <f t="shared" si="20"/>
        <v>41774.100017347962</v>
      </c>
      <c r="R40" s="227"/>
      <c r="S40" s="214"/>
      <c r="U40" s="20"/>
    </row>
    <row r="41" spans="1:21">
      <c r="C41" s="214"/>
      <c r="D41" s="215"/>
      <c r="E41" s="215"/>
      <c r="F41" s="181"/>
      <c r="H41" s="223"/>
      <c r="I41" s="219" t="str">
        <f t="shared" ref="I41:P41" ca="1" si="21">VLOOKUP($H$38&amp;"-"&amp;I$38,AllPAV,$E42+3,0)</f>
        <v>*</v>
      </c>
      <c r="J41" s="220" t="str">
        <f t="shared" ca="1" si="21"/>
        <v>*</v>
      </c>
      <c r="K41" s="220">
        <f t="shared" ca="1" si="21"/>
        <v>1</v>
      </c>
      <c r="L41" s="220" t="str">
        <f t="shared" ca="1" si="21"/>
        <v>*</v>
      </c>
      <c r="M41" s="220" t="str">
        <f t="shared" ca="1" si="21"/>
        <v>*</v>
      </c>
      <c r="N41" s="220">
        <f t="shared" ca="1" si="21"/>
        <v>1</v>
      </c>
      <c r="O41" s="220" t="str">
        <f t="shared" ca="1" si="21"/>
        <v>*</v>
      </c>
      <c r="P41" s="144">
        <f t="shared" ca="1" si="21"/>
        <v>1</v>
      </c>
      <c r="Q41" s="128"/>
      <c r="R41" s="221"/>
      <c r="S41" s="214"/>
      <c r="U41" s="20"/>
    </row>
    <row r="42" spans="1:21">
      <c r="E42" s="222">
        <f>MOD(E40+12-IF($F$39,0,2),12)+1</f>
        <v>3</v>
      </c>
      <c r="F42" s="181" t="str">
        <f>INDEX(RsTbl,E42)</f>
        <v>Ge</v>
      </c>
      <c r="G42">
        <f ca="1">VLOOKUP($H$38,BAV,E42+2,0)</f>
        <v>3</v>
      </c>
      <c r="H42" s="223" t="s">
        <v>417</v>
      </c>
      <c r="I42" s="225">
        <f>I40+$I$31/12</f>
        <v>41774.100017347955</v>
      </c>
      <c r="J42" s="225">
        <f t="shared" ref="J42:Q42" si="22">I42+$I$31/12/8</f>
        <v>41846.390044233565</v>
      </c>
      <c r="K42" s="226">
        <f t="shared" si="22"/>
        <v>41918.680071119175</v>
      </c>
      <c r="L42" s="226">
        <f t="shared" si="22"/>
        <v>41990.970098004786</v>
      </c>
      <c r="M42" s="226">
        <f t="shared" si="22"/>
        <v>42063.260124890396</v>
      </c>
      <c r="N42" s="226">
        <f t="shared" si="22"/>
        <v>42135.550151776006</v>
      </c>
      <c r="O42" s="226">
        <f t="shared" si="22"/>
        <v>42207.840178661616</v>
      </c>
      <c r="P42" s="226">
        <f t="shared" si="22"/>
        <v>42280.130205547226</v>
      </c>
      <c r="Q42" s="227">
        <f t="shared" si="22"/>
        <v>42352.420232432836</v>
      </c>
      <c r="R42" s="227"/>
      <c r="S42" s="214"/>
      <c r="U42" s="20"/>
    </row>
    <row r="43" spans="1:21">
      <c r="E43" s="222"/>
      <c r="F43" s="181"/>
      <c r="H43" s="223"/>
      <c r="I43" s="219">
        <f t="shared" ref="I43:P43" ca="1" si="23">VLOOKUP($H$38&amp;"-"&amp;I$38,AllPAV,$E44+3,0)</f>
        <v>1</v>
      </c>
      <c r="J43" s="220" t="str">
        <f t="shared" ca="1" si="23"/>
        <v>*</v>
      </c>
      <c r="K43" s="220" t="str">
        <f t="shared" ca="1" si="23"/>
        <v>*</v>
      </c>
      <c r="L43" s="220">
        <f t="shared" ca="1" si="23"/>
        <v>1</v>
      </c>
      <c r="M43" s="220" t="str">
        <f t="shared" ca="1" si="23"/>
        <v>*</v>
      </c>
      <c r="N43" s="220" t="str">
        <f t="shared" ca="1" si="23"/>
        <v>*</v>
      </c>
      <c r="O43" s="220">
        <f t="shared" ca="1" si="23"/>
        <v>1</v>
      </c>
      <c r="P43" s="144" t="str">
        <f t="shared" ca="1" si="23"/>
        <v>*</v>
      </c>
      <c r="Q43" s="128"/>
      <c r="R43" s="221"/>
      <c r="S43" s="214"/>
      <c r="U43" s="20"/>
    </row>
    <row r="44" spans="1:21">
      <c r="C44" s="214"/>
      <c r="D44" s="215"/>
      <c r="E44" s="222">
        <f>MOD(E42+12-IF($F$39,0,2),12)+1</f>
        <v>4</v>
      </c>
      <c r="F44" s="181" t="str">
        <f>INDEX(RsTbl,E44)</f>
        <v>Cn</v>
      </c>
      <c r="G44">
        <f ca="1">VLOOKUP($H$38,BAV,E44+2,0)</f>
        <v>3</v>
      </c>
      <c r="H44" t="s">
        <v>418</v>
      </c>
      <c r="I44" s="225">
        <f>I42+$I$31/12</f>
        <v>42352.420232432829</v>
      </c>
      <c r="J44" s="225">
        <f t="shared" ref="J44:Q44" si="24">I44+$I$31/12/8</f>
        <v>42424.710259318439</v>
      </c>
      <c r="K44" s="226">
        <f t="shared" si="24"/>
        <v>42497.000286204049</v>
      </c>
      <c r="L44" s="226">
        <f t="shared" si="24"/>
        <v>42569.290313089659</v>
      </c>
      <c r="M44" s="226">
        <f t="shared" si="24"/>
        <v>42641.580339975269</v>
      </c>
      <c r="N44" s="226">
        <f t="shared" si="24"/>
        <v>42713.87036686088</v>
      </c>
      <c r="O44" s="226">
        <f t="shared" si="24"/>
        <v>42786.16039374649</v>
      </c>
      <c r="P44" s="226">
        <f t="shared" si="24"/>
        <v>42858.4504206321</v>
      </c>
      <c r="Q44" s="227">
        <f t="shared" si="24"/>
        <v>42930.74044751771</v>
      </c>
      <c r="R44" s="227"/>
      <c r="S44" s="214"/>
      <c r="U44" s="20"/>
    </row>
    <row r="45" spans="1:21">
      <c r="C45" s="214"/>
      <c r="D45" s="215"/>
      <c r="E45" s="222"/>
      <c r="F45" s="181"/>
      <c r="I45" s="219" t="str">
        <f t="shared" ref="I45:P45" ca="1" si="25">VLOOKUP($H$38&amp;"-"&amp;I$38,AllPAV,$E46+3,0)</f>
        <v>*</v>
      </c>
      <c r="J45" s="220" t="str">
        <f t="shared" ca="1" si="25"/>
        <v>*</v>
      </c>
      <c r="K45" s="220" t="str">
        <f t="shared" ca="1" si="25"/>
        <v>*</v>
      </c>
      <c r="L45" s="220">
        <f t="shared" ca="1" si="25"/>
        <v>1</v>
      </c>
      <c r="M45" s="220" t="str">
        <f t="shared" ca="1" si="25"/>
        <v>*</v>
      </c>
      <c r="N45" s="220" t="str">
        <f t="shared" ca="1" si="25"/>
        <v>*</v>
      </c>
      <c r="O45" s="220" t="str">
        <f t="shared" ca="1" si="25"/>
        <v>*</v>
      </c>
      <c r="P45" s="144">
        <f t="shared" ca="1" si="25"/>
        <v>1</v>
      </c>
      <c r="Q45" s="128"/>
      <c r="R45" s="221"/>
      <c r="S45" s="214"/>
      <c r="U45" s="20"/>
    </row>
    <row r="46" spans="1:21">
      <c r="C46" s="214"/>
      <c r="D46" s="215"/>
      <c r="E46" s="222">
        <f>MOD(E44+12-IF($F$39,0,2),12)+1</f>
        <v>5</v>
      </c>
      <c r="F46" s="181" t="str">
        <f>INDEX(RsTbl,E46)</f>
        <v>Le</v>
      </c>
      <c r="G46">
        <f ca="1">VLOOKUP($H$38,BAV,E46+2,0)</f>
        <v>2</v>
      </c>
      <c r="H46" t="s">
        <v>419</v>
      </c>
      <c r="I46" s="225">
        <f>I44+$I$31/12</f>
        <v>42930.740447517703</v>
      </c>
      <c r="J46" s="225">
        <f t="shared" ref="J46:Q46" si="26">I46+$I$31/12/8</f>
        <v>43003.030474403313</v>
      </c>
      <c r="K46" s="226">
        <f t="shared" si="26"/>
        <v>43075.320501288923</v>
      </c>
      <c r="L46" s="226">
        <f t="shared" si="26"/>
        <v>43147.610528174533</v>
      </c>
      <c r="M46" s="226">
        <f t="shared" si="26"/>
        <v>43219.900555060143</v>
      </c>
      <c r="N46" s="226">
        <f t="shared" si="26"/>
        <v>43292.190581945753</v>
      </c>
      <c r="O46" s="226">
        <f t="shared" si="26"/>
        <v>43364.480608831363</v>
      </c>
      <c r="P46" s="226">
        <f t="shared" si="26"/>
        <v>43436.770635716974</v>
      </c>
      <c r="Q46" s="227">
        <f t="shared" si="26"/>
        <v>43509.060662602584</v>
      </c>
      <c r="R46" s="227"/>
      <c r="S46" s="214"/>
      <c r="U46" s="20"/>
    </row>
    <row r="47" spans="1:21">
      <c r="C47" s="214"/>
      <c r="D47" s="215"/>
      <c r="E47" s="222"/>
      <c r="F47" s="181"/>
      <c r="I47" s="219">
        <f t="shared" ref="I47:P47" ca="1" si="27">VLOOKUP($H$38&amp;"-"&amp;I$38,AllPAV,$E48+3,0)</f>
        <v>1</v>
      </c>
      <c r="J47" s="220">
        <f t="shared" ca="1" si="27"/>
        <v>1</v>
      </c>
      <c r="K47" s="220" t="str">
        <f t="shared" ca="1" si="27"/>
        <v>*</v>
      </c>
      <c r="L47" s="220" t="str">
        <f t="shared" ca="1" si="27"/>
        <v>*</v>
      </c>
      <c r="M47" s="220" t="str">
        <f t="shared" ca="1" si="27"/>
        <v>*</v>
      </c>
      <c r="N47" s="220" t="str">
        <f t="shared" ca="1" si="27"/>
        <v>*</v>
      </c>
      <c r="O47" s="220" t="str">
        <f t="shared" ca="1" si="27"/>
        <v>*</v>
      </c>
      <c r="P47" s="144" t="str">
        <f t="shared" ca="1" si="27"/>
        <v>*</v>
      </c>
      <c r="Q47" s="128"/>
      <c r="R47" s="221"/>
      <c r="S47" s="214"/>
      <c r="U47" s="20"/>
    </row>
    <row r="48" spans="1:21">
      <c r="C48" s="214"/>
      <c r="D48" s="215"/>
      <c r="E48" s="222">
        <f>MOD(E46+12-IF($F$39,0,2),12)+1</f>
        <v>6</v>
      </c>
      <c r="F48" s="181" t="str">
        <f>INDEX(RsTbl,E48)</f>
        <v>Vi</v>
      </c>
      <c r="G48">
        <f ca="1">VLOOKUP($H$38,BAV,E48+2,0)</f>
        <v>2</v>
      </c>
      <c r="H48" t="s">
        <v>420</v>
      </c>
      <c r="I48" s="225">
        <f>I46+$I$31/12</f>
        <v>43509.060662602576</v>
      </c>
      <c r="J48" s="225">
        <f t="shared" ref="J48:Q48" si="28">I48+$I$31/12/8</f>
        <v>43581.350689488187</v>
      </c>
      <c r="K48" s="226">
        <f t="shared" si="28"/>
        <v>43653.640716373797</v>
      </c>
      <c r="L48" s="226">
        <f t="shared" si="28"/>
        <v>43725.930743259407</v>
      </c>
      <c r="M48" s="226">
        <f t="shared" si="28"/>
        <v>43798.220770145017</v>
      </c>
      <c r="N48" s="226">
        <f t="shared" si="28"/>
        <v>43870.510797030627</v>
      </c>
      <c r="O48" s="226">
        <f t="shared" si="28"/>
        <v>43942.800823916237</v>
      </c>
      <c r="P48" s="226">
        <f t="shared" si="28"/>
        <v>44015.090850801847</v>
      </c>
      <c r="Q48" s="227">
        <f t="shared" si="28"/>
        <v>44087.380877687458</v>
      </c>
      <c r="R48" s="227"/>
      <c r="S48" s="214"/>
      <c r="U48" s="20"/>
    </row>
    <row r="49" spans="1:21">
      <c r="C49" s="214"/>
      <c r="D49" s="215"/>
      <c r="E49" s="222"/>
      <c r="F49" s="181"/>
      <c r="I49" s="219">
        <f t="shared" ref="I49:P49" ca="1" si="29">VLOOKUP($H$38&amp;"-"&amp;I$38,AllPAV,$E50+3,0)</f>
        <v>1</v>
      </c>
      <c r="J49" s="220">
        <f t="shared" ca="1" si="29"/>
        <v>1</v>
      </c>
      <c r="K49" s="220">
        <f t="shared" ca="1" si="29"/>
        <v>1</v>
      </c>
      <c r="L49" s="220">
        <f t="shared" ca="1" si="29"/>
        <v>1</v>
      </c>
      <c r="M49" s="220" t="str">
        <f t="shared" ca="1" si="29"/>
        <v>*</v>
      </c>
      <c r="N49" s="220" t="str">
        <f t="shared" ca="1" si="29"/>
        <v>*</v>
      </c>
      <c r="O49" s="220">
        <f t="shared" ca="1" si="29"/>
        <v>1</v>
      </c>
      <c r="P49" s="144">
        <f t="shared" ca="1" si="29"/>
        <v>1</v>
      </c>
      <c r="Q49" s="128"/>
      <c r="R49" s="221"/>
      <c r="S49" s="214"/>
      <c r="U49" s="20"/>
    </row>
    <row r="50" spans="1:21">
      <c r="C50" s="214"/>
      <c r="D50" s="215"/>
      <c r="E50" s="222">
        <f>MOD(E48+12-IF($F$39,0,2),12)+1</f>
        <v>7</v>
      </c>
      <c r="F50" s="181" t="str">
        <f>INDEX(RsTbl,E50)</f>
        <v>Li</v>
      </c>
      <c r="G50">
        <f ca="1">VLOOKUP($H$38,BAV,E50+2,0)</f>
        <v>6</v>
      </c>
      <c r="H50" t="s">
        <v>421</v>
      </c>
      <c r="I50" s="225">
        <f>I48+$I$31/12</f>
        <v>44087.38087768745</v>
      </c>
      <c r="J50" s="225">
        <f t="shared" ref="J50:Q50" si="30">I50+$I$31/12/8</f>
        <v>44159.67090457306</v>
      </c>
      <c r="K50" s="226">
        <f t="shared" si="30"/>
        <v>44231.960931458671</v>
      </c>
      <c r="L50" s="226">
        <f t="shared" si="30"/>
        <v>44304.250958344281</v>
      </c>
      <c r="M50" s="226">
        <f t="shared" si="30"/>
        <v>44376.540985229891</v>
      </c>
      <c r="N50" s="226">
        <f t="shared" si="30"/>
        <v>44448.831012115501</v>
      </c>
      <c r="O50" s="226">
        <f t="shared" si="30"/>
        <v>44521.121039001111</v>
      </c>
      <c r="P50" s="226">
        <f t="shared" si="30"/>
        <v>44593.411065886721</v>
      </c>
      <c r="Q50" s="227">
        <f t="shared" si="30"/>
        <v>44665.701092772331</v>
      </c>
      <c r="R50" s="227"/>
      <c r="S50" s="214"/>
      <c r="U50" s="20"/>
    </row>
    <row r="51" spans="1:21">
      <c r="C51" s="214"/>
      <c r="D51" s="215"/>
      <c r="E51" s="222"/>
      <c r="F51" s="181"/>
      <c r="I51" s="219" t="str">
        <f t="shared" ref="I51:P51" ca="1" si="31">VLOOKUP($H$38&amp;"-"&amp;I$38,AllPAV,$E52+3,0)</f>
        <v>*</v>
      </c>
      <c r="J51" s="220" t="str">
        <f t="shared" ca="1" si="31"/>
        <v>*</v>
      </c>
      <c r="K51" s="220">
        <f t="shared" ca="1" si="31"/>
        <v>1</v>
      </c>
      <c r="L51" s="220" t="str">
        <f t="shared" ca="1" si="31"/>
        <v>*</v>
      </c>
      <c r="M51" s="220">
        <f t="shared" ca="1" si="31"/>
        <v>1</v>
      </c>
      <c r="N51" s="220" t="str">
        <f t="shared" ca="1" si="31"/>
        <v>*</v>
      </c>
      <c r="O51" s="220" t="str">
        <f t="shared" ca="1" si="31"/>
        <v>*</v>
      </c>
      <c r="P51" s="144">
        <f t="shared" ca="1" si="31"/>
        <v>1</v>
      </c>
      <c r="Q51" s="128"/>
      <c r="R51" s="221"/>
      <c r="S51" s="214"/>
      <c r="U51" s="20"/>
    </row>
    <row r="52" spans="1:21">
      <c r="C52" s="214"/>
      <c r="D52" s="215"/>
      <c r="E52" s="222">
        <f>MOD(E50+12-IF($F$39,0,2),12)+1</f>
        <v>8</v>
      </c>
      <c r="F52" s="181" t="str">
        <f>INDEX(RsTbl,E52)</f>
        <v>Sc</v>
      </c>
      <c r="G52">
        <f ca="1">VLOOKUP($H$38,BAV,E52+2,0)</f>
        <v>3</v>
      </c>
      <c r="H52" t="s">
        <v>422</v>
      </c>
      <c r="I52" s="225">
        <f>I50+$I$31/12</f>
        <v>44665.701092772324</v>
      </c>
      <c r="J52" s="225">
        <f t="shared" ref="J52:Q52" si="32">I52+$I$31/12/8</f>
        <v>44737.991119657934</v>
      </c>
      <c r="K52" s="226">
        <f t="shared" si="32"/>
        <v>44810.281146543544</v>
      </c>
      <c r="L52" s="226">
        <f t="shared" si="32"/>
        <v>44882.571173429154</v>
      </c>
      <c r="M52" s="226">
        <f t="shared" si="32"/>
        <v>44954.861200314765</v>
      </c>
      <c r="N52" s="226">
        <f t="shared" si="32"/>
        <v>45027.151227200375</v>
      </c>
      <c r="O52" s="226">
        <f t="shared" si="32"/>
        <v>45099.441254085985</v>
      </c>
      <c r="P52" s="226">
        <f t="shared" si="32"/>
        <v>45171.731280971595</v>
      </c>
      <c r="Q52" s="227">
        <f t="shared" si="32"/>
        <v>45244.021307857205</v>
      </c>
      <c r="R52" s="227"/>
      <c r="S52" s="214"/>
      <c r="U52" s="20"/>
    </row>
    <row r="53" spans="1:21">
      <c r="C53" s="214"/>
      <c r="D53" s="215"/>
      <c r="E53" s="222"/>
      <c r="F53" s="181"/>
      <c r="I53" s="219" t="str">
        <f t="shared" ref="I53:P53" ca="1" si="33">VLOOKUP($H$38&amp;"-"&amp;I$38,AllPAV,$E54+3,0)</f>
        <v>*</v>
      </c>
      <c r="J53" s="220" t="str">
        <f t="shared" ca="1" si="33"/>
        <v>*</v>
      </c>
      <c r="K53" s="220">
        <f t="shared" ca="1" si="33"/>
        <v>1</v>
      </c>
      <c r="L53" s="220" t="str">
        <f t="shared" ca="1" si="33"/>
        <v>*</v>
      </c>
      <c r="M53" s="220" t="str">
        <f t="shared" ca="1" si="33"/>
        <v>*</v>
      </c>
      <c r="N53" s="220">
        <f t="shared" ca="1" si="33"/>
        <v>1</v>
      </c>
      <c r="O53" s="220" t="str">
        <f t="shared" ca="1" si="33"/>
        <v>*</v>
      </c>
      <c r="P53" s="144" t="str">
        <f t="shared" ca="1" si="33"/>
        <v>*</v>
      </c>
      <c r="Q53" s="128"/>
      <c r="R53" s="221"/>
      <c r="S53" s="214"/>
      <c r="U53" s="20"/>
    </row>
    <row r="54" spans="1:21">
      <c r="C54" s="214"/>
      <c r="D54" s="215"/>
      <c r="E54" s="222">
        <f>MOD(E52+12-IF($F$39,0,2),12)+1</f>
        <v>9</v>
      </c>
      <c r="F54" s="181" t="str">
        <f>INDEX(RsTbl,E54)</f>
        <v>Sg</v>
      </c>
      <c r="G54">
        <f ca="1">VLOOKUP($H$38,BAV,E54+2,0)</f>
        <v>2</v>
      </c>
      <c r="H54" t="s">
        <v>423</v>
      </c>
      <c r="I54" s="225">
        <f>I52+$I$31/12</f>
        <v>45244.021307857198</v>
      </c>
      <c r="J54" s="225">
        <f t="shared" ref="J54:Q54" si="34">I54+$I$31/12/8</f>
        <v>45316.311334742808</v>
      </c>
      <c r="K54" s="226">
        <f t="shared" si="34"/>
        <v>45388.601361628418</v>
      </c>
      <c r="L54" s="226">
        <f t="shared" si="34"/>
        <v>45460.891388514028</v>
      </c>
      <c r="M54" s="226">
        <f t="shared" si="34"/>
        <v>45533.181415399638</v>
      </c>
      <c r="N54" s="226">
        <f t="shared" si="34"/>
        <v>45605.471442285248</v>
      </c>
      <c r="O54" s="226">
        <f t="shared" si="34"/>
        <v>45677.761469170859</v>
      </c>
      <c r="P54" s="226">
        <f t="shared" si="34"/>
        <v>45750.051496056469</v>
      </c>
      <c r="Q54" s="227">
        <f t="shared" si="34"/>
        <v>45822.341522942079</v>
      </c>
      <c r="R54" s="227"/>
      <c r="S54" s="214"/>
      <c r="U54" s="20"/>
    </row>
    <row r="55" spans="1:21">
      <c r="C55" s="214"/>
      <c r="D55" s="215"/>
      <c r="E55" s="222"/>
      <c r="F55" s="181"/>
      <c r="I55" s="219" t="str">
        <f t="shared" ref="I55:P55" ca="1" si="35">VLOOKUP($H$38&amp;"-"&amp;I$38,AllPAV,$E56+3,0)</f>
        <v>*</v>
      </c>
      <c r="J55" s="220" t="str">
        <f t="shared" ca="1" si="35"/>
        <v>*</v>
      </c>
      <c r="K55" s="220" t="str">
        <f t="shared" ca="1" si="35"/>
        <v>*</v>
      </c>
      <c r="L55" s="220">
        <f t="shared" ca="1" si="35"/>
        <v>1</v>
      </c>
      <c r="M55" s="220" t="str">
        <f t="shared" ca="1" si="35"/>
        <v>*</v>
      </c>
      <c r="N55" s="220" t="str">
        <f t="shared" ca="1" si="35"/>
        <v>*</v>
      </c>
      <c r="O55" s="220" t="str">
        <f t="shared" ca="1" si="35"/>
        <v>*</v>
      </c>
      <c r="P55" s="144">
        <f t="shared" ca="1" si="35"/>
        <v>1</v>
      </c>
      <c r="Q55" s="128"/>
      <c r="R55" s="221"/>
      <c r="S55" s="214"/>
      <c r="U55" s="20"/>
    </row>
    <row r="56" spans="1:21">
      <c r="C56" s="214"/>
      <c r="D56" s="215"/>
      <c r="E56" s="222">
        <f>MOD(E54+12-IF($F$39,0,2),12)+1</f>
        <v>10</v>
      </c>
      <c r="F56" s="181" t="str">
        <f>INDEX(RsTbl,E56)</f>
        <v>Cp</v>
      </c>
      <c r="G56">
        <f ca="1">VLOOKUP($H$38,BAV,E56+2,0)</f>
        <v>2</v>
      </c>
      <c r="H56" t="s">
        <v>424</v>
      </c>
      <c r="I56" s="225">
        <f>I54+$I$31/12</f>
        <v>45822.341522942072</v>
      </c>
      <c r="J56" s="225">
        <f t="shared" ref="J56:Q56" si="36">I56+$I$31/12/8</f>
        <v>45894.631549827682</v>
      </c>
      <c r="K56" s="226">
        <f t="shared" si="36"/>
        <v>45966.921576713292</v>
      </c>
      <c r="L56" s="226">
        <f t="shared" si="36"/>
        <v>46039.211603598902</v>
      </c>
      <c r="M56" s="226">
        <f t="shared" si="36"/>
        <v>46111.501630484512</v>
      </c>
      <c r="N56" s="226">
        <f t="shared" si="36"/>
        <v>46183.791657370122</v>
      </c>
      <c r="O56" s="226">
        <f t="shared" si="36"/>
        <v>46256.081684255732</v>
      </c>
      <c r="P56" s="226">
        <f t="shared" si="36"/>
        <v>46328.371711141343</v>
      </c>
      <c r="Q56" s="227">
        <f t="shared" si="36"/>
        <v>46400.661738026953</v>
      </c>
      <c r="R56" s="227"/>
      <c r="S56" s="214"/>
      <c r="U56" s="20"/>
    </row>
    <row r="57" spans="1:21">
      <c r="C57" s="214"/>
      <c r="D57" s="215"/>
      <c r="E57" s="222"/>
      <c r="F57" s="181"/>
      <c r="I57" s="219" t="str">
        <f t="shared" ref="I57:P57" ca="1" si="37">VLOOKUP($H$38&amp;"-"&amp;I$38,AllPAV,$E58+3,0)</f>
        <v>*</v>
      </c>
      <c r="J57" s="220" t="str">
        <f t="shared" ca="1" si="37"/>
        <v>*</v>
      </c>
      <c r="K57" s="220" t="str">
        <f t="shared" ca="1" si="37"/>
        <v>*</v>
      </c>
      <c r="L57" s="220">
        <f t="shared" ca="1" si="37"/>
        <v>1</v>
      </c>
      <c r="M57" s="220" t="str">
        <f t="shared" ca="1" si="37"/>
        <v>*</v>
      </c>
      <c r="N57" s="220">
        <f t="shared" ca="1" si="37"/>
        <v>1</v>
      </c>
      <c r="O57" s="220" t="str">
        <f t="shared" ca="1" si="37"/>
        <v>*</v>
      </c>
      <c r="P57" s="144" t="str">
        <f t="shared" ca="1" si="37"/>
        <v>*</v>
      </c>
      <c r="Q57" s="128"/>
      <c r="R57" s="221"/>
      <c r="S57" s="214"/>
      <c r="U57" s="20"/>
    </row>
    <row r="58" spans="1:21">
      <c r="C58" s="214"/>
      <c r="D58" s="215"/>
      <c r="E58" s="222">
        <f>MOD(E56+12-IF($F$39,0,2),12)+1</f>
        <v>11</v>
      </c>
      <c r="F58" s="181" t="str">
        <f>INDEX(RsTbl,E58)</f>
        <v>Aq</v>
      </c>
      <c r="G58">
        <f ca="1">VLOOKUP($H$38,BAV,E58+2,0)</f>
        <v>2</v>
      </c>
      <c r="H58" t="s">
        <v>425</v>
      </c>
      <c r="I58" s="225">
        <f>I56+$I$31/12</f>
        <v>46400.661738026945</v>
      </c>
      <c r="J58" s="225">
        <f t="shared" ref="J58:Q58" si="38">I58+$I$31/12/8</f>
        <v>46472.951764912556</v>
      </c>
      <c r="K58" s="226">
        <f t="shared" si="38"/>
        <v>46545.241791798166</v>
      </c>
      <c r="L58" s="226">
        <f t="shared" si="38"/>
        <v>46617.531818683776</v>
      </c>
      <c r="M58" s="226">
        <f t="shared" si="38"/>
        <v>46689.821845569386</v>
      </c>
      <c r="N58" s="226">
        <f t="shared" si="38"/>
        <v>46762.111872454996</v>
      </c>
      <c r="O58" s="226">
        <f t="shared" si="38"/>
        <v>46834.401899340606</v>
      </c>
      <c r="P58" s="226">
        <f t="shared" si="38"/>
        <v>46906.691926226216</v>
      </c>
      <c r="Q58" s="227">
        <f t="shared" si="38"/>
        <v>46978.981953111826</v>
      </c>
      <c r="R58" s="227"/>
      <c r="S58" s="214"/>
      <c r="U58" s="20"/>
    </row>
    <row r="59" spans="1:21">
      <c r="C59" s="214"/>
      <c r="D59" s="215"/>
      <c r="E59" s="222"/>
      <c r="F59" s="181"/>
      <c r="I59" s="219">
        <f t="shared" ref="I59:P59" ca="1" si="39">VLOOKUP($H$38&amp;"-"&amp;I$38,AllPAV,$E60+3,0)</f>
        <v>1</v>
      </c>
      <c r="J59" s="220">
        <f t="shared" ca="1" si="39"/>
        <v>1</v>
      </c>
      <c r="K59" s="220">
        <f t="shared" ca="1" si="39"/>
        <v>1</v>
      </c>
      <c r="L59" s="220" t="str">
        <f t="shared" ca="1" si="39"/>
        <v>*</v>
      </c>
      <c r="M59" s="220" t="str">
        <f t="shared" ca="1" si="39"/>
        <v>*</v>
      </c>
      <c r="N59" s="220">
        <f t="shared" ca="1" si="39"/>
        <v>1</v>
      </c>
      <c r="O59" s="220">
        <f t="shared" ca="1" si="39"/>
        <v>1</v>
      </c>
      <c r="P59" s="144" t="str">
        <f t="shared" ca="1" si="39"/>
        <v>*</v>
      </c>
      <c r="Q59" s="128"/>
      <c r="R59" s="221"/>
      <c r="S59" s="214"/>
      <c r="U59" s="20"/>
    </row>
    <row r="60" spans="1:21">
      <c r="C60" s="214"/>
      <c r="D60" s="215"/>
      <c r="E60" s="222">
        <f>MOD(E58+12-IF($F$39,0,2),12)+1</f>
        <v>12</v>
      </c>
      <c r="F60" s="181" t="str">
        <f>INDEX(RsTbl,E60)</f>
        <v>Pi</v>
      </c>
      <c r="G60">
        <f ca="1">VLOOKUP($H$38,BAV,E60+2,0)</f>
        <v>5</v>
      </c>
      <c r="H60" t="s">
        <v>426</v>
      </c>
      <c r="I60" s="225">
        <f>I58+$I$31/12</f>
        <v>46978.981953111819</v>
      </c>
      <c r="J60" s="225">
        <f t="shared" ref="J60:Q60" si="40">I60+$I$31/12/8</f>
        <v>47051.271979997429</v>
      </c>
      <c r="K60" s="226">
        <f t="shared" si="40"/>
        <v>47123.562006883039</v>
      </c>
      <c r="L60" s="226">
        <f t="shared" si="40"/>
        <v>47195.85203376865</v>
      </c>
      <c r="M60" s="226">
        <f t="shared" si="40"/>
        <v>47268.14206065426</v>
      </c>
      <c r="N60" s="226">
        <f t="shared" si="40"/>
        <v>47340.43208753987</v>
      </c>
      <c r="O60" s="226">
        <f t="shared" si="40"/>
        <v>47412.72211442548</v>
      </c>
      <c r="P60" s="226">
        <f t="shared" si="40"/>
        <v>47485.01214131109</v>
      </c>
      <c r="Q60" s="227">
        <f t="shared" si="40"/>
        <v>47557.3021681967</v>
      </c>
      <c r="R60" s="227"/>
      <c r="S60" s="214"/>
      <c r="U60" s="20"/>
    </row>
    <row r="61" spans="1:21">
      <c r="C61" s="214"/>
      <c r="D61" s="215"/>
      <c r="E61" s="222"/>
      <c r="F61" s="181"/>
      <c r="I61" s="219" t="str">
        <f t="shared" ref="I61:P61" ca="1" si="41">VLOOKUP($H$38&amp;"-"&amp;I$38,AllPAV,$E62+3,0)</f>
        <v>*</v>
      </c>
      <c r="J61" s="220">
        <f t="shared" ca="1" si="41"/>
        <v>1</v>
      </c>
      <c r="K61" s="220" t="str">
        <f t="shared" ca="1" si="41"/>
        <v>*</v>
      </c>
      <c r="L61" s="220">
        <f t="shared" ca="1" si="41"/>
        <v>1</v>
      </c>
      <c r="M61" s="220">
        <f t="shared" ca="1" si="41"/>
        <v>1</v>
      </c>
      <c r="N61" s="220">
        <f t="shared" ca="1" si="41"/>
        <v>1</v>
      </c>
      <c r="O61" s="220" t="str">
        <f t="shared" ca="1" si="41"/>
        <v>*</v>
      </c>
      <c r="P61" s="144" t="str">
        <f t="shared" ca="1" si="41"/>
        <v>*</v>
      </c>
      <c r="Q61" s="128"/>
      <c r="R61" s="221"/>
      <c r="S61" s="214"/>
      <c r="U61" s="20"/>
    </row>
    <row r="62" spans="1:21">
      <c r="E62" s="222">
        <f>MOD(E60+12-IF($F$39,0,2),12)+1</f>
        <v>1</v>
      </c>
      <c r="F62" s="181" t="str">
        <f>INDEX(RsTbl,E62)</f>
        <v>Ar</v>
      </c>
      <c r="G62">
        <f ca="1">VLOOKUP($H$38,BAV,E62+2,0)</f>
        <v>4</v>
      </c>
      <c r="H62" t="s">
        <v>427</v>
      </c>
      <c r="I62" s="225">
        <f>I60+$I$31/12</f>
        <v>47557.302168196693</v>
      </c>
      <c r="J62" s="225">
        <f t="shared" ref="J62:Q62" si="42">I62+$I$31/12/8</f>
        <v>47629.592195082303</v>
      </c>
      <c r="K62" s="226">
        <f t="shared" si="42"/>
        <v>47701.882221967913</v>
      </c>
      <c r="L62" s="226">
        <f t="shared" si="42"/>
        <v>47774.172248853523</v>
      </c>
      <c r="M62" s="226">
        <f t="shared" si="42"/>
        <v>47846.462275739133</v>
      </c>
      <c r="N62" s="226">
        <f t="shared" si="42"/>
        <v>47918.752302624744</v>
      </c>
      <c r="O62" s="226">
        <f t="shared" si="42"/>
        <v>47991.042329510354</v>
      </c>
      <c r="P62" s="226">
        <f t="shared" si="42"/>
        <v>48063.332356395964</v>
      </c>
      <c r="Q62" s="227">
        <f t="shared" si="42"/>
        <v>48135.622383281574</v>
      </c>
      <c r="R62" s="227"/>
    </row>
    <row r="63" spans="1:21">
      <c r="A63" s="50" t="s">
        <v>428</v>
      </c>
      <c r="B63" s="228">
        <v>4</v>
      </c>
      <c r="C63" t="str">
        <f>VLOOKUP(B63,VimshottariDasa,2,0)</f>
        <v>Kshema</v>
      </c>
      <c r="I63" s="20"/>
    </row>
    <row r="64" spans="1:21">
      <c r="B64" s="50" t="s">
        <v>429</v>
      </c>
      <c r="C64" s="50"/>
      <c r="D64" s="50" t="s">
        <v>430</v>
      </c>
      <c r="E64" s="229"/>
      <c r="F64" s="50" t="s">
        <v>431</v>
      </c>
      <c r="G64" s="50"/>
      <c r="H64" s="50"/>
    </row>
    <row r="65" spans="2:11">
      <c r="B65" s="182" t="str">
        <f t="shared" ref="B65:B96" si="43">INDEX(DasaYears,MOD($D$15+$B$63-1,9)+1,1)</f>
        <v>Jupiter</v>
      </c>
      <c r="C65" s="230">
        <f>VLOOKUP($B$63,VimshottariDasa,5,0)</f>
        <v>35351.701839300171</v>
      </c>
      <c r="D65" s="214" t="str">
        <f>INDEX(DasaYears,MOD(VLOOKUP(B65,DasaYears,3,0)+IF(VLOOKUP(B65,ChartInfo,11),-1,0),9)+1,1)</f>
        <v>Jupiter</v>
      </c>
      <c r="E65" s="231">
        <f>C65</f>
        <v>35351.701839300171</v>
      </c>
      <c r="F65" s="214" t="str">
        <f>INDEX(DasaYears,MOD(VLOOKUP(D65,DasaYears,3,0)+IF(VLOOKUP(D65,ChartInfo,11),-1,0),9)+1,1)</f>
        <v>Jupiter</v>
      </c>
      <c r="G65" s="232">
        <f>E65</f>
        <v>35351.701839300171</v>
      </c>
      <c r="H65" s="233"/>
      <c r="I65" s="222"/>
    </row>
    <row r="66" spans="2:11">
      <c r="B66" s="182" t="str">
        <f t="shared" si="43"/>
        <v>Jupiter</v>
      </c>
      <c r="C66" s="234"/>
      <c r="D66" s="213" t="str">
        <f t="shared" ref="D66:D97" si="44">INDEX(DasaYears,(MOD(VLOOKUP(D65,DasaYears,3,0)+IF(VLOOKUP(B66,ChartInfo,11),-1,1)*NOT(ISBLANK(E66)),9)+1),1)</f>
        <v>Jupiter</v>
      </c>
      <c r="E66" s="231"/>
      <c r="F66" s="213" t="str">
        <f t="shared" ref="F66:F97" si="45">INDEX(DasaYears,(MOD(VLOOKUP(F65,DasaYears,3,0)+IF(VLOOKUP(D66,ChartInfo,11),-1,1)*ISBLANK(H66),9)+1),1)</f>
        <v>Saturn</v>
      </c>
      <c r="G66" s="235">
        <f t="shared" ref="G66:G97" si="46">G65+DaysInYear*VLOOKUP(B65,DasaYears,2,0)*VLOOKUP(D65,DasaYears,2,0)/120*VLOOKUP(F65,DasaYears,2,0)/120</f>
        <v>35455.596558641737</v>
      </c>
      <c r="H66" s="222"/>
      <c r="I66" s="222"/>
    </row>
    <row r="67" spans="2:11">
      <c r="B67" s="182" t="str">
        <f t="shared" si="43"/>
        <v>Jupiter</v>
      </c>
      <c r="C67" s="234"/>
      <c r="D67" s="213" t="str">
        <f t="shared" si="44"/>
        <v>Jupiter</v>
      </c>
      <c r="E67" s="231"/>
      <c r="F67" s="213" t="str">
        <f t="shared" si="45"/>
        <v>Mercury</v>
      </c>
      <c r="G67" s="235">
        <f t="shared" si="46"/>
        <v>35578.971537859841</v>
      </c>
      <c r="H67" s="222"/>
      <c r="I67" s="222"/>
      <c r="J67" s="236"/>
      <c r="K67" s="20"/>
    </row>
    <row r="68" spans="2:11">
      <c r="B68" s="182" t="str">
        <f t="shared" si="43"/>
        <v>Jupiter</v>
      </c>
      <c r="C68" s="234"/>
      <c r="D68" s="213" t="str">
        <f t="shared" si="44"/>
        <v>Jupiter</v>
      </c>
      <c r="E68" s="231"/>
      <c r="F68" s="213" t="str">
        <f t="shared" si="45"/>
        <v>Ketu</v>
      </c>
      <c r="G68" s="235">
        <f t="shared" si="46"/>
        <v>35689.359677160253</v>
      </c>
      <c r="H68" s="222"/>
      <c r="I68" s="222"/>
      <c r="J68" s="236"/>
      <c r="K68" s="230"/>
    </row>
    <row r="69" spans="2:11">
      <c r="B69" s="182" t="str">
        <f t="shared" si="43"/>
        <v>Jupiter</v>
      </c>
      <c r="C69" s="234"/>
      <c r="D69" s="213" t="str">
        <f t="shared" si="44"/>
        <v>Jupiter</v>
      </c>
      <c r="E69" s="231"/>
      <c r="F69" s="213" t="str">
        <f t="shared" si="45"/>
        <v>Venus</v>
      </c>
      <c r="G69" s="235">
        <f t="shared" si="46"/>
        <v>35734.81361687219</v>
      </c>
      <c r="H69" s="222"/>
      <c r="I69" s="222"/>
      <c r="J69" s="236"/>
      <c r="K69" s="230"/>
    </row>
    <row r="70" spans="2:11">
      <c r="B70" s="182" t="str">
        <f t="shared" si="43"/>
        <v>Jupiter</v>
      </c>
      <c r="C70" s="234"/>
      <c r="D70" s="213" t="str">
        <f t="shared" si="44"/>
        <v>Jupiter</v>
      </c>
      <c r="E70" s="231"/>
      <c r="F70" s="213" t="str">
        <f t="shared" si="45"/>
        <v>Sun</v>
      </c>
      <c r="G70" s="235">
        <f t="shared" si="46"/>
        <v>35864.682016049141</v>
      </c>
      <c r="H70" s="222"/>
      <c r="I70" s="222"/>
      <c r="J70" s="236"/>
      <c r="K70" s="230"/>
    </row>
    <row r="71" spans="2:11">
      <c r="B71" s="182" t="str">
        <f t="shared" si="43"/>
        <v>Jupiter</v>
      </c>
      <c r="C71" s="234"/>
      <c r="D71" s="213" t="str">
        <f t="shared" si="44"/>
        <v>Jupiter</v>
      </c>
      <c r="E71" s="231"/>
      <c r="F71" s="213" t="str">
        <f t="shared" si="45"/>
        <v>Moon</v>
      </c>
      <c r="G71" s="235">
        <f t="shared" si="46"/>
        <v>35903.642535802224</v>
      </c>
      <c r="H71" s="222"/>
      <c r="I71" s="222"/>
      <c r="J71" s="236"/>
      <c r="K71" s="230"/>
    </row>
    <row r="72" spans="2:11">
      <c r="B72" s="182" t="str">
        <f t="shared" si="43"/>
        <v>Jupiter</v>
      </c>
      <c r="C72" s="234"/>
      <c r="D72" s="213" t="str">
        <f t="shared" si="44"/>
        <v>Jupiter</v>
      </c>
      <c r="E72" s="231"/>
      <c r="F72" s="213" t="str">
        <f t="shared" si="45"/>
        <v>Mars</v>
      </c>
      <c r="G72" s="235">
        <f t="shared" si="46"/>
        <v>35968.576735390699</v>
      </c>
      <c r="H72" s="222"/>
      <c r="I72" s="222"/>
      <c r="J72" s="236"/>
      <c r="K72" s="230"/>
    </row>
    <row r="73" spans="2:11">
      <c r="B73" s="182" t="str">
        <f t="shared" si="43"/>
        <v>Jupiter</v>
      </c>
      <c r="C73" s="234"/>
      <c r="D73" s="213" t="str">
        <f t="shared" si="44"/>
        <v>Jupiter</v>
      </c>
      <c r="E73" s="231"/>
      <c r="F73" s="213" t="str">
        <f t="shared" si="45"/>
        <v>Rahu</v>
      </c>
      <c r="G73" s="235">
        <f t="shared" si="46"/>
        <v>36014.030675102636</v>
      </c>
      <c r="H73" s="222"/>
      <c r="I73" s="222"/>
      <c r="J73" s="236"/>
      <c r="K73" s="230"/>
    </row>
    <row r="74" spans="2:11">
      <c r="B74" s="182" t="str">
        <f t="shared" si="43"/>
        <v>Jupiter</v>
      </c>
      <c r="C74" s="234"/>
      <c r="D74" s="213" t="str">
        <f t="shared" si="44"/>
        <v>Saturn</v>
      </c>
      <c r="E74" s="231">
        <f>E65+(VLOOKUP(B65,DasaYears,2,0)*VLOOKUP(D65,DasaYears,2,0)/VimTotal)*DaysInYear</f>
        <v>36130.912234361895</v>
      </c>
      <c r="F74" s="213" t="str">
        <f t="shared" si="45"/>
        <v>Jupiter</v>
      </c>
      <c r="G74" s="235">
        <f t="shared" si="46"/>
        <v>36130.912234361895</v>
      </c>
      <c r="H74" s="222"/>
      <c r="I74" s="222"/>
      <c r="J74" s="236"/>
      <c r="K74" s="230"/>
    </row>
    <row r="75" spans="2:11">
      <c r="B75" s="182" t="str">
        <f t="shared" si="43"/>
        <v>Jupiter</v>
      </c>
      <c r="C75" s="234"/>
      <c r="D75" s="213" t="str">
        <f t="shared" si="44"/>
        <v>Saturn</v>
      </c>
      <c r="E75" s="231"/>
      <c r="F75" s="213" t="str">
        <f t="shared" si="45"/>
        <v>Saturn</v>
      </c>
      <c r="G75" s="235">
        <f t="shared" si="46"/>
        <v>36254.287213579999</v>
      </c>
      <c r="H75" s="222"/>
      <c r="I75" s="222"/>
      <c r="J75" s="236"/>
      <c r="K75" s="230"/>
    </row>
    <row r="76" spans="2:11">
      <c r="B76" s="182" t="str">
        <f t="shared" si="43"/>
        <v>Jupiter</v>
      </c>
      <c r="C76" s="234"/>
      <c r="D76" s="213" t="str">
        <f t="shared" si="44"/>
        <v>Saturn</v>
      </c>
      <c r="E76" s="231"/>
      <c r="F76" s="213" t="str">
        <f t="shared" si="45"/>
        <v>Mercury</v>
      </c>
      <c r="G76" s="235">
        <f t="shared" si="46"/>
        <v>36400.7950014015</v>
      </c>
      <c r="H76" s="222"/>
      <c r="I76" s="222"/>
      <c r="J76" s="236"/>
      <c r="K76" s="230"/>
    </row>
    <row r="77" spans="2:11">
      <c r="B77" s="182" t="str">
        <f t="shared" si="43"/>
        <v>Jupiter</v>
      </c>
      <c r="C77" s="234"/>
      <c r="D77" s="213" t="str">
        <f t="shared" si="44"/>
        <v>Saturn</v>
      </c>
      <c r="E77" s="231"/>
      <c r="F77" s="213" t="str">
        <f t="shared" si="45"/>
        <v>Ketu</v>
      </c>
      <c r="G77" s="235">
        <f t="shared" si="46"/>
        <v>36531.880916820737</v>
      </c>
      <c r="H77" s="222"/>
      <c r="I77" s="222"/>
      <c r="J77" s="236"/>
      <c r="K77" s="230"/>
    </row>
    <row r="78" spans="2:11">
      <c r="B78" s="182" t="str">
        <f t="shared" si="43"/>
        <v>Jupiter</v>
      </c>
      <c r="C78" s="234"/>
      <c r="D78" s="213" t="str">
        <f t="shared" si="44"/>
        <v>Saturn</v>
      </c>
      <c r="E78" s="231"/>
      <c r="F78" s="213" t="str">
        <f t="shared" si="45"/>
        <v>Venus</v>
      </c>
      <c r="G78" s="235">
        <f t="shared" si="46"/>
        <v>36585.857470228657</v>
      </c>
      <c r="H78" s="222"/>
      <c r="I78" s="222"/>
      <c r="J78" s="236"/>
      <c r="K78" s="230"/>
    </row>
    <row r="79" spans="2:11">
      <c r="B79" s="182" t="str">
        <f t="shared" si="43"/>
        <v>Jupiter</v>
      </c>
      <c r="C79" s="234"/>
      <c r="D79" s="213" t="str">
        <f t="shared" si="44"/>
        <v>Saturn</v>
      </c>
      <c r="E79" s="231"/>
      <c r="F79" s="213" t="str">
        <f t="shared" si="45"/>
        <v>Sun</v>
      </c>
      <c r="G79" s="235">
        <f t="shared" si="46"/>
        <v>36740.076194251291</v>
      </c>
      <c r="H79" s="222"/>
      <c r="I79" s="222"/>
      <c r="J79" s="236"/>
      <c r="K79" s="230"/>
    </row>
    <row r="80" spans="2:11">
      <c r="B80" s="182" t="str">
        <f t="shared" si="43"/>
        <v>Jupiter</v>
      </c>
      <c r="C80" s="234"/>
      <c r="D80" s="213" t="str">
        <f t="shared" si="44"/>
        <v>Saturn</v>
      </c>
      <c r="E80" s="231"/>
      <c r="F80" s="213" t="str">
        <f t="shared" si="45"/>
        <v>Moon</v>
      </c>
      <c r="G80" s="235">
        <f t="shared" si="46"/>
        <v>36786.341811458078</v>
      </c>
      <c r="H80" s="222"/>
      <c r="I80" s="222"/>
      <c r="J80" s="236"/>
      <c r="K80" s="230"/>
    </row>
    <row r="81" spans="2:11">
      <c r="B81" s="182" t="str">
        <f t="shared" si="43"/>
        <v>Jupiter</v>
      </c>
      <c r="C81" s="234"/>
      <c r="D81" s="213" t="str">
        <f t="shared" si="44"/>
        <v>Saturn</v>
      </c>
      <c r="E81" s="231"/>
      <c r="F81" s="213" t="str">
        <f t="shared" si="45"/>
        <v>Mars</v>
      </c>
      <c r="G81" s="235">
        <f t="shared" si="46"/>
        <v>36863.451173469395</v>
      </c>
      <c r="H81" s="222"/>
      <c r="I81" s="222"/>
      <c r="J81" s="236"/>
      <c r="K81" s="230"/>
    </row>
    <row r="82" spans="2:11">
      <c r="B82" s="182" t="str">
        <f t="shared" si="43"/>
        <v>Jupiter</v>
      </c>
      <c r="C82" s="234"/>
      <c r="D82" s="213" t="str">
        <f t="shared" si="44"/>
        <v>Saturn</v>
      </c>
      <c r="E82" s="231"/>
      <c r="F82" s="213" t="str">
        <f t="shared" si="45"/>
        <v>Rahu</v>
      </c>
      <c r="G82" s="235">
        <f t="shared" si="46"/>
        <v>36917.427726877315</v>
      </c>
      <c r="H82" s="222"/>
      <c r="I82" s="222"/>
      <c r="J82" s="236"/>
      <c r="K82" s="230"/>
    </row>
    <row r="83" spans="2:11">
      <c r="B83" s="182" t="str">
        <f t="shared" si="43"/>
        <v>Jupiter</v>
      </c>
      <c r="C83" s="234"/>
      <c r="D83" s="213" t="str">
        <f t="shared" si="44"/>
        <v>Mercury</v>
      </c>
      <c r="E83" s="231">
        <f>E74+(VLOOKUP(B74,DasaYears,2,0)*VLOOKUP(D74,DasaYears,2,0)/VimTotal)*DaysInYear</f>
        <v>37056.224578497691</v>
      </c>
      <c r="F83" s="213" t="str">
        <f t="shared" si="45"/>
        <v>Jupiter</v>
      </c>
      <c r="G83" s="235">
        <f t="shared" si="46"/>
        <v>37056.224578497684</v>
      </c>
      <c r="H83" s="237"/>
      <c r="I83" s="222"/>
      <c r="J83" s="236"/>
      <c r="K83" s="230"/>
    </row>
    <row r="84" spans="2:11">
      <c r="B84" s="182" t="str">
        <f t="shared" si="43"/>
        <v>Jupiter</v>
      </c>
      <c r="C84" s="234"/>
      <c r="D84" s="213" t="str">
        <f t="shared" si="44"/>
        <v>Mercury</v>
      </c>
      <c r="E84" s="231"/>
      <c r="F84" s="213" t="str">
        <f t="shared" si="45"/>
        <v>Saturn</v>
      </c>
      <c r="G84" s="235">
        <f t="shared" si="46"/>
        <v>37166.612717798096</v>
      </c>
      <c r="H84" s="222"/>
      <c r="I84" s="222"/>
      <c r="J84" s="236"/>
      <c r="K84" s="230"/>
    </row>
    <row r="85" spans="2:11">
      <c r="B85" s="182" t="str">
        <f t="shared" si="43"/>
        <v>Jupiter</v>
      </c>
      <c r="C85" s="234"/>
      <c r="D85" s="213" t="str">
        <f t="shared" si="44"/>
        <v>Mercury</v>
      </c>
      <c r="E85" s="231"/>
      <c r="F85" s="213" t="str">
        <f t="shared" si="45"/>
        <v>Mercury</v>
      </c>
      <c r="G85" s="235">
        <f t="shared" si="46"/>
        <v>37297.698633217333</v>
      </c>
      <c r="H85" s="222"/>
      <c r="I85" s="222"/>
      <c r="J85" s="236"/>
      <c r="K85" s="230"/>
    </row>
    <row r="86" spans="2:11">
      <c r="B86" s="182" t="str">
        <f t="shared" si="43"/>
        <v>Jupiter</v>
      </c>
      <c r="C86" s="234"/>
      <c r="D86" s="213" t="str">
        <f t="shared" si="44"/>
        <v>Mercury</v>
      </c>
      <c r="E86" s="231"/>
      <c r="F86" s="213" t="str">
        <f t="shared" si="45"/>
        <v>Ketu</v>
      </c>
      <c r="G86" s="235">
        <f t="shared" si="46"/>
        <v>37414.98603122402</v>
      </c>
      <c r="H86" s="222"/>
      <c r="I86" s="222"/>
      <c r="J86" s="236"/>
      <c r="K86" s="230"/>
    </row>
    <row r="87" spans="2:11">
      <c r="B87" s="182" t="str">
        <f t="shared" si="43"/>
        <v>Jupiter</v>
      </c>
      <c r="C87" s="234"/>
      <c r="D87" s="213" t="str">
        <f t="shared" si="44"/>
        <v>Mercury</v>
      </c>
      <c r="E87" s="231"/>
      <c r="F87" s="213" t="str">
        <f t="shared" si="45"/>
        <v>Venus</v>
      </c>
      <c r="G87" s="235">
        <f t="shared" si="46"/>
        <v>37463.280842167951</v>
      </c>
      <c r="H87" s="222"/>
      <c r="I87" s="222"/>
      <c r="J87" s="236"/>
      <c r="K87" s="230"/>
    </row>
    <row r="88" spans="2:11">
      <c r="B88" s="182" t="str">
        <f t="shared" si="43"/>
        <v>Jupiter</v>
      </c>
      <c r="C88" s="234"/>
      <c r="D88" s="213" t="str">
        <f t="shared" si="44"/>
        <v>Mercury</v>
      </c>
      <c r="E88" s="231"/>
      <c r="F88" s="213" t="str">
        <f t="shared" si="45"/>
        <v>Sun</v>
      </c>
      <c r="G88" s="235">
        <f t="shared" si="46"/>
        <v>37601.266016293463</v>
      </c>
      <c r="H88" s="222"/>
      <c r="I88" s="222"/>
      <c r="J88" s="236"/>
      <c r="K88" s="230"/>
    </row>
    <row r="89" spans="2:11">
      <c r="B89" s="182" t="str">
        <f t="shared" si="43"/>
        <v>Jupiter</v>
      </c>
      <c r="C89" s="234"/>
      <c r="D89" s="213" t="str">
        <f t="shared" si="44"/>
        <v>Mercury</v>
      </c>
      <c r="E89" s="231"/>
      <c r="F89" s="213" t="str">
        <f t="shared" si="45"/>
        <v>Moon</v>
      </c>
      <c r="G89" s="235">
        <f t="shared" si="46"/>
        <v>37642.661568531119</v>
      </c>
      <c r="H89" s="222"/>
      <c r="I89" s="222"/>
      <c r="J89" s="236"/>
      <c r="K89" s="230"/>
    </row>
    <row r="90" spans="2:11">
      <c r="B90" s="182" t="str">
        <f t="shared" si="43"/>
        <v>Jupiter</v>
      </c>
      <c r="C90" s="234"/>
      <c r="D90" s="213" t="str">
        <f t="shared" si="44"/>
        <v>Mercury</v>
      </c>
      <c r="E90" s="231"/>
      <c r="F90" s="213" t="str">
        <f t="shared" si="45"/>
        <v>Mars</v>
      </c>
      <c r="G90" s="235">
        <f t="shared" si="46"/>
        <v>37711.654155593875</v>
      </c>
      <c r="H90" s="222"/>
      <c r="I90" s="222"/>
      <c r="J90" s="236"/>
      <c r="K90" s="230"/>
    </row>
    <row r="91" spans="2:11">
      <c r="B91" s="182" t="str">
        <f t="shared" si="43"/>
        <v>Jupiter</v>
      </c>
      <c r="C91" s="234"/>
      <c r="D91" s="213" t="str">
        <f t="shared" si="44"/>
        <v>Mercury</v>
      </c>
      <c r="E91" s="231"/>
      <c r="F91" s="213" t="str">
        <f t="shared" si="45"/>
        <v>Rahu</v>
      </c>
      <c r="G91" s="235">
        <f t="shared" si="46"/>
        <v>37759.948966537806</v>
      </c>
      <c r="H91" s="222"/>
      <c r="I91" s="222"/>
      <c r="J91" s="236"/>
      <c r="K91" s="230"/>
    </row>
    <row r="92" spans="2:11">
      <c r="B92" s="182" t="str">
        <f t="shared" si="43"/>
        <v>Jupiter</v>
      </c>
      <c r="C92" s="234"/>
      <c r="D92" s="213" t="str">
        <f t="shared" si="44"/>
        <v>Ketu</v>
      </c>
      <c r="E92" s="231">
        <f>E83+(VLOOKUP(B83,DasaYears,2,0)*VLOOKUP(D83,DasaYears,2,0)/VimTotal)*DaysInYear</f>
        <v>37884.135623250768</v>
      </c>
      <c r="F92" s="213" t="str">
        <f t="shared" si="45"/>
        <v>Jupiter</v>
      </c>
      <c r="G92" s="235">
        <f t="shared" si="46"/>
        <v>37884.135623250768</v>
      </c>
      <c r="H92" s="222"/>
      <c r="I92" s="222"/>
      <c r="J92" s="236"/>
      <c r="K92" s="230"/>
    </row>
    <row r="93" spans="2:11">
      <c r="B93" s="182" t="str">
        <f t="shared" si="43"/>
        <v>Jupiter</v>
      </c>
      <c r="C93" s="234"/>
      <c r="D93" s="213" t="str">
        <f t="shared" si="44"/>
        <v>Ketu</v>
      </c>
      <c r="E93" s="231"/>
      <c r="F93" s="213" t="str">
        <f t="shared" si="45"/>
        <v>Saturn</v>
      </c>
      <c r="G93" s="235">
        <f t="shared" si="46"/>
        <v>37929.589562962705</v>
      </c>
      <c r="H93" s="222"/>
      <c r="I93" s="222"/>
      <c r="J93" s="236"/>
      <c r="K93" s="230"/>
    </row>
    <row r="94" spans="2:11">
      <c r="B94" s="182" t="str">
        <f t="shared" si="43"/>
        <v>Jupiter</v>
      </c>
      <c r="C94" s="234"/>
      <c r="D94" s="213" t="str">
        <f t="shared" si="44"/>
        <v>Ketu</v>
      </c>
      <c r="E94" s="231"/>
      <c r="F94" s="213" t="str">
        <f t="shared" si="45"/>
        <v>Mercury</v>
      </c>
      <c r="G94" s="235">
        <f t="shared" si="46"/>
        <v>37983.566116370625</v>
      </c>
      <c r="H94" s="222"/>
      <c r="I94" s="222"/>
      <c r="J94" s="236"/>
      <c r="K94" s="230"/>
    </row>
    <row r="95" spans="2:11">
      <c r="B95" s="182" t="str">
        <f t="shared" si="43"/>
        <v>Jupiter</v>
      </c>
      <c r="C95" s="234"/>
      <c r="D95" s="213" t="str">
        <f t="shared" si="44"/>
        <v>Ketu</v>
      </c>
      <c r="E95" s="231"/>
      <c r="F95" s="213" t="str">
        <f t="shared" si="45"/>
        <v>Ketu</v>
      </c>
      <c r="G95" s="235">
        <f t="shared" si="46"/>
        <v>38031.860927314556</v>
      </c>
      <c r="H95" s="222"/>
      <c r="I95" s="222"/>
      <c r="J95" s="236"/>
      <c r="K95" s="230"/>
    </row>
    <row r="96" spans="2:11">
      <c r="B96" s="182" t="str">
        <f t="shared" si="43"/>
        <v>Jupiter</v>
      </c>
      <c r="C96" s="234"/>
      <c r="D96" s="213" t="str">
        <f t="shared" si="44"/>
        <v>Ketu</v>
      </c>
      <c r="E96" s="231"/>
      <c r="F96" s="213" t="str">
        <f t="shared" si="45"/>
        <v>Venus</v>
      </c>
      <c r="G96" s="235">
        <f t="shared" si="46"/>
        <v>38051.74702593853</v>
      </c>
      <c r="H96" s="222"/>
      <c r="I96" s="222"/>
      <c r="J96" s="236"/>
      <c r="K96" s="230"/>
    </row>
    <row r="97" spans="1:11">
      <c r="B97" s="182" t="str">
        <f t="shared" ref="B97:B128" si="47">INDEX(DasaYears,MOD($D$15+$B$63-1,9)+1,1)</f>
        <v>Jupiter</v>
      </c>
      <c r="C97" s="234"/>
      <c r="D97" s="213" t="str">
        <f t="shared" si="44"/>
        <v>Ketu</v>
      </c>
      <c r="E97" s="231"/>
      <c r="F97" s="213" t="str">
        <f t="shared" si="45"/>
        <v>Sun</v>
      </c>
      <c r="G97" s="235">
        <f t="shared" si="46"/>
        <v>38108.564450578444</v>
      </c>
      <c r="H97" s="222"/>
      <c r="I97" s="222"/>
      <c r="J97" s="236"/>
      <c r="K97" s="230"/>
    </row>
    <row r="98" spans="1:11">
      <c r="B98" s="182" t="str">
        <f t="shared" si="47"/>
        <v>Jupiter</v>
      </c>
      <c r="C98" s="234"/>
      <c r="D98" s="213" t="str">
        <f t="shared" ref="D98:D129" si="48">INDEX(DasaYears,(MOD(VLOOKUP(D97,DasaYears,3,0)+IF(VLOOKUP(B98,ChartInfo,11),-1,1)*NOT(ISBLANK(E98)),9)+1),1)</f>
        <v>Ketu</v>
      </c>
      <c r="E98" s="231"/>
      <c r="F98" s="213" t="str">
        <f t="shared" ref="F98:F129" si="49">INDEX(DasaYears,(MOD(VLOOKUP(F97,DasaYears,3,0)+IF(VLOOKUP(D98,ChartInfo,11),-1,1)*ISBLANK(H98),9)+1),1)</f>
        <v>Moon</v>
      </c>
      <c r="G98" s="235">
        <f t="shared" ref="G98:G129" si="50">G97+DaysInYear*VLOOKUP(B97,DasaYears,2,0)*VLOOKUP(D97,DasaYears,2,0)/120*VLOOKUP(F97,DasaYears,2,0)/120</f>
        <v>38125.609677970417</v>
      </c>
      <c r="H98" s="222"/>
      <c r="I98" s="222"/>
      <c r="J98" s="236"/>
      <c r="K98" s="230"/>
    </row>
    <row r="99" spans="1:11">
      <c r="A99" t="s">
        <v>394</v>
      </c>
      <c r="B99" s="182" t="str">
        <f t="shared" si="47"/>
        <v>Jupiter</v>
      </c>
      <c r="C99" s="234"/>
      <c r="D99" s="213" t="str">
        <f t="shared" si="48"/>
        <v>Ketu</v>
      </c>
      <c r="E99" s="231"/>
      <c r="F99" s="213" t="str">
        <f t="shared" si="49"/>
        <v>Mars</v>
      </c>
      <c r="G99" s="235">
        <f t="shared" si="50"/>
        <v>38154.018390290374</v>
      </c>
      <c r="H99" s="222"/>
      <c r="I99" s="222"/>
      <c r="J99" s="236"/>
      <c r="K99" s="230"/>
    </row>
    <row r="100" spans="1:11">
      <c r="B100" s="182" t="str">
        <f t="shared" si="47"/>
        <v>Jupiter</v>
      </c>
      <c r="C100" s="234"/>
      <c r="D100" s="213" t="str">
        <f t="shared" si="48"/>
        <v>Ketu</v>
      </c>
      <c r="E100" s="231"/>
      <c r="F100" s="213" t="str">
        <f t="shared" si="49"/>
        <v>Rahu</v>
      </c>
      <c r="G100" s="235">
        <f t="shared" si="50"/>
        <v>38173.904488914348</v>
      </c>
      <c r="H100" s="222"/>
      <c r="I100" s="222"/>
      <c r="J100" s="236"/>
      <c r="K100" s="230"/>
    </row>
    <row r="101" spans="1:11">
      <c r="B101" s="182" t="str">
        <f t="shared" si="47"/>
        <v>Jupiter</v>
      </c>
      <c r="C101" s="234"/>
      <c r="D101" s="213" t="str">
        <f t="shared" si="48"/>
        <v>Venus</v>
      </c>
      <c r="E101" s="231">
        <f>E92+(VLOOKUP(B92,DasaYears,2,0)*VLOOKUP(D92,DasaYears,2,0)/VimTotal)*DaysInYear</f>
        <v>38225.040171090273</v>
      </c>
      <c r="F101" s="213" t="str">
        <f t="shared" si="49"/>
        <v>Jupiter</v>
      </c>
      <c r="G101" s="235">
        <f t="shared" si="50"/>
        <v>38225.040171090273</v>
      </c>
      <c r="H101" s="222"/>
      <c r="I101" s="222"/>
      <c r="J101" s="236"/>
      <c r="K101" s="230"/>
    </row>
    <row r="102" spans="1:11">
      <c r="B102" s="182" t="str">
        <f t="shared" si="47"/>
        <v>Jupiter</v>
      </c>
      <c r="C102" s="234"/>
      <c r="D102" s="213" t="str">
        <f t="shared" si="48"/>
        <v>Venus</v>
      </c>
      <c r="E102" s="231"/>
      <c r="F102" s="213" t="str">
        <f t="shared" si="49"/>
        <v>Saturn</v>
      </c>
      <c r="G102" s="235">
        <f t="shared" si="50"/>
        <v>38354.908570267224</v>
      </c>
      <c r="H102" s="222"/>
      <c r="I102" s="222"/>
      <c r="J102" s="236"/>
      <c r="K102" s="230"/>
    </row>
    <row r="103" spans="1:11">
      <c r="B103" s="182" t="str">
        <f t="shared" si="47"/>
        <v>Jupiter</v>
      </c>
      <c r="C103" s="234"/>
      <c r="D103" s="213" t="str">
        <f t="shared" si="48"/>
        <v>Venus</v>
      </c>
      <c r="E103" s="231"/>
      <c r="F103" s="213" t="str">
        <f t="shared" si="49"/>
        <v>Mercury</v>
      </c>
      <c r="G103" s="235">
        <f t="shared" si="50"/>
        <v>38509.127294289858</v>
      </c>
      <c r="H103" s="222"/>
      <c r="I103" s="222"/>
      <c r="J103" s="236"/>
      <c r="K103" s="230"/>
    </row>
    <row r="104" spans="1:11">
      <c r="B104" s="182" t="str">
        <f t="shared" si="47"/>
        <v>Jupiter</v>
      </c>
      <c r="C104" s="234"/>
      <c r="D104" s="213" t="str">
        <f t="shared" si="48"/>
        <v>Venus</v>
      </c>
      <c r="E104" s="231"/>
      <c r="F104" s="213" t="str">
        <f t="shared" si="49"/>
        <v>Ketu</v>
      </c>
      <c r="G104" s="235">
        <f t="shared" si="50"/>
        <v>38647.112468415369</v>
      </c>
      <c r="H104" s="222"/>
      <c r="I104" s="222"/>
      <c r="J104" s="236"/>
      <c r="K104" s="230"/>
    </row>
    <row r="105" spans="1:11">
      <c r="B105" s="182" t="str">
        <f t="shared" si="47"/>
        <v>Jupiter</v>
      </c>
      <c r="C105" s="234"/>
      <c r="D105" s="213" t="str">
        <f t="shared" si="48"/>
        <v>Venus</v>
      </c>
      <c r="E105" s="231"/>
      <c r="F105" s="213" t="str">
        <f t="shared" si="49"/>
        <v>Venus</v>
      </c>
      <c r="G105" s="235">
        <f t="shared" si="50"/>
        <v>38703.929893055283</v>
      </c>
      <c r="H105" s="222"/>
      <c r="I105" s="222"/>
      <c r="J105" s="236"/>
      <c r="K105" s="230"/>
    </row>
    <row r="106" spans="1:11">
      <c r="B106" s="182" t="str">
        <f t="shared" si="47"/>
        <v>Jupiter</v>
      </c>
      <c r="C106" s="234"/>
      <c r="D106" s="213" t="str">
        <f t="shared" si="48"/>
        <v>Venus</v>
      </c>
      <c r="E106" s="231"/>
      <c r="F106" s="213" t="str">
        <f t="shared" si="49"/>
        <v>Sun</v>
      </c>
      <c r="G106" s="235">
        <f t="shared" si="50"/>
        <v>38866.265392026478</v>
      </c>
      <c r="H106" s="222"/>
      <c r="I106" s="222"/>
      <c r="J106" s="236"/>
      <c r="K106" s="230"/>
    </row>
    <row r="107" spans="1:11">
      <c r="B107" s="182" t="str">
        <f t="shared" si="47"/>
        <v>Jupiter</v>
      </c>
      <c r="C107" s="234"/>
      <c r="D107" s="213" t="str">
        <f t="shared" si="48"/>
        <v>Venus</v>
      </c>
      <c r="E107" s="231"/>
      <c r="F107" s="213" t="str">
        <f t="shared" si="49"/>
        <v>Moon</v>
      </c>
      <c r="G107" s="235">
        <f t="shared" si="50"/>
        <v>38914.966041717838</v>
      </c>
      <c r="H107" s="222"/>
      <c r="I107" s="222"/>
      <c r="J107" s="236"/>
      <c r="K107" s="230"/>
    </row>
    <row r="108" spans="1:11">
      <c r="B108" s="182" t="str">
        <f t="shared" si="47"/>
        <v>Jupiter</v>
      </c>
      <c r="C108" s="234"/>
      <c r="D108" s="213" t="str">
        <f t="shared" si="48"/>
        <v>Venus</v>
      </c>
      <c r="E108" s="231"/>
      <c r="F108" s="213" t="str">
        <f t="shared" si="49"/>
        <v>Mars</v>
      </c>
      <c r="G108" s="235">
        <f t="shared" si="50"/>
        <v>38996.133791203436</v>
      </c>
      <c r="H108" s="222"/>
      <c r="I108" s="222"/>
      <c r="J108" s="236"/>
      <c r="K108" s="230"/>
    </row>
    <row r="109" spans="1:11">
      <c r="B109" s="182" t="str">
        <f t="shared" si="47"/>
        <v>Jupiter</v>
      </c>
      <c r="C109" s="234"/>
      <c r="D109" s="213" t="str">
        <f t="shared" si="48"/>
        <v>Venus</v>
      </c>
      <c r="E109" s="231"/>
      <c r="F109" s="213" t="str">
        <f t="shared" si="49"/>
        <v>Rahu</v>
      </c>
      <c r="G109" s="235">
        <f t="shared" si="50"/>
        <v>39052.95121584335</v>
      </c>
      <c r="H109" s="222"/>
      <c r="I109" s="222"/>
      <c r="J109" s="236"/>
      <c r="K109" s="230"/>
    </row>
    <row r="110" spans="1:11">
      <c r="B110" s="182" t="str">
        <f t="shared" si="47"/>
        <v>Jupiter</v>
      </c>
      <c r="C110" s="234"/>
      <c r="D110" s="213" t="str">
        <f t="shared" si="48"/>
        <v>Sun</v>
      </c>
      <c r="E110" s="231">
        <f>E101+(VLOOKUP(B101,DasaYears,2,0)*VLOOKUP(D101,DasaYears,2,0)/VimTotal)*DaysInYear</f>
        <v>39199.053164917423</v>
      </c>
      <c r="F110" s="213" t="str">
        <f t="shared" si="49"/>
        <v>Jupiter</v>
      </c>
      <c r="G110" s="235">
        <f t="shared" si="50"/>
        <v>39199.053164917423</v>
      </c>
      <c r="H110" s="222"/>
      <c r="I110" s="222"/>
      <c r="J110" s="236"/>
      <c r="K110" s="230"/>
    </row>
    <row r="111" spans="1:11">
      <c r="B111" s="182" t="str">
        <f t="shared" si="47"/>
        <v>Jupiter</v>
      </c>
      <c r="C111" s="234"/>
      <c r="D111" s="213" t="str">
        <f t="shared" si="48"/>
        <v>Sun</v>
      </c>
      <c r="E111" s="231"/>
      <c r="F111" s="213" t="str">
        <f t="shared" si="49"/>
        <v>Saturn</v>
      </c>
      <c r="G111" s="235">
        <f t="shared" si="50"/>
        <v>39238.013684670506</v>
      </c>
      <c r="H111" s="222"/>
      <c r="I111" s="222"/>
      <c r="J111" s="236"/>
      <c r="K111" s="236"/>
    </row>
    <row r="112" spans="1:11">
      <c r="B112" s="182" t="str">
        <f t="shared" si="47"/>
        <v>Jupiter</v>
      </c>
      <c r="C112" s="234"/>
      <c r="D112" s="213" t="str">
        <f t="shared" si="48"/>
        <v>Sun</v>
      </c>
      <c r="E112" s="231"/>
      <c r="F112" s="213" t="str">
        <f t="shared" si="49"/>
        <v>Mercury</v>
      </c>
      <c r="G112" s="235">
        <f t="shared" si="50"/>
        <v>39284.279301877294</v>
      </c>
      <c r="H112" s="222"/>
      <c r="I112" s="222"/>
      <c r="J112" s="236"/>
      <c r="K112" s="236"/>
    </row>
    <row r="113" spans="1:11">
      <c r="B113" s="182" t="str">
        <f t="shared" si="47"/>
        <v>Jupiter</v>
      </c>
      <c r="C113" s="234"/>
      <c r="D113" s="213" t="str">
        <f t="shared" si="48"/>
        <v>Sun</v>
      </c>
      <c r="E113" s="231"/>
      <c r="F113" s="213" t="str">
        <f t="shared" si="49"/>
        <v>Ketu</v>
      </c>
      <c r="G113" s="235">
        <f t="shared" si="50"/>
        <v>39325.67485411495</v>
      </c>
      <c r="H113" s="222"/>
      <c r="I113" s="222"/>
      <c r="J113" s="236"/>
      <c r="K113" s="236"/>
    </row>
    <row r="114" spans="1:11">
      <c r="B114" s="182" t="str">
        <f t="shared" si="47"/>
        <v>Jupiter</v>
      </c>
      <c r="C114" s="234"/>
      <c r="D114" s="213" t="str">
        <f t="shared" si="48"/>
        <v>Sun</v>
      </c>
      <c r="E114" s="231"/>
      <c r="F114" s="213" t="str">
        <f t="shared" si="49"/>
        <v>Venus</v>
      </c>
      <c r="G114" s="235">
        <f t="shared" si="50"/>
        <v>39342.720081506923</v>
      </c>
      <c r="H114" s="222"/>
      <c r="I114" s="222"/>
      <c r="J114" s="236"/>
      <c r="K114" s="236"/>
    </row>
    <row r="115" spans="1:11">
      <c r="A115" s="50" t="s">
        <v>394</v>
      </c>
      <c r="B115" s="182" t="str">
        <f t="shared" si="47"/>
        <v>Jupiter</v>
      </c>
      <c r="C115" s="234"/>
      <c r="D115" s="213" t="str">
        <f t="shared" si="48"/>
        <v>Sun</v>
      </c>
      <c r="E115" s="231"/>
      <c r="F115" s="213" t="str">
        <f t="shared" si="49"/>
        <v>Sun</v>
      </c>
      <c r="G115" s="235">
        <f t="shared" si="50"/>
        <v>39391.420731198283</v>
      </c>
      <c r="H115" s="222"/>
      <c r="I115" s="222"/>
      <c r="J115" s="236"/>
      <c r="K115" s="236"/>
    </row>
    <row r="116" spans="1:11">
      <c r="B116" s="182" t="str">
        <f t="shared" si="47"/>
        <v>Jupiter</v>
      </c>
      <c r="C116" s="234"/>
      <c r="D116" s="213" t="str">
        <f t="shared" si="48"/>
        <v>Sun</v>
      </c>
      <c r="E116" s="231"/>
      <c r="F116" s="213" t="str">
        <f t="shared" si="49"/>
        <v>Moon</v>
      </c>
      <c r="G116" s="235">
        <f t="shared" si="50"/>
        <v>39406.03092610569</v>
      </c>
      <c r="H116" s="222"/>
      <c r="I116" s="222"/>
      <c r="J116" s="236"/>
      <c r="K116" s="236"/>
    </row>
    <row r="117" spans="1:11">
      <c r="B117" s="182" t="str">
        <f t="shared" si="47"/>
        <v>Jupiter</v>
      </c>
      <c r="C117" s="234"/>
      <c r="D117" s="213" t="str">
        <f t="shared" si="48"/>
        <v>Sun</v>
      </c>
      <c r="E117" s="231"/>
      <c r="F117" s="213" t="str">
        <f t="shared" si="49"/>
        <v>Mars</v>
      </c>
      <c r="G117" s="235">
        <f t="shared" si="50"/>
        <v>39430.381250951366</v>
      </c>
      <c r="H117" s="222"/>
      <c r="I117" s="222"/>
      <c r="J117" s="236"/>
      <c r="K117" s="236"/>
    </row>
    <row r="118" spans="1:11">
      <c r="B118" s="182" t="str">
        <f t="shared" si="47"/>
        <v>Jupiter</v>
      </c>
      <c r="C118" s="234"/>
      <c r="D118" s="213" t="str">
        <f t="shared" si="48"/>
        <v>Sun</v>
      </c>
      <c r="E118" s="231"/>
      <c r="F118" s="213" t="str">
        <f t="shared" si="49"/>
        <v>Rahu</v>
      </c>
      <c r="G118" s="235">
        <f t="shared" si="50"/>
        <v>39447.426478343339</v>
      </c>
      <c r="H118" s="222"/>
      <c r="I118" s="222"/>
      <c r="J118" s="236"/>
      <c r="K118" s="236"/>
    </row>
    <row r="119" spans="1:11">
      <c r="B119" s="182" t="str">
        <f t="shared" si="47"/>
        <v>Jupiter</v>
      </c>
      <c r="C119" s="234"/>
      <c r="D119" s="213" t="str">
        <f t="shared" si="48"/>
        <v>Moon</v>
      </c>
      <c r="E119" s="231">
        <f>E110+(VLOOKUP(B110,DasaYears,2,0)*VLOOKUP(D110,DasaYears,2,0)/VimTotal)*DaysInYear</f>
        <v>39491.257063065568</v>
      </c>
      <c r="F119" s="213" t="str">
        <f t="shared" si="49"/>
        <v>Jupiter</v>
      </c>
      <c r="G119" s="235">
        <f t="shared" si="50"/>
        <v>39491.257063065561</v>
      </c>
      <c r="H119" s="236"/>
      <c r="I119" s="230"/>
    </row>
    <row r="120" spans="1:11">
      <c r="B120" s="182" t="str">
        <f t="shared" si="47"/>
        <v>Jupiter</v>
      </c>
      <c r="C120" s="234"/>
      <c r="D120" s="213" t="str">
        <f t="shared" si="48"/>
        <v>Moon</v>
      </c>
      <c r="E120" s="213"/>
      <c r="F120" s="213" t="str">
        <f t="shared" si="49"/>
        <v>Saturn</v>
      </c>
      <c r="G120" s="235">
        <f t="shared" si="50"/>
        <v>39556.191262654036</v>
      </c>
      <c r="H120" s="222"/>
      <c r="I120" s="222"/>
      <c r="J120" s="236"/>
    </row>
    <row r="121" spans="1:11">
      <c r="B121" s="182" t="str">
        <f t="shared" si="47"/>
        <v>Jupiter</v>
      </c>
      <c r="C121" s="234"/>
      <c r="D121" s="213" t="str">
        <f t="shared" si="48"/>
        <v>Moon</v>
      </c>
      <c r="E121" s="213"/>
      <c r="F121" s="213" t="str">
        <f t="shared" si="49"/>
        <v>Mercury</v>
      </c>
      <c r="G121" s="235">
        <f t="shared" si="50"/>
        <v>39633.300624665353</v>
      </c>
      <c r="H121" s="222"/>
      <c r="I121" s="222"/>
      <c r="J121" s="236"/>
    </row>
    <row r="122" spans="1:11">
      <c r="B122" s="182" t="str">
        <f t="shared" si="47"/>
        <v>Jupiter</v>
      </c>
      <c r="C122" s="234"/>
      <c r="D122" s="213" t="str">
        <f t="shared" si="48"/>
        <v>Moon</v>
      </c>
      <c r="E122" s="213"/>
      <c r="F122" s="213" t="str">
        <f t="shared" si="49"/>
        <v>Ketu</v>
      </c>
      <c r="G122" s="235">
        <f t="shared" si="50"/>
        <v>39702.293211728109</v>
      </c>
      <c r="H122" s="222"/>
      <c r="I122" s="222"/>
      <c r="J122" s="236"/>
    </row>
    <row r="123" spans="1:11">
      <c r="B123" s="182" t="str">
        <f t="shared" si="47"/>
        <v>Jupiter</v>
      </c>
      <c r="C123" s="234"/>
      <c r="D123" s="213" t="str">
        <f t="shared" si="48"/>
        <v>Moon</v>
      </c>
      <c r="E123" s="213"/>
      <c r="F123" s="213" t="str">
        <f t="shared" si="49"/>
        <v>Venus</v>
      </c>
      <c r="G123" s="235">
        <f t="shared" si="50"/>
        <v>39730.701924048066</v>
      </c>
      <c r="H123" s="222"/>
      <c r="I123" s="222"/>
      <c r="J123" s="236"/>
    </row>
    <row r="124" spans="1:11">
      <c r="B124" s="182" t="str">
        <f t="shared" si="47"/>
        <v>Jupiter</v>
      </c>
      <c r="C124" s="234"/>
      <c r="D124" s="213" t="str">
        <f t="shared" si="48"/>
        <v>Moon</v>
      </c>
      <c r="E124" s="213"/>
      <c r="F124" s="213" t="str">
        <f t="shared" si="49"/>
        <v>Sun</v>
      </c>
      <c r="G124" s="235">
        <f t="shared" si="50"/>
        <v>39811.869673533663</v>
      </c>
      <c r="H124" s="222"/>
      <c r="I124" s="222"/>
      <c r="J124" s="236"/>
    </row>
    <row r="125" spans="1:11">
      <c r="B125" s="182" t="str">
        <f t="shared" si="47"/>
        <v>Jupiter</v>
      </c>
      <c r="C125" s="234"/>
      <c r="D125" s="213" t="str">
        <f t="shared" si="48"/>
        <v>Moon</v>
      </c>
      <c r="E125" s="213"/>
      <c r="F125" s="213" t="str">
        <f t="shared" si="49"/>
        <v>Moon</v>
      </c>
      <c r="G125" s="235">
        <f t="shared" si="50"/>
        <v>39836.21999837934</v>
      </c>
      <c r="H125" s="222"/>
      <c r="I125" s="222"/>
      <c r="J125" s="236"/>
    </row>
    <row r="126" spans="1:11">
      <c r="B126" s="182" t="str">
        <f t="shared" si="47"/>
        <v>Jupiter</v>
      </c>
      <c r="C126" s="234"/>
      <c r="D126" s="213" t="str">
        <f t="shared" si="48"/>
        <v>Moon</v>
      </c>
      <c r="E126" s="213"/>
      <c r="F126" s="213" t="str">
        <f t="shared" si="49"/>
        <v>Mars</v>
      </c>
      <c r="G126" s="235">
        <f t="shared" si="50"/>
        <v>39876.803873122139</v>
      </c>
      <c r="H126" s="222"/>
      <c r="I126" s="222"/>
      <c r="J126" s="236"/>
    </row>
    <row r="127" spans="1:11">
      <c r="B127" s="182" t="str">
        <f t="shared" si="47"/>
        <v>Jupiter</v>
      </c>
      <c r="C127" s="234"/>
      <c r="D127" s="213" t="str">
        <f t="shared" si="48"/>
        <v>Moon</v>
      </c>
      <c r="E127" s="213"/>
      <c r="F127" s="213" t="str">
        <f t="shared" si="49"/>
        <v>Rahu</v>
      </c>
      <c r="G127" s="235">
        <f t="shared" si="50"/>
        <v>39905.212585442096</v>
      </c>
      <c r="H127" s="222"/>
      <c r="I127" s="222"/>
      <c r="J127" s="236"/>
    </row>
    <row r="128" spans="1:11">
      <c r="B128" s="182" t="str">
        <f t="shared" si="47"/>
        <v>Jupiter</v>
      </c>
      <c r="C128" s="234"/>
      <c r="D128" s="213" t="str">
        <f t="shared" si="48"/>
        <v>Mars</v>
      </c>
      <c r="E128" s="231">
        <f>E119+(VLOOKUP(B119,DasaYears,2,0)*VLOOKUP(D119,DasaYears,2,0)/VimTotal)*DaysInYear</f>
        <v>39978.263559979147</v>
      </c>
      <c r="F128" s="213" t="str">
        <f t="shared" si="49"/>
        <v>Jupiter</v>
      </c>
      <c r="G128" s="235">
        <f t="shared" si="50"/>
        <v>39978.263559979132</v>
      </c>
      <c r="H128" s="236"/>
      <c r="I128" s="236"/>
      <c r="K128" s="230"/>
    </row>
    <row r="129" spans="2:11">
      <c r="B129" s="182" t="str">
        <f t="shared" ref="B129:B145" si="51">INDEX(DasaYears,MOD($D$15+$B$63-1,9)+1,1)</f>
        <v>Jupiter</v>
      </c>
      <c r="C129" s="234"/>
      <c r="D129" s="213" t="str">
        <f t="shared" si="48"/>
        <v>Mars</v>
      </c>
      <c r="E129" s="213"/>
      <c r="F129" s="213" t="str">
        <f t="shared" si="49"/>
        <v>Saturn</v>
      </c>
      <c r="G129" s="235">
        <f t="shared" si="50"/>
        <v>40023.717499691069</v>
      </c>
      <c r="H129" s="222"/>
      <c r="I129" s="222"/>
      <c r="J129" s="236"/>
    </row>
    <row r="130" spans="2:11">
      <c r="B130" s="182" t="str">
        <f t="shared" si="51"/>
        <v>Jupiter</v>
      </c>
      <c r="C130" s="234"/>
      <c r="D130" s="213" t="str">
        <f t="shared" ref="D130:D161" si="52">INDEX(DasaYears,(MOD(VLOOKUP(D129,DasaYears,3,0)+IF(VLOOKUP(B130,ChartInfo,11),-1,1)*NOT(ISBLANK(E130)),9)+1),1)</f>
        <v>Mars</v>
      </c>
      <c r="E130" s="213"/>
      <c r="F130" s="213" t="str">
        <f t="shared" ref="F130:F145" si="53">INDEX(DasaYears,(MOD(VLOOKUP(F129,DasaYears,3,0)+IF(VLOOKUP(D130,ChartInfo,11),-1,1)*ISBLANK(H130),9)+1),1)</f>
        <v>Mercury</v>
      </c>
      <c r="G130" s="235">
        <f t="shared" ref="G130:G145" si="54">G129+DaysInYear*VLOOKUP(B129,DasaYears,2,0)*VLOOKUP(D129,DasaYears,2,0)/120*VLOOKUP(F129,DasaYears,2,0)/120</f>
        <v>40077.694053098989</v>
      </c>
      <c r="H130" s="222"/>
      <c r="I130" s="222"/>
      <c r="J130" s="236"/>
    </row>
    <row r="131" spans="2:11">
      <c r="B131" s="182" t="str">
        <f t="shared" si="51"/>
        <v>Jupiter</v>
      </c>
      <c r="C131" s="234"/>
      <c r="D131" s="213" t="str">
        <f t="shared" si="52"/>
        <v>Mars</v>
      </c>
      <c r="E131" s="213"/>
      <c r="F131" s="213" t="str">
        <f t="shared" si="53"/>
        <v>Ketu</v>
      </c>
      <c r="G131" s="235">
        <f t="shared" si="54"/>
        <v>40125.98886404292</v>
      </c>
      <c r="H131" s="222"/>
      <c r="I131" s="222"/>
      <c r="J131" s="236"/>
    </row>
    <row r="132" spans="2:11">
      <c r="B132" s="182" t="str">
        <f t="shared" si="51"/>
        <v>Jupiter</v>
      </c>
      <c r="C132" s="234"/>
      <c r="D132" s="213" t="str">
        <f t="shared" si="52"/>
        <v>Mars</v>
      </c>
      <c r="E132" s="213"/>
      <c r="F132" s="213" t="str">
        <f t="shared" si="53"/>
        <v>Venus</v>
      </c>
      <c r="G132" s="235">
        <f t="shared" si="54"/>
        <v>40145.874962666894</v>
      </c>
      <c r="H132" s="222"/>
      <c r="I132" s="222"/>
      <c r="J132" s="236"/>
    </row>
    <row r="133" spans="2:11">
      <c r="B133" s="182" t="str">
        <f t="shared" si="51"/>
        <v>Jupiter</v>
      </c>
      <c r="C133" s="234"/>
      <c r="D133" s="213" t="str">
        <f t="shared" si="52"/>
        <v>Mars</v>
      </c>
      <c r="E133" s="213"/>
      <c r="F133" s="213" t="str">
        <f t="shared" si="53"/>
        <v>Sun</v>
      </c>
      <c r="G133" s="235">
        <f t="shared" si="54"/>
        <v>40202.692387306808</v>
      </c>
      <c r="H133" s="222"/>
      <c r="I133" s="222"/>
      <c r="J133" s="236"/>
    </row>
    <row r="134" spans="2:11">
      <c r="B134" s="182" t="str">
        <f t="shared" si="51"/>
        <v>Jupiter</v>
      </c>
      <c r="C134" s="234"/>
      <c r="D134" s="213" t="str">
        <f t="shared" si="52"/>
        <v>Mars</v>
      </c>
      <c r="E134" s="213"/>
      <c r="F134" s="213" t="str">
        <f t="shared" si="53"/>
        <v>Moon</v>
      </c>
      <c r="G134" s="235">
        <f t="shared" si="54"/>
        <v>40219.737614698781</v>
      </c>
      <c r="H134" s="222"/>
      <c r="I134" s="222"/>
      <c r="J134" s="236"/>
    </row>
    <row r="135" spans="2:11">
      <c r="B135" s="182" t="str">
        <f t="shared" si="51"/>
        <v>Jupiter</v>
      </c>
      <c r="C135" s="234"/>
      <c r="D135" s="213" t="str">
        <f t="shared" si="52"/>
        <v>Mars</v>
      </c>
      <c r="E135" s="213"/>
      <c r="F135" s="213" t="str">
        <f t="shared" si="53"/>
        <v>Mars</v>
      </c>
      <c r="G135" s="235">
        <f t="shared" si="54"/>
        <v>40248.146327018738</v>
      </c>
      <c r="H135" s="222"/>
      <c r="I135" s="222"/>
      <c r="J135" s="236"/>
    </row>
    <row r="136" spans="2:11">
      <c r="B136" s="182" t="str">
        <f t="shared" si="51"/>
        <v>Jupiter</v>
      </c>
      <c r="C136" s="234"/>
      <c r="D136" s="213" t="str">
        <f t="shared" si="52"/>
        <v>Mars</v>
      </c>
      <c r="E136" s="213"/>
      <c r="F136" s="213" t="str">
        <f t="shared" si="53"/>
        <v>Rahu</v>
      </c>
      <c r="G136" s="235">
        <f t="shared" si="54"/>
        <v>40268.032425642712</v>
      </c>
      <c r="H136" s="236"/>
      <c r="I136" s="230"/>
    </row>
    <row r="137" spans="2:11">
      <c r="B137" s="182" t="str">
        <f t="shared" si="51"/>
        <v>Jupiter</v>
      </c>
      <c r="C137" s="234"/>
      <c r="D137" s="213" t="str">
        <f t="shared" si="52"/>
        <v>Rahu</v>
      </c>
      <c r="E137" s="231">
        <f>E128+(VLOOKUP(B128,DasaYears,2,0)*VLOOKUP(D128,DasaYears,2,0)/VimTotal)*DaysInYear</f>
        <v>40319.168107818652</v>
      </c>
      <c r="F137" s="213" t="str">
        <f t="shared" si="53"/>
        <v>Jupiter</v>
      </c>
      <c r="G137" s="235">
        <f t="shared" si="54"/>
        <v>40319.168107818638</v>
      </c>
      <c r="H137" s="236"/>
      <c r="I137" s="236"/>
      <c r="K137" s="230"/>
    </row>
    <row r="138" spans="2:11">
      <c r="B138" s="182" t="str">
        <f t="shared" si="51"/>
        <v>Jupiter</v>
      </c>
      <c r="C138" s="234"/>
      <c r="D138" s="213" t="str">
        <f t="shared" si="52"/>
        <v>Rahu</v>
      </c>
      <c r="E138" s="213"/>
      <c r="F138" s="213" t="str">
        <f t="shared" si="53"/>
        <v>Saturn</v>
      </c>
      <c r="G138" s="235">
        <f t="shared" si="54"/>
        <v>40436.049667077896</v>
      </c>
      <c r="H138" s="222"/>
      <c r="I138" s="222"/>
      <c r="J138" s="236"/>
    </row>
    <row r="139" spans="2:11">
      <c r="B139" s="182" t="str">
        <f t="shared" si="51"/>
        <v>Jupiter</v>
      </c>
      <c r="C139" s="234"/>
      <c r="D139" s="213" t="str">
        <f t="shared" si="52"/>
        <v>Rahu</v>
      </c>
      <c r="E139" s="213"/>
      <c r="F139" s="213" t="str">
        <f t="shared" si="53"/>
        <v>Mercury</v>
      </c>
      <c r="G139" s="235">
        <f t="shared" si="54"/>
        <v>40574.846518698265</v>
      </c>
      <c r="H139" s="222"/>
      <c r="I139" s="222"/>
      <c r="J139" s="236"/>
    </row>
    <row r="140" spans="2:11">
      <c r="B140" s="182" t="str">
        <f t="shared" si="51"/>
        <v>Jupiter</v>
      </c>
      <c r="C140" s="234"/>
      <c r="D140" s="213" t="str">
        <f t="shared" si="52"/>
        <v>Rahu</v>
      </c>
      <c r="E140" s="213"/>
      <c r="F140" s="213" t="str">
        <f t="shared" si="53"/>
        <v>Ketu</v>
      </c>
      <c r="G140" s="235">
        <f t="shared" si="54"/>
        <v>40699.033175411227</v>
      </c>
      <c r="H140" s="222"/>
      <c r="I140" s="222"/>
      <c r="J140" s="236"/>
    </row>
    <row r="141" spans="2:11">
      <c r="B141" s="182" t="str">
        <f t="shared" si="51"/>
        <v>Jupiter</v>
      </c>
      <c r="C141" s="234"/>
      <c r="D141" s="213" t="str">
        <f t="shared" si="52"/>
        <v>Rahu</v>
      </c>
      <c r="E141" s="213"/>
      <c r="F141" s="213" t="str">
        <f t="shared" si="53"/>
        <v>Venus</v>
      </c>
      <c r="G141" s="235">
        <f t="shared" si="54"/>
        <v>40750.168857587152</v>
      </c>
      <c r="H141" s="222"/>
      <c r="I141" s="222"/>
      <c r="J141" s="236"/>
    </row>
    <row r="142" spans="2:11">
      <c r="B142" s="182" t="str">
        <f t="shared" si="51"/>
        <v>Jupiter</v>
      </c>
      <c r="C142" s="234"/>
      <c r="D142" s="213" t="str">
        <f t="shared" si="52"/>
        <v>Rahu</v>
      </c>
      <c r="E142" s="213"/>
      <c r="F142" s="213" t="str">
        <f t="shared" si="53"/>
        <v>Sun</v>
      </c>
      <c r="G142" s="235">
        <f t="shared" si="54"/>
        <v>40896.270806661225</v>
      </c>
      <c r="H142" s="222"/>
      <c r="I142" s="222"/>
      <c r="J142" s="236"/>
    </row>
    <row r="143" spans="2:11">
      <c r="B143" s="182" t="str">
        <f t="shared" si="51"/>
        <v>Jupiter</v>
      </c>
      <c r="C143" s="234"/>
      <c r="D143" s="213" t="str">
        <f t="shared" si="52"/>
        <v>Rahu</v>
      </c>
      <c r="E143" s="213"/>
      <c r="F143" s="213" t="str">
        <f t="shared" si="53"/>
        <v>Moon</v>
      </c>
      <c r="G143" s="235">
        <f t="shared" si="54"/>
        <v>40940.101391383447</v>
      </c>
      <c r="H143" s="222"/>
      <c r="I143" s="222"/>
      <c r="J143" s="236"/>
    </row>
    <row r="144" spans="2:11">
      <c r="B144" s="182" t="str">
        <f t="shared" si="51"/>
        <v>Jupiter</v>
      </c>
      <c r="C144" s="234"/>
      <c r="D144" s="213" t="str">
        <f t="shared" si="52"/>
        <v>Rahu</v>
      </c>
      <c r="E144" s="213"/>
      <c r="F144" s="213" t="str">
        <f t="shared" si="53"/>
        <v>Mars</v>
      </c>
      <c r="G144" s="235">
        <f t="shared" si="54"/>
        <v>41013.152365920483</v>
      </c>
      <c r="H144" s="222"/>
      <c r="I144" s="222"/>
      <c r="J144" s="236"/>
    </row>
    <row r="145" spans="1:13">
      <c r="B145" s="182" t="str">
        <f t="shared" si="51"/>
        <v>Jupiter</v>
      </c>
      <c r="C145" s="234"/>
      <c r="D145" s="213" t="str">
        <f t="shared" si="52"/>
        <v>Rahu</v>
      </c>
      <c r="E145" s="213"/>
      <c r="F145" s="213" t="str">
        <f t="shared" si="53"/>
        <v>Rahu</v>
      </c>
      <c r="G145" s="235">
        <f t="shared" si="54"/>
        <v>41064.288048096409</v>
      </c>
      <c r="H145" s="236"/>
      <c r="I145" s="230"/>
    </row>
    <row r="146" spans="1:13">
      <c r="B146" s="182"/>
      <c r="C146" s="238"/>
      <c r="D146" s="213"/>
      <c r="E146" s="213"/>
      <c r="F146" s="213"/>
      <c r="G146" s="239"/>
      <c r="H146" s="236"/>
      <c r="I146" s="230"/>
    </row>
    <row r="147" spans="1:13">
      <c r="B147" s="182"/>
      <c r="C147" s="213"/>
      <c r="D147" s="213"/>
      <c r="E147" s="213"/>
      <c r="F147" s="213"/>
      <c r="G147" s="239"/>
      <c r="H147" s="240" t="s">
        <v>432</v>
      </c>
      <c r="I147" s="241"/>
      <c r="J147" s="50" t="s">
        <v>433</v>
      </c>
      <c r="K147" s="50"/>
      <c r="L147" s="50" t="s">
        <v>434</v>
      </c>
    </row>
    <row r="148" spans="1:13">
      <c r="A148" t="s">
        <v>435</v>
      </c>
      <c r="B148" s="242" t="str">
        <f>VLOOKUP("&gt;",VimshottariDAP,2,0)</f>
        <v>Jupiter</v>
      </c>
      <c r="C148" s="183"/>
      <c r="D148" s="185" t="str">
        <f>VLOOKUP("&gt;",VimshottariDAP,4,0)</f>
        <v>Ketu</v>
      </c>
      <c r="E148" s="183"/>
      <c r="F148" s="185" t="str">
        <f>VLOOKUP("&gt;",VimshottariDAP,6,0)</f>
        <v>Mars</v>
      </c>
      <c r="G148" s="241">
        <f>VLOOKUP("&gt;",VimshottariDAP,7,0)</f>
        <v>38154.018390290374</v>
      </c>
      <c r="H148" s="233" t="str">
        <f>INDEX(DasaYears,MOD(VLOOKUP(F148,DasaYears,3,0)+IF(VLOOKUP(F148,ChartInfo,11),-1,0),9)+1,1)</f>
        <v>Mars</v>
      </c>
      <c r="I148" s="243">
        <f>G148</f>
        <v>38154.018390290374</v>
      </c>
      <c r="J148" s="233" t="str">
        <f>INDEX(DasaYears,MOD(VLOOKUP(H148,DasaYears,3,0)+IF(VLOOKUP(H148,ChartInfo,11),-1,0),9)+1,1)</f>
        <v>Mars</v>
      </c>
      <c r="K148" s="243">
        <f>I148</f>
        <v>38154.018390290374</v>
      </c>
      <c r="L148" s="233" t="str">
        <f>INDEX(DasaYears,MOD(VLOOKUP(J148,DasaYears,3,0)+IF(VLOOKUP(J148,ChartInfo,11),-1,0),9)+1,1)</f>
        <v>Mars</v>
      </c>
      <c r="M148" s="243">
        <f>K148</f>
        <v>38154.018390290374</v>
      </c>
    </row>
    <row r="149" spans="1:13">
      <c r="B149" s="244"/>
      <c r="C149" s="245"/>
      <c r="D149" s="213"/>
      <c r="E149" s="245"/>
      <c r="F149" s="213"/>
      <c r="G149" s="246"/>
      <c r="H149" s="213" t="str">
        <f t="shared" ref="H149:H180" si="55">INDEX(DasaYears,(MOD(VLOOKUP(H148,DasaYears,3,0)+IF(VLOOKUP($F$148,ChartInfo,11),-1,1)*NOT(ISBLANK(I149)),9)+1),1)</f>
        <v>Mars</v>
      </c>
      <c r="I149" s="243"/>
      <c r="J149" s="213" t="str">
        <f t="shared" ref="J149:J180" si="56">INDEX(DasaYears,(MOD(VLOOKUP(J148,DasaYears,3,0)+IF(VLOOKUP(H148,ChartInfo,11),-1,1)*NOT(ISBLANK(K149)),9)+1),1)</f>
        <v>Mars</v>
      </c>
      <c r="K149" s="243"/>
      <c r="L149" s="213" t="str">
        <f t="shared" ref="L149:L180" si="57">INDEX(DasaYears,(MOD(VLOOKUP(L148,DasaYears,3,0)+IF(VLOOKUP(J148,ChartInfo,11),-1,1)*NOT(ISBLANK(M149)),9)+1),1)</f>
        <v>Rahu</v>
      </c>
      <c r="M149" s="239">
        <f t="shared" ref="M149:M180" si="58">M148+DaysInYear*VLOOKUP($F$148,DasaYears,2,0)/120*VLOOKUP(H148,DasaYears,2,0)*VLOOKUP(J148,DasaYears,2,0)/120*VLOOKUP(L148,DasaYears,2,0)/120*VLOOKUP($D$148,DasaYears,2,0)/120*VLOOKUP($B$148,DasaYears,2,0)/120</f>
        <v>38154.022337588882</v>
      </c>
    </row>
    <row r="150" spans="1:13">
      <c r="B150" s="244"/>
      <c r="C150" s="245"/>
      <c r="D150" s="213"/>
      <c r="E150" s="245"/>
      <c r="F150" s="213"/>
      <c r="G150" s="246"/>
      <c r="H150" s="213" t="str">
        <f t="shared" si="55"/>
        <v>Mars</v>
      </c>
      <c r="I150" s="243"/>
      <c r="J150" s="213" t="str">
        <f t="shared" si="56"/>
        <v>Mars</v>
      </c>
      <c r="K150" s="243"/>
      <c r="L150" s="213" t="str">
        <f t="shared" si="57"/>
        <v>Jupiter</v>
      </c>
      <c r="M150" s="239">
        <f t="shared" si="58"/>
        <v>38154.032487785058</v>
      </c>
    </row>
    <row r="151" spans="1:13">
      <c r="B151" s="244"/>
      <c r="C151" s="245"/>
      <c r="D151" s="213"/>
      <c r="E151" s="245"/>
      <c r="F151" s="213"/>
      <c r="G151" s="246"/>
      <c r="H151" s="213" t="str">
        <f t="shared" si="55"/>
        <v>Mars</v>
      </c>
      <c r="I151" s="243"/>
      <c r="J151" s="213" t="str">
        <f t="shared" si="56"/>
        <v>Mars</v>
      </c>
      <c r="K151" s="243"/>
      <c r="L151" s="213" t="str">
        <f t="shared" si="57"/>
        <v>Saturn</v>
      </c>
      <c r="M151" s="239">
        <f t="shared" si="58"/>
        <v>38154.041510181654</v>
      </c>
    </row>
    <row r="152" spans="1:13">
      <c r="B152" s="244"/>
      <c r="C152" s="245"/>
      <c r="D152" s="213"/>
      <c r="E152" s="245"/>
      <c r="F152" s="213"/>
      <c r="G152" s="246"/>
      <c r="H152" s="213" t="str">
        <f t="shared" si="55"/>
        <v>Mars</v>
      </c>
      <c r="I152" s="243"/>
      <c r="J152" s="213" t="str">
        <f t="shared" si="56"/>
        <v>Mars</v>
      </c>
      <c r="K152" s="243"/>
      <c r="L152" s="213" t="str">
        <f t="shared" si="57"/>
        <v>Mercury</v>
      </c>
      <c r="M152" s="239">
        <f t="shared" si="58"/>
        <v>38154.052224277613</v>
      </c>
    </row>
    <row r="153" spans="1:13">
      <c r="B153" s="244"/>
      <c r="C153" s="245"/>
      <c r="D153" s="213"/>
      <c r="E153" s="245"/>
      <c r="F153" s="213"/>
      <c r="G153" s="246"/>
      <c r="H153" s="213" t="str">
        <f t="shared" si="55"/>
        <v>Mars</v>
      </c>
      <c r="I153" s="243"/>
      <c r="J153" s="213" t="str">
        <f t="shared" si="56"/>
        <v>Mars</v>
      </c>
      <c r="K153" s="243"/>
      <c r="L153" s="213" t="str">
        <f t="shared" si="57"/>
        <v>Ketu</v>
      </c>
      <c r="M153" s="239">
        <f t="shared" si="58"/>
        <v>38154.061810574</v>
      </c>
    </row>
    <row r="154" spans="1:13">
      <c r="B154" s="244"/>
      <c r="C154" s="245"/>
      <c r="D154" s="213"/>
      <c r="E154" s="245"/>
      <c r="F154" s="213"/>
      <c r="G154" s="246"/>
      <c r="H154" s="213" t="str">
        <f t="shared" si="55"/>
        <v>Mars</v>
      </c>
      <c r="I154" s="243"/>
      <c r="J154" s="213" t="str">
        <f t="shared" si="56"/>
        <v>Mars</v>
      </c>
      <c r="K154" s="243"/>
      <c r="L154" s="213" t="str">
        <f t="shared" si="57"/>
        <v>Venus</v>
      </c>
      <c r="M154" s="239">
        <f t="shared" si="58"/>
        <v>38154.065757872508</v>
      </c>
    </row>
    <row r="155" spans="1:13">
      <c r="B155" s="244"/>
      <c r="C155" s="245"/>
      <c r="D155" s="213"/>
      <c r="E155" s="245"/>
      <c r="F155" s="213"/>
      <c r="G155" s="246"/>
      <c r="H155" s="213" t="str">
        <f t="shared" si="55"/>
        <v>Mars</v>
      </c>
      <c r="I155" s="243"/>
      <c r="J155" s="213" t="str">
        <f t="shared" si="56"/>
        <v>Mars</v>
      </c>
      <c r="K155" s="243"/>
      <c r="L155" s="213" t="str">
        <f t="shared" si="57"/>
        <v>Sun</v>
      </c>
      <c r="M155" s="239">
        <f t="shared" si="58"/>
        <v>38154.077035868257</v>
      </c>
    </row>
    <row r="156" spans="1:13">
      <c r="B156" s="244"/>
      <c r="C156" s="245"/>
      <c r="D156" s="213"/>
      <c r="E156" s="245"/>
      <c r="F156" s="213"/>
      <c r="G156" s="246"/>
      <c r="H156" s="213" t="str">
        <f t="shared" si="55"/>
        <v>Mars</v>
      </c>
      <c r="I156" s="243"/>
      <c r="J156" s="213" t="str">
        <f t="shared" si="56"/>
        <v>Mars</v>
      </c>
      <c r="K156" s="243"/>
      <c r="L156" s="213" t="str">
        <f t="shared" si="57"/>
        <v>Moon</v>
      </c>
      <c r="M156" s="239">
        <f t="shared" si="58"/>
        <v>38154.080419266982</v>
      </c>
    </row>
    <row r="157" spans="1:13">
      <c r="B157" s="244"/>
      <c r="C157" s="245"/>
      <c r="D157" s="213"/>
      <c r="E157" s="245"/>
      <c r="F157" s="213"/>
      <c r="G157" s="246"/>
      <c r="H157" s="213" t="str">
        <f t="shared" si="55"/>
        <v>Mars</v>
      </c>
      <c r="I157" s="243"/>
      <c r="J157" s="213" t="str">
        <f t="shared" si="56"/>
        <v>Rahu</v>
      </c>
      <c r="K157" s="239">
        <f>K148+DaysInYear*VLOOKUP($D$148,DasaYears,2,0)/120*VLOOKUP($F$148,DasaYears,2,0)*VLOOKUP(H148,DasaYears,2,0)/120*VLOOKUP(J148,DasaYears,2,0)/120*VLOOKUP($B$148,DasaYears,2,0)/120</f>
        <v>38154.08605826486</v>
      </c>
      <c r="L157" s="213" t="str">
        <f t="shared" si="57"/>
        <v>Mars</v>
      </c>
      <c r="M157" s="239">
        <f t="shared" si="58"/>
        <v>38154.086058264853</v>
      </c>
    </row>
    <row r="158" spans="1:13">
      <c r="B158" s="244"/>
      <c r="C158" s="245"/>
      <c r="D158" s="213"/>
      <c r="E158" s="245"/>
      <c r="F158" s="213"/>
      <c r="G158" s="246"/>
      <c r="H158" s="213" t="str">
        <f t="shared" si="55"/>
        <v>Mars</v>
      </c>
      <c r="I158" s="243"/>
      <c r="J158" s="213" t="str">
        <f t="shared" si="56"/>
        <v>Rahu</v>
      </c>
      <c r="K158" s="243"/>
      <c r="L158" s="213" t="str">
        <f t="shared" si="57"/>
        <v>Rahu</v>
      </c>
      <c r="M158" s="239">
        <f t="shared" si="58"/>
        <v>38154.096208461029</v>
      </c>
    </row>
    <row r="159" spans="1:13">
      <c r="B159" s="244"/>
      <c r="C159" s="245"/>
      <c r="D159" s="213"/>
      <c r="E159" s="245"/>
      <c r="F159" s="213"/>
      <c r="G159" s="246"/>
      <c r="H159" s="213" t="str">
        <f t="shared" si="55"/>
        <v>Mars</v>
      </c>
      <c r="I159" s="243"/>
      <c r="J159" s="213" t="str">
        <f t="shared" si="56"/>
        <v>Rahu</v>
      </c>
      <c r="K159" s="243"/>
      <c r="L159" s="213" t="str">
        <f t="shared" si="57"/>
        <v>Jupiter</v>
      </c>
      <c r="M159" s="239">
        <f t="shared" si="58"/>
        <v>38154.122308965474</v>
      </c>
    </row>
    <row r="160" spans="1:13">
      <c r="B160" s="244"/>
      <c r="C160" s="245"/>
      <c r="D160" s="213"/>
      <c r="E160" s="245"/>
      <c r="F160" s="213"/>
      <c r="G160" s="246"/>
      <c r="H160" s="213" t="str">
        <f t="shared" si="55"/>
        <v>Mars</v>
      </c>
      <c r="I160" s="243"/>
      <c r="J160" s="213" t="str">
        <f t="shared" si="56"/>
        <v>Rahu</v>
      </c>
      <c r="K160" s="243"/>
      <c r="L160" s="213" t="str">
        <f t="shared" si="57"/>
        <v>Saturn</v>
      </c>
      <c r="M160" s="239">
        <f t="shared" si="58"/>
        <v>38154.145509413866</v>
      </c>
    </row>
    <row r="161" spans="2:13">
      <c r="B161" s="244"/>
      <c r="C161" s="245"/>
      <c r="D161" s="213"/>
      <c r="E161" s="245"/>
      <c r="F161" s="213"/>
      <c r="G161" s="246"/>
      <c r="H161" s="213" t="str">
        <f t="shared" si="55"/>
        <v>Mars</v>
      </c>
      <c r="I161" s="243"/>
      <c r="J161" s="213" t="str">
        <f t="shared" si="56"/>
        <v>Rahu</v>
      </c>
      <c r="K161" s="243"/>
      <c r="L161" s="213" t="str">
        <f t="shared" si="57"/>
        <v>Mercury</v>
      </c>
      <c r="M161" s="239">
        <f t="shared" si="58"/>
        <v>38154.173059946334</v>
      </c>
    </row>
    <row r="162" spans="2:13">
      <c r="B162" s="244"/>
      <c r="C162" s="245"/>
      <c r="D162" s="213"/>
      <c r="E162" s="245"/>
      <c r="F162" s="213"/>
      <c r="G162" s="246"/>
      <c r="H162" s="213" t="str">
        <f t="shared" si="55"/>
        <v>Mars</v>
      </c>
      <c r="I162" s="243"/>
      <c r="J162" s="213" t="str">
        <f t="shared" si="56"/>
        <v>Rahu</v>
      </c>
      <c r="K162" s="243"/>
      <c r="L162" s="213" t="str">
        <f t="shared" si="57"/>
        <v>Ketu</v>
      </c>
      <c r="M162" s="239">
        <f t="shared" si="58"/>
        <v>38154.197710422755</v>
      </c>
    </row>
    <row r="163" spans="2:13">
      <c r="B163" s="244"/>
      <c r="C163" s="245"/>
      <c r="D163" s="213"/>
      <c r="E163" s="245"/>
      <c r="F163" s="213"/>
      <c r="G163" s="246"/>
      <c r="H163" s="213" t="str">
        <f t="shared" si="55"/>
        <v>Mars</v>
      </c>
      <c r="I163" s="243"/>
      <c r="J163" s="213" t="str">
        <f t="shared" si="56"/>
        <v>Rahu</v>
      </c>
      <c r="K163" s="243"/>
      <c r="L163" s="213" t="str">
        <f t="shared" si="57"/>
        <v>Venus</v>
      </c>
      <c r="M163" s="239">
        <f t="shared" si="58"/>
        <v>38154.207860618932</v>
      </c>
    </row>
    <row r="164" spans="2:13">
      <c r="B164" s="244"/>
      <c r="C164" s="245"/>
      <c r="D164" s="213"/>
      <c r="E164" s="245"/>
      <c r="F164" s="213"/>
      <c r="G164" s="246"/>
      <c r="H164" s="213" t="str">
        <f t="shared" si="55"/>
        <v>Mars</v>
      </c>
      <c r="I164" s="243"/>
      <c r="J164" s="213" t="str">
        <f t="shared" si="56"/>
        <v>Rahu</v>
      </c>
      <c r="K164" s="243"/>
      <c r="L164" s="213" t="str">
        <f t="shared" si="57"/>
        <v>Sun</v>
      </c>
      <c r="M164" s="239">
        <f t="shared" si="58"/>
        <v>38154.236861179423</v>
      </c>
    </row>
    <row r="165" spans="2:13">
      <c r="B165" s="244"/>
      <c r="C165" s="245"/>
      <c r="D165" s="213"/>
      <c r="E165" s="245"/>
      <c r="F165" s="213"/>
      <c r="G165" s="246"/>
      <c r="H165" s="213" t="str">
        <f t="shared" si="55"/>
        <v>Mars</v>
      </c>
      <c r="I165" s="243"/>
      <c r="J165" s="213" t="str">
        <f t="shared" si="56"/>
        <v>Rahu</v>
      </c>
      <c r="K165" s="243"/>
      <c r="L165" s="213" t="str">
        <f t="shared" si="57"/>
        <v>Moon</v>
      </c>
      <c r="M165" s="239">
        <f t="shared" si="58"/>
        <v>38154.245561347569</v>
      </c>
    </row>
    <row r="166" spans="2:13">
      <c r="B166" s="244"/>
      <c r="C166" s="245"/>
      <c r="D166" s="213"/>
      <c r="E166" s="245"/>
      <c r="F166" s="213"/>
      <c r="G166" s="246"/>
      <c r="H166" s="213" t="str">
        <f t="shared" si="55"/>
        <v>Mars</v>
      </c>
      <c r="I166" s="243"/>
      <c r="J166" s="213" t="str">
        <f t="shared" si="56"/>
        <v>Jupiter</v>
      </c>
      <c r="K166" s="239">
        <f>K157+DaysInYear*VLOOKUP($D$148,DasaYears,2,0)/120*VLOOKUP($F$148,DasaYears,2,0)*VLOOKUP(H157,DasaYears,2,0)/120*VLOOKUP(J157,DasaYears,2,0)/120*VLOOKUP($B$148,DasaYears,2,0)/120</f>
        <v>38154.260061627821</v>
      </c>
      <c r="L166" s="213" t="str">
        <f t="shared" si="57"/>
        <v>Mars</v>
      </c>
      <c r="M166" s="239">
        <f t="shared" si="58"/>
        <v>38154.260061627814</v>
      </c>
    </row>
    <row r="167" spans="2:13">
      <c r="B167" s="244"/>
      <c r="C167" s="245"/>
      <c r="D167" s="213"/>
      <c r="E167" s="245"/>
      <c r="F167" s="213"/>
      <c r="G167" s="246"/>
      <c r="H167" s="213" t="str">
        <f t="shared" si="55"/>
        <v>Mars</v>
      </c>
      <c r="I167" s="243"/>
      <c r="J167" s="213" t="str">
        <f t="shared" si="56"/>
        <v>Jupiter</v>
      </c>
      <c r="K167" s="243"/>
      <c r="L167" s="213" t="str">
        <f t="shared" si="57"/>
        <v>Rahu</v>
      </c>
      <c r="M167" s="239">
        <f t="shared" si="58"/>
        <v>38154.26908402441</v>
      </c>
    </row>
    <row r="168" spans="2:13">
      <c r="B168" s="244"/>
      <c r="C168" s="245"/>
      <c r="D168" s="213"/>
      <c r="E168" s="245"/>
      <c r="F168" s="213"/>
      <c r="G168" s="246"/>
      <c r="H168" s="213" t="str">
        <f t="shared" si="55"/>
        <v>Mars</v>
      </c>
      <c r="I168" s="243"/>
      <c r="J168" s="213" t="str">
        <f t="shared" si="56"/>
        <v>Jupiter</v>
      </c>
      <c r="K168" s="243"/>
      <c r="L168" s="213" t="str">
        <f t="shared" si="57"/>
        <v>Jupiter</v>
      </c>
      <c r="M168" s="239">
        <f t="shared" si="58"/>
        <v>38154.292284472802</v>
      </c>
    </row>
    <row r="169" spans="2:13">
      <c r="B169" s="244"/>
      <c r="C169" s="245"/>
      <c r="D169" s="213"/>
      <c r="E169" s="245"/>
      <c r="F169" s="213"/>
      <c r="G169" s="246"/>
      <c r="H169" s="213" t="str">
        <f t="shared" si="55"/>
        <v>Mars</v>
      </c>
      <c r="I169" s="243"/>
      <c r="J169" s="213" t="str">
        <f t="shared" si="56"/>
        <v>Jupiter</v>
      </c>
      <c r="K169" s="243"/>
      <c r="L169" s="213" t="str">
        <f t="shared" si="57"/>
        <v>Saturn</v>
      </c>
      <c r="M169" s="239">
        <f t="shared" si="58"/>
        <v>38154.312907093597</v>
      </c>
    </row>
    <row r="170" spans="2:13">
      <c r="B170" s="244"/>
      <c r="C170" s="245"/>
      <c r="D170" s="213"/>
      <c r="E170" s="245"/>
      <c r="F170" s="213"/>
      <c r="G170" s="246"/>
      <c r="H170" s="213" t="str">
        <f t="shared" si="55"/>
        <v>Mars</v>
      </c>
      <c r="I170" s="243"/>
      <c r="J170" s="213" t="str">
        <f t="shared" si="56"/>
        <v>Jupiter</v>
      </c>
      <c r="K170" s="243"/>
      <c r="L170" s="213" t="str">
        <f t="shared" si="57"/>
        <v>Mercury</v>
      </c>
      <c r="M170" s="239">
        <f t="shared" si="58"/>
        <v>38154.33739645579</v>
      </c>
    </row>
    <row r="171" spans="2:13">
      <c r="B171" s="244"/>
      <c r="C171" s="245"/>
      <c r="D171" s="213"/>
      <c r="E171" s="245"/>
      <c r="F171" s="213"/>
      <c r="G171" s="246"/>
      <c r="H171" s="213" t="str">
        <f t="shared" si="55"/>
        <v>Mars</v>
      </c>
      <c r="I171" s="243"/>
      <c r="J171" s="213" t="str">
        <f t="shared" si="56"/>
        <v>Jupiter</v>
      </c>
      <c r="K171" s="243"/>
      <c r="L171" s="213" t="str">
        <f t="shared" si="57"/>
        <v>Ketu</v>
      </c>
      <c r="M171" s="239">
        <f t="shared" si="58"/>
        <v>38154.359307990388</v>
      </c>
    </row>
    <row r="172" spans="2:13">
      <c r="B172" s="244"/>
      <c r="C172" s="245"/>
      <c r="D172" s="213"/>
      <c r="E172" s="245"/>
      <c r="F172" s="213"/>
      <c r="G172" s="246"/>
      <c r="H172" s="213" t="str">
        <f t="shared" si="55"/>
        <v>Mars</v>
      </c>
      <c r="I172" s="243"/>
      <c r="J172" s="213" t="str">
        <f t="shared" si="56"/>
        <v>Jupiter</v>
      </c>
      <c r="K172" s="243"/>
      <c r="L172" s="213" t="str">
        <f t="shared" si="57"/>
        <v>Venus</v>
      </c>
      <c r="M172" s="239">
        <f t="shared" si="58"/>
        <v>38154.368330386984</v>
      </c>
    </row>
    <row r="173" spans="2:13">
      <c r="B173" s="244"/>
      <c r="C173" s="245"/>
      <c r="D173" s="213"/>
      <c r="E173" s="245"/>
      <c r="F173" s="213"/>
      <c r="G173" s="246"/>
      <c r="H173" s="213" t="str">
        <f t="shared" si="55"/>
        <v>Mars</v>
      </c>
      <c r="I173" s="243"/>
      <c r="J173" s="213" t="str">
        <f t="shared" si="56"/>
        <v>Jupiter</v>
      </c>
      <c r="K173" s="243"/>
      <c r="L173" s="213" t="str">
        <f t="shared" si="57"/>
        <v>Sun</v>
      </c>
      <c r="M173" s="239">
        <f t="shared" si="58"/>
        <v>38154.394108662978</v>
      </c>
    </row>
    <row r="174" spans="2:13">
      <c r="B174" s="244"/>
      <c r="C174" s="245"/>
      <c r="D174" s="213"/>
      <c r="E174" s="245"/>
      <c r="F174" s="213"/>
      <c r="G174" s="246"/>
      <c r="H174" s="213" t="str">
        <f t="shared" si="55"/>
        <v>Mars</v>
      </c>
      <c r="I174" s="243"/>
      <c r="J174" s="213" t="str">
        <f t="shared" si="56"/>
        <v>Jupiter</v>
      </c>
      <c r="K174" s="243"/>
      <c r="L174" s="213" t="str">
        <f t="shared" si="57"/>
        <v>Moon</v>
      </c>
      <c r="M174" s="239">
        <f t="shared" si="58"/>
        <v>38154.401842145773</v>
      </c>
    </row>
    <row r="175" spans="2:13">
      <c r="B175" s="244"/>
      <c r="C175" s="245"/>
      <c r="D175" s="213"/>
      <c r="E175" s="245"/>
      <c r="F175" s="213"/>
      <c r="G175" s="246"/>
      <c r="H175" s="213" t="str">
        <f t="shared" si="55"/>
        <v>Mars</v>
      </c>
      <c r="I175" s="243"/>
      <c r="J175" s="213" t="str">
        <f t="shared" si="56"/>
        <v>Saturn</v>
      </c>
      <c r="K175" s="239">
        <f>K166+DaysInYear*VLOOKUP($D$148,DasaYears,2,0)/120*VLOOKUP($F$148,DasaYears,2,0)*VLOOKUP(H166,DasaYears,2,0)/120*VLOOKUP(J166,DasaYears,2,0)/120*VLOOKUP($B$148,DasaYears,2,0)/120</f>
        <v>38154.414731283789</v>
      </c>
      <c r="L175" s="213" t="str">
        <f t="shared" si="57"/>
        <v>Mars</v>
      </c>
      <c r="M175" s="239">
        <f t="shared" si="58"/>
        <v>38154.414731283767</v>
      </c>
    </row>
    <row r="176" spans="2:13">
      <c r="B176" s="244"/>
      <c r="C176" s="245"/>
      <c r="D176" s="213"/>
      <c r="E176" s="245"/>
      <c r="F176" s="213"/>
      <c r="G176" s="246"/>
      <c r="H176" s="213" t="str">
        <f t="shared" si="55"/>
        <v>Mars</v>
      </c>
      <c r="I176" s="243"/>
      <c r="J176" s="213" t="str">
        <f t="shared" si="56"/>
        <v>Saturn</v>
      </c>
      <c r="K176" s="243"/>
      <c r="L176" s="213" t="str">
        <f t="shared" si="57"/>
        <v>Rahu</v>
      </c>
      <c r="M176" s="239">
        <f t="shared" si="58"/>
        <v>38154.425445379726</v>
      </c>
    </row>
    <row r="177" spans="2:13">
      <c r="B177" s="244"/>
      <c r="C177" s="245"/>
      <c r="D177" s="213"/>
      <c r="E177" s="245"/>
      <c r="F177" s="213"/>
      <c r="G177" s="246"/>
      <c r="H177" s="213" t="str">
        <f t="shared" si="55"/>
        <v>Mars</v>
      </c>
      <c r="I177" s="243"/>
      <c r="J177" s="213" t="str">
        <f t="shared" si="56"/>
        <v>Saturn</v>
      </c>
      <c r="K177" s="243"/>
      <c r="L177" s="213" t="str">
        <f t="shared" si="57"/>
        <v>Jupiter</v>
      </c>
      <c r="M177" s="239">
        <f t="shared" si="58"/>
        <v>38154.452995912194</v>
      </c>
    </row>
    <row r="178" spans="2:13">
      <c r="B178" s="244"/>
      <c r="C178" s="245"/>
      <c r="D178" s="213"/>
      <c r="E178" s="245"/>
      <c r="F178" s="213"/>
      <c r="G178" s="246"/>
      <c r="H178" s="213" t="str">
        <f t="shared" si="55"/>
        <v>Mars</v>
      </c>
      <c r="I178" s="243"/>
      <c r="J178" s="213" t="str">
        <f t="shared" si="56"/>
        <v>Saturn</v>
      </c>
      <c r="K178" s="243"/>
      <c r="L178" s="213" t="str">
        <f t="shared" si="57"/>
        <v>Saturn</v>
      </c>
      <c r="M178" s="239">
        <f t="shared" si="58"/>
        <v>38154.477485274387</v>
      </c>
    </row>
    <row r="179" spans="2:13">
      <c r="B179" s="244"/>
      <c r="C179" s="245"/>
      <c r="D179" s="213"/>
      <c r="E179" s="245"/>
      <c r="F179" s="213"/>
      <c r="G179" s="246"/>
      <c r="H179" s="213" t="str">
        <f t="shared" si="55"/>
        <v>Mars</v>
      </c>
      <c r="I179" s="243"/>
      <c r="J179" s="213" t="str">
        <f t="shared" si="56"/>
        <v>Saturn</v>
      </c>
      <c r="K179" s="243"/>
      <c r="L179" s="213" t="str">
        <f t="shared" si="57"/>
        <v>Mercury</v>
      </c>
      <c r="M179" s="239">
        <f t="shared" si="58"/>
        <v>38154.506566391996</v>
      </c>
    </row>
    <row r="180" spans="2:13">
      <c r="B180" s="244"/>
      <c r="C180" s="245"/>
      <c r="D180" s="213"/>
      <c r="E180" s="245"/>
      <c r="F180" s="213"/>
      <c r="G180" s="246"/>
      <c r="H180" s="213" t="str">
        <f t="shared" si="55"/>
        <v>Mars</v>
      </c>
      <c r="I180" s="243"/>
      <c r="J180" s="213" t="str">
        <f t="shared" si="56"/>
        <v>Saturn</v>
      </c>
      <c r="K180" s="243"/>
      <c r="L180" s="213" t="str">
        <f t="shared" si="57"/>
        <v>Ketu</v>
      </c>
      <c r="M180" s="239">
        <f t="shared" si="58"/>
        <v>38154.53258633933</v>
      </c>
    </row>
    <row r="181" spans="2:13">
      <c r="B181" s="244"/>
      <c r="C181" s="245"/>
      <c r="D181" s="213"/>
      <c r="E181" s="245"/>
      <c r="F181" s="213"/>
      <c r="G181" s="246"/>
      <c r="H181" s="213" t="str">
        <f t="shared" ref="H181:H212" si="59">INDEX(DasaYears,(MOD(VLOOKUP(H180,DasaYears,3,0)+IF(VLOOKUP($F$148,ChartInfo,11),-1,1)*NOT(ISBLANK(I181)),9)+1),1)</f>
        <v>Mars</v>
      </c>
      <c r="I181" s="243"/>
      <c r="J181" s="213" t="str">
        <f t="shared" ref="J181:J212" si="60">INDEX(DasaYears,(MOD(VLOOKUP(J180,DasaYears,3,0)+IF(VLOOKUP(H180,ChartInfo,11),-1,1)*NOT(ISBLANK(K181)),9)+1),1)</f>
        <v>Saturn</v>
      </c>
      <c r="K181" s="243"/>
      <c r="L181" s="213" t="str">
        <f t="shared" ref="L181:L212" si="61">INDEX(DasaYears,(MOD(VLOOKUP(L180,DasaYears,3,0)+IF(VLOOKUP(J180,ChartInfo,11),-1,1)*NOT(ISBLANK(M181)),9)+1),1)</f>
        <v>Venus</v>
      </c>
      <c r="M181" s="239">
        <f t="shared" ref="M181:M212" si="62">M180+DaysInYear*VLOOKUP($F$148,DasaYears,2,0)/120*VLOOKUP(H180,DasaYears,2,0)*VLOOKUP(J180,DasaYears,2,0)/120*VLOOKUP(L180,DasaYears,2,0)/120*VLOOKUP($D$148,DasaYears,2,0)/120*VLOOKUP($B$148,DasaYears,2,0)/120</f>
        <v>38154.543300435289</v>
      </c>
    </row>
    <row r="182" spans="2:13">
      <c r="B182" s="244"/>
      <c r="C182" s="245"/>
      <c r="D182" s="213"/>
      <c r="E182" s="245"/>
      <c r="F182" s="213"/>
      <c r="G182" s="246"/>
      <c r="H182" s="213" t="str">
        <f t="shared" si="59"/>
        <v>Mars</v>
      </c>
      <c r="I182" s="243"/>
      <c r="J182" s="213" t="str">
        <f t="shared" si="60"/>
        <v>Saturn</v>
      </c>
      <c r="K182" s="243"/>
      <c r="L182" s="213" t="str">
        <f t="shared" si="61"/>
        <v>Sun</v>
      </c>
      <c r="M182" s="239">
        <f t="shared" si="62"/>
        <v>38154.573912138032</v>
      </c>
    </row>
    <row r="183" spans="2:13">
      <c r="B183" s="244"/>
      <c r="C183" s="245"/>
      <c r="D183" s="213"/>
      <c r="E183" s="245"/>
      <c r="F183" s="213"/>
      <c r="G183" s="246"/>
      <c r="H183" s="213" t="str">
        <f t="shared" si="59"/>
        <v>Mars</v>
      </c>
      <c r="I183" s="243"/>
      <c r="J183" s="213" t="str">
        <f t="shared" si="60"/>
        <v>Saturn</v>
      </c>
      <c r="K183" s="243"/>
      <c r="L183" s="213" t="str">
        <f t="shared" si="61"/>
        <v>Moon</v>
      </c>
      <c r="M183" s="239">
        <f t="shared" si="62"/>
        <v>38154.583095648857</v>
      </c>
    </row>
    <row r="184" spans="2:13">
      <c r="B184" s="244"/>
      <c r="C184" s="245"/>
      <c r="D184" s="213"/>
      <c r="E184" s="245"/>
      <c r="F184" s="213"/>
      <c r="G184" s="246"/>
      <c r="H184" s="213" t="str">
        <f t="shared" si="59"/>
        <v>Mars</v>
      </c>
      <c r="I184" s="243"/>
      <c r="J184" s="213" t="str">
        <f t="shared" si="60"/>
        <v>Mercury</v>
      </c>
      <c r="K184" s="239">
        <f>K175+DaysInYear*VLOOKUP($D$148,DasaYears,2,0)/120*VLOOKUP($F$148,DasaYears,2,0)*VLOOKUP(H175,DasaYears,2,0)/120*VLOOKUP(J175,DasaYears,2,0)/120*VLOOKUP($B$148,DasaYears,2,0)/120</f>
        <v>38154.598401500247</v>
      </c>
      <c r="L184" s="213" t="str">
        <f t="shared" si="61"/>
        <v>Mars</v>
      </c>
      <c r="M184" s="239">
        <f t="shared" si="62"/>
        <v>38154.598401500225</v>
      </c>
    </row>
    <row r="185" spans="2:13">
      <c r="B185" s="244"/>
      <c r="C185" s="245"/>
      <c r="D185" s="213"/>
      <c r="E185" s="245"/>
      <c r="F185" s="213"/>
      <c r="G185" s="246"/>
      <c r="H185" s="213" t="str">
        <f t="shared" si="59"/>
        <v>Mars</v>
      </c>
      <c r="I185" s="243"/>
      <c r="J185" s="213" t="str">
        <f t="shared" si="60"/>
        <v>Mercury</v>
      </c>
      <c r="K185" s="243"/>
      <c r="L185" s="213" t="str">
        <f t="shared" si="61"/>
        <v>Rahu</v>
      </c>
      <c r="M185" s="239">
        <f t="shared" si="62"/>
        <v>38154.607987796611</v>
      </c>
    </row>
    <row r="186" spans="2:13">
      <c r="B186" s="244"/>
      <c r="C186" s="245"/>
      <c r="D186" s="213"/>
      <c r="E186" s="245"/>
      <c r="F186" s="213"/>
      <c r="G186" s="246"/>
      <c r="H186" s="213" t="str">
        <f t="shared" si="59"/>
        <v>Mars</v>
      </c>
      <c r="I186" s="243"/>
      <c r="J186" s="213" t="str">
        <f t="shared" si="60"/>
        <v>Mercury</v>
      </c>
      <c r="K186" s="243"/>
      <c r="L186" s="213" t="str">
        <f t="shared" si="61"/>
        <v>Jupiter</v>
      </c>
      <c r="M186" s="239">
        <f t="shared" si="62"/>
        <v>38154.632638273033</v>
      </c>
    </row>
    <row r="187" spans="2:13">
      <c r="B187" s="244"/>
      <c r="C187" s="245"/>
      <c r="D187" s="213"/>
      <c r="E187" s="245"/>
      <c r="F187" s="213"/>
      <c r="G187" s="246"/>
      <c r="H187" s="213" t="str">
        <f t="shared" si="59"/>
        <v>Mars</v>
      </c>
      <c r="I187" s="243"/>
      <c r="J187" s="213" t="str">
        <f t="shared" si="60"/>
        <v>Mercury</v>
      </c>
      <c r="K187" s="243"/>
      <c r="L187" s="213" t="str">
        <f t="shared" si="61"/>
        <v>Saturn</v>
      </c>
      <c r="M187" s="239">
        <f t="shared" si="62"/>
        <v>38154.65454980763</v>
      </c>
    </row>
    <row r="188" spans="2:13">
      <c r="B188" s="244"/>
      <c r="C188" s="245"/>
      <c r="D188" s="213"/>
      <c r="E188" s="245"/>
      <c r="F188" s="213"/>
      <c r="G188" s="246"/>
      <c r="H188" s="213" t="str">
        <f t="shared" si="59"/>
        <v>Mars</v>
      </c>
      <c r="I188" s="243"/>
      <c r="J188" s="213" t="str">
        <f t="shared" si="60"/>
        <v>Mercury</v>
      </c>
      <c r="K188" s="243"/>
      <c r="L188" s="213" t="str">
        <f t="shared" si="61"/>
        <v>Mercury</v>
      </c>
      <c r="M188" s="239">
        <f t="shared" si="62"/>
        <v>38154.680569754964</v>
      </c>
    </row>
    <row r="189" spans="2:13">
      <c r="B189" s="244"/>
      <c r="C189" s="245"/>
      <c r="D189" s="213"/>
      <c r="E189" s="245"/>
      <c r="F189" s="213"/>
      <c r="G189" s="246"/>
      <c r="H189" s="213" t="str">
        <f t="shared" si="59"/>
        <v>Mars</v>
      </c>
      <c r="I189" s="243"/>
      <c r="J189" s="213" t="str">
        <f t="shared" si="60"/>
        <v>Mercury</v>
      </c>
      <c r="K189" s="243"/>
      <c r="L189" s="213" t="str">
        <f t="shared" si="61"/>
        <v>Ketu</v>
      </c>
      <c r="M189" s="239">
        <f t="shared" si="62"/>
        <v>38154.703850760474</v>
      </c>
    </row>
    <row r="190" spans="2:13">
      <c r="B190" s="244"/>
      <c r="C190" s="245"/>
      <c r="D190" s="213"/>
      <c r="E190" s="245"/>
      <c r="F190" s="213"/>
      <c r="G190" s="246"/>
      <c r="H190" s="213" t="str">
        <f t="shared" si="59"/>
        <v>Mars</v>
      </c>
      <c r="I190" s="243"/>
      <c r="J190" s="213" t="str">
        <f t="shared" si="60"/>
        <v>Mercury</v>
      </c>
      <c r="K190" s="243"/>
      <c r="L190" s="213" t="str">
        <f t="shared" si="61"/>
        <v>Venus</v>
      </c>
      <c r="M190" s="239">
        <f t="shared" si="62"/>
        <v>38154.71343705686</v>
      </c>
    </row>
    <row r="191" spans="2:13">
      <c r="B191" s="244"/>
      <c r="C191" s="245"/>
      <c r="D191" s="213"/>
      <c r="E191" s="245"/>
      <c r="F191" s="213"/>
      <c r="G191" s="246"/>
      <c r="H191" s="213" t="str">
        <f t="shared" si="59"/>
        <v>Mars</v>
      </c>
      <c r="I191" s="243"/>
      <c r="J191" s="213" t="str">
        <f t="shared" si="60"/>
        <v>Mercury</v>
      </c>
      <c r="K191" s="243"/>
      <c r="L191" s="213" t="str">
        <f t="shared" si="61"/>
        <v>Sun</v>
      </c>
      <c r="M191" s="239">
        <f t="shared" si="62"/>
        <v>38154.740826475107</v>
      </c>
    </row>
    <row r="192" spans="2:13">
      <c r="B192" s="244"/>
      <c r="C192" s="245"/>
      <c r="D192" s="213"/>
      <c r="E192" s="245"/>
      <c r="F192" s="213"/>
      <c r="G192" s="246"/>
      <c r="H192" s="213" t="str">
        <f t="shared" si="59"/>
        <v>Mars</v>
      </c>
      <c r="I192" s="243"/>
      <c r="J192" s="213" t="str">
        <f t="shared" si="60"/>
        <v>Mercury</v>
      </c>
      <c r="K192" s="243"/>
      <c r="L192" s="213" t="str">
        <f t="shared" si="61"/>
        <v>Moon</v>
      </c>
      <c r="M192" s="239">
        <f t="shared" si="62"/>
        <v>38154.749043300581</v>
      </c>
    </row>
    <row r="193" spans="2:13">
      <c r="B193" s="244"/>
      <c r="C193" s="245"/>
      <c r="D193" s="213"/>
      <c r="E193" s="245"/>
      <c r="F193" s="213"/>
      <c r="G193" s="246"/>
      <c r="H193" s="213" t="str">
        <f t="shared" si="59"/>
        <v>Mars</v>
      </c>
      <c r="I193" s="243"/>
      <c r="J193" s="213" t="str">
        <f t="shared" si="60"/>
        <v>Ketu</v>
      </c>
      <c r="K193" s="239">
        <f>K184+DaysInYear*VLOOKUP($D$148,DasaYears,2,0)/120*VLOOKUP($F$148,DasaYears,2,0)*VLOOKUP(H184,DasaYears,2,0)/120*VLOOKUP(J184,DasaYears,2,0)/120*VLOOKUP($B$148,DasaYears,2,0)/120</f>
        <v>38154.762738009711</v>
      </c>
      <c r="L193" s="213" t="str">
        <f t="shared" si="61"/>
        <v>Mars</v>
      </c>
      <c r="M193" s="239">
        <f t="shared" si="62"/>
        <v>38154.762738009704</v>
      </c>
    </row>
    <row r="194" spans="2:13">
      <c r="B194" s="244"/>
      <c r="C194" s="245"/>
      <c r="D194" s="213"/>
      <c r="E194" s="245"/>
      <c r="F194" s="213"/>
      <c r="G194" s="246"/>
      <c r="H194" s="213" t="str">
        <f t="shared" si="59"/>
        <v>Mars</v>
      </c>
      <c r="I194" s="243"/>
      <c r="J194" s="213" t="str">
        <f t="shared" si="60"/>
        <v>Ketu</v>
      </c>
      <c r="K194" s="243"/>
      <c r="L194" s="213" t="str">
        <f t="shared" si="61"/>
        <v>Rahu</v>
      </c>
      <c r="M194" s="239">
        <f t="shared" si="62"/>
        <v>38154.766685308212</v>
      </c>
    </row>
    <row r="195" spans="2:13">
      <c r="B195" s="244"/>
      <c r="C195" s="245"/>
      <c r="D195" s="213"/>
      <c r="E195" s="245"/>
      <c r="F195" s="213"/>
      <c r="G195" s="246"/>
      <c r="H195" s="213" t="str">
        <f t="shared" si="59"/>
        <v>Mars</v>
      </c>
      <c r="I195" s="243"/>
      <c r="J195" s="213" t="str">
        <f t="shared" si="60"/>
        <v>Ketu</v>
      </c>
      <c r="K195" s="243"/>
      <c r="L195" s="213" t="str">
        <f t="shared" si="61"/>
        <v>Jupiter</v>
      </c>
      <c r="M195" s="239">
        <f t="shared" si="62"/>
        <v>38154.776835504388</v>
      </c>
    </row>
    <row r="196" spans="2:13">
      <c r="B196" s="244"/>
      <c r="C196" s="245"/>
      <c r="D196" s="213"/>
      <c r="E196" s="245"/>
      <c r="F196" s="213"/>
      <c r="G196" s="246"/>
      <c r="H196" s="213" t="str">
        <f t="shared" si="59"/>
        <v>Mars</v>
      </c>
      <c r="I196" s="243"/>
      <c r="J196" s="213" t="str">
        <f t="shared" si="60"/>
        <v>Ketu</v>
      </c>
      <c r="K196" s="243"/>
      <c r="L196" s="213" t="str">
        <f t="shared" si="61"/>
        <v>Saturn</v>
      </c>
      <c r="M196" s="239">
        <f t="shared" si="62"/>
        <v>38154.785857900984</v>
      </c>
    </row>
    <row r="197" spans="2:13">
      <c r="B197" s="244"/>
      <c r="C197" s="245"/>
      <c r="D197" s="213"/>
      <c r="E197" s="245"/>
      <c r="F197" s="213"/>
      <c r="G197" s="246"/>
      <c r="H197" s="213" t="str">
        <f t="shared" si="59"/>
        <v>Mars</v>
      </c>
      <c r="I197" s="243"/>
      <c r="J197" s="213" t="str">
        <f t="shared" si="60"/>
        <v>Ketu</v>
      </c>
      <c r="K197" s="243"/>
      <c r="L197" s="213" t="str">
        <f t="shared" si="61"/>
        <v>Mercury</v>
      </c>
      <c r="M197" s="239">
        <f t="shared" si="62"/>
        <v>38154.796571996943</v>
      </c>
    </row>
    <row r="198" spans="2:13">
      <c r="B198" s="244"/>
      <c r="C198" s="245"/>
      <c r="D198" s="213"/>
      <c r="E198" s="245"/>
      <c r="F198" s="213"/>
      <c r="G198" s="246"/>
      <c r="H198" s="213" t="str">
        <f t="shared" si="59"/>
        <v>Mars</v>
      </c>
      <c r="I198" s="243"/>
      <c r="J198" s="213" t="str">
        <f t="shared" si="60"/>
        <v>Ketu</v>
      </c>
      <c r="K198" s="243"/>
      <c r="L198" s="213" t="str">
        <f t="shared" si="61"/>
        <v>Ketu</v>
      </c>
      <c r="M198" s="239">
        <f t="shared" si="62"/>
        <v>38154.80615829333</v>
      </c>
    </row>
    <row r="199" spans="2:13">
      <c r="B199" s="244"/>
      <c r="C199" s="245"/>
      <c r="D199" s="213"/>
      <c r="E199" s="245"/>
      <c r="F199" s="213"/>
      <c r="G199" s="246"/>
      <c r="H199" s="213" t="str">
        <f t="shared" si="59"/>
        <v>Mars</v>
      </c>
      <c r="I199" s="243"/>
      <c r="J199" s="213" t="str">
        <f t="shared" si="60"/>
        <v>Ketu</v>
      </c>
      <c r="K199" s="243"/>
      <c r="L199" s="213" t="str">
        <f t="shared" si="61"/>
        <v>Venus</v>
      </c>
      <c r="M199" s="239">
        <f t="shared" si="62"/>
        <v>38154.810105591838</v>
      </c>
    </row>
    <row r="200" spans="2:13">
      <c r="B200" s="244"/>
      <c r="C200" s="245"/>
      <c r="D200" s="213"/>
      <c r="E200" s="245"/>
      <c r="F200" s="213"/>
      <c r="G200" s="246"/>
      <c r="H200" s="213" t="str">
        <f t="shared" si="59"/>
        <v>Mars</v>
      </c>
      <c r="I200" s="243"/>
      <c r="J200" s="213" t="str">
        <f t="shared" si="60"/>
        <v>Ketu</v>
      </c>
      <c r="K200" s="243"/>
      <c r="L200" s="213" t="str">
        <f t="shared" si="61"/>
        <v>Sun</v>
      </c>
      <c r="M200" s="239">
        <f t="shared" si="62"/>
        <v>38154.821383587587</v>
      </c>
    </row>
    <row r="201" spans="2:13">
      <c r="B201" s="244"/>
      <c r="C201" s="245"/>
      <c r="D201" s="213"/>
      <c r="E201" s="245"/>
      <c r="F201" s="213"/>
      <c r="G201" s="246"/>
      <c r="H201" s="213" t="str">
        <f t="shared" si="59"/>
        <v>Mars</v>
      </c>
      <c r="I201" s="243"/>
      <c r="J201" s="213" t="str">
        <f t="shared" si="60"/>
        <v>Ketu</v>
      </c>
      <c r="K201" s="243"/>
      <c r="L201" s="213" t="str">
        <f t="shared" si="61"/>
        <v>Moon</v>
      </c>
      <c r="M201" s="239">
        <f t="shared" si="62"/>
        <v>38154.824766986312</v>
      </c>
    </row>
    <row r="202" spans="2:13">
      <c r="B202" s="244"/>
      <c r="C202" s="245"/>
      <c r="D202" s="213"/>
      <c r="E202" s="245"/>
      <c r="F202" s="213"/>
      <c r="G202" s="246"/>
      <c r="H202" s="213" t="str">
        <f t="shared" si="59"/>
        <v>Mars</v>
      </c>
      <c r="I202" s="243"/>
      <c r="J202" s="213" t="str">
        <f t="shared" si="60"/>
        <v>Venus</v>
      </c>
      <c r="K202" s="239">
        <f>K193+DaysInYear*VLOOKUP($D$148,DasaYears,2,0)/120*VLOOKUP($F$148,DasaYears,2,0)*VLOOKUP(H193,DasaYears,2,0)/120*VLOOKUP(J193,DasaYears,2,0)/120*VLOOKUP($B$148,DasaYears,2,0)/120</f>
        <v>38154.830405984198</v>
      </c>
      <c r="L202" s="213" t="str">
        <f t="shared" si="61"/>
        <v>Mars</v>
      </c>
      <c r="M202" s="239">
        <f t="shared" si="62"/>
        <v>38154.830405984183</v>
      </c>
    </row>
    <row r="203" spans="2:13">
      <c r="B203" s="244"/>
      <c r="C203" s="245"/>
      <c r="D203" s="213"/>
      <c r="E203" s="245"/>
      <c r="F203" s="213"/>
      <c r="G203" s="246"/>
      <c r="H203" s="213" t="str">
        <f t="shared" si="59"/>
        <v>Mars</v>
      </c>
      <c r="I203" s="243"/>
      <c r="J203" s="213" t="str">
        <f t="shared" si="60"/>
        <v>Venus</v>
      </c>
      <c r="K203" s="243"/>
      <c r="L203" s="213" t="str">
        <f t="shared" si="61"/>
        <v>Rahu</v>
      </c>
      <c r="M203" s="239">
        <f t="shared" si="62"/>
        <v>38154.841683979932</v>
      </c>
    </row>
    <row r="204" spans="2:13">
      <c r="B204" s="244"/>
      <c r="C204" s="245"/>
      <c r="D204" s="213"/>
      <c r="E204" s="245"/>
      <c r="F204" s="213"/>
      <c r="G204" s="246"/>
      <c r="H204" s="213" t="str">
        <f t="shared" si="59"/>
        <v>Mars</v>
      </c>
      <c r="I204" s="243"/>
      <c r="J204" s="213" t="str">
        <f t="shared" si="60"/>
        <v>Venus</v>
      </c>
      <c r="K204" s="243"/>
      <c r="L204" s="213" t="str">
        <f t="shared" si="61"/>
        <v>Jupiter</v>
      </c>
      <c r="M204" s="239">
        <f t="shared" si="62"/>
        <v>38154.870684540423</v>
      </c>
    </row>
    <row r="205" spans="2:13">
      <c r="B205" s="244"/>
      <c r="C205" s="245"/>
      <c r="D205" s="213"/>
      <c r="E205" s="245"/>
      <c r="F205" s="213"/>
      <c r="G205" s="246"/>
      <c r="H205" s="213" t="str">
        <f t="shared" si="59"/>
        <v>Mars</v>
      </c>
      <c r="I205" s="243"/>
      <c r="J205" s="213" t="str">
        <f t="shared" si="60"/>
        <v>Venus</v>
      </c>
      <c r="K205" s="243"/>
      <c r="L205" s="213" t="str">
        <f t="shared" si="61"/>
        <v>Saturn</v>
      </c>
      <c r="M205" s="239">
        <f t="shared" si="62"/>
        <v>38154.896462816418</v>
      </c>
    </row>
    <row r="206" spans="2:13">
      <c r="B206" s="244"/>
      <c r="C206" s="245"/>
      <c r="D206" s="213"/>
      <c r="E206" s="245"/>
      <c r="F206" s="213"/>
      <c r="G206" s="246"/>
      <c r="H206" s="213" t="str">
        <f t="shared" si="59"/>
        <v>Mars</v>
      </c>
      <c r="I206" s="243"/>
      <c r="J206" s="213" t="str">
        <f t="shared" si="60"/>
        <v>Venus</v>
      </c>
      <c r="K206" s="243"/>
      <c r="L206" s="213" t="str">
        <f t="shared" si="61"/>
        <v>Mercury</v>
      </c>
      <c r="M206" s="239">
        <f t="shared" si="62"/>
        <v>38154.927074519161</v>
      </c>
    </row>
    <row r="207" spans="2:13">
      <c r="B207" s="244"/>
      <c r="C207" s="245"/>
      <c r="D207" s="213"/>
      <c r="E207" s="245"/>
      <c r="F207" s="213"/>
      <c r="G207" s="246"/>
      <c r="H207" s="213" t="str">
        <f t="shared" si="59"/>
        <v>Mars</v>
      </c>
      <c r="I207" s="243"/>
      <c r="J207" s="213" t="str">
        <f t="shared" si="60"/>
        <v>Venus</v>
      </c>
      <c r="K207" s="243"/>
      <c r="L207" s="213" t="str">
        <f t="shared" si="61"/>
        <v>Ketu</v>
      </c>
      <c r="M207" s="239">
        <f t="shared" si="62"/>
        <v>38154.954463937407</v>
      </c>
    </row>
    <row r="208" spans="2:13">
      <c r="B208" s="244"/>
      <c r="C208" s="245"/>
      <c r="D208" s="213"/>
      <c r="E208" s="245"/>
      <c r="F208" s="213"/>
      <c r="G208" s="246"/>
      <c r="H208" s="213" t="str">
        <f t="shared" si="59"/>
        <v>Mars</v>
      </c>
      <c r="I208" s="243"/>
      <c r="J208" s="213" t="str">
        <f t="shared" si="60"/>
        <v>Venus</v>
      </c>
      <c r="K208" s="243"/>
      <c r="L208" s="213" t="str">
        <f t="shared" si="61"/>
        <v>Venus</v>
      </c>
      <c r="M208" s="239">
        <f t="shared" si="62"/>
        <v>38154.965741933156</v>
      </c>
    </row>
    <row r="209" spans="2:13">
      <c r="B209" s="244"/>
      <c r="C209" s="245"/>
      <c r="D209" s="213"/>
      <c r="E209" s="245"/>
      <c r="F209" s="213"/>
      <c r="G209" s="246"/>
      <c r="H209" s="213" t="str">
        <f t="shared" si="59"/>
        <v>Mars</v>
      </c>
      <c r="I209" s="243"/>
      <c r="J209" s="213" t="str">
        <f t="shared" si="60"/>
        <v>Venus</v>
      </c>
      <c r="K209" s="243"/>
      <c r="L209" s="213" t="str">
        <f t="shared" si="61"/>
        <v>Sun</v>
      </c>
      <c r="M209" s="239">
        <f t="shared" si="62"/>
        <v>38154.997964778151</v>
      </c>
    </row>
    <row r="210" spans="2:13">
      <c r="B210" s="244"/>
      <c r="C210" s="245"/>
      <c r="D210" s="213"/>
      <c r="E210" s="245"/>
      <c r="F210" s="213"/>
      <c r="G210" s="246"/>
      <c r="H210" s="213" t="str">
        <f t="shared" si="59"/>
        <v>Mars</v>
      </c>
      <c r="I210" s="243"/>
      <c r="J210" s="213" t="str">
        <f t="shared" si="60"/>
        <v>Venus</v>
      </c>
      <c r="K210" s="243"/>
      <c r="L210" s="213" t="str">
        <f t="shared" si="61"/>
        <v>Moon</v>
      </c>
      <c r="M210" s="239">
        <f t="shared" si="62"/>
        <v>38155.007631631648</v>
      </c>
    </row>
    <row r="211" spans="2:13">
      <c r="B211" s="244"/>
      <c r="C211" s="245"/>
      <c r="D211" s="213"/>
      <c r="E211" s="245"/>
      <c r="F211" s="213"/>
      <c r="G211" s="246"/>
      <c r="H211" s="213" t="str">
        <f t="shared" si="59"/>
        <v>Mars</v>
      </c>
      <c r="I211" s="243"/>
      <c r="J211" s="213" t="str">
        <f t="shared" si="60"/>
        <v>Sun</v>
      </c>
      <c r="K211" s="239">
        <f>K202+DaysInYear*VLOOKUP($D$148,DasaYears,2,0)/120*VLOOKUP($F$148,DasaYears,2,0)*VLOOKUP(H202,DasaYears,2,0)/120*VLOOKUP(J202,DasaYears,2,0)/120*VLOOKUP($B$148,DasaYears,2,0)/120</f>
        <v>38155.023743054153</v>
      </c>
      <c r="L211" s="213" t="str">
        <f t="shared" si="61"/>
        <v>Mars</v>
      </c>
      <c r="M211" s="239">
        <f t="shared" si="62"/>
        <v>38155.023743054146</v>
      </c>
    </row>
    <row r="212" spans="2:13">
      <c r="B212" s="244"/>
      <c r="C212" s="245"/>
      <c r="D212" s="213"/>
      <c r="E212" s="245"/>
      <c r="F212" s="213"/>
      <c r="G212" s="246"/>
      <c r="H212" s="213" t="str">
        <f t="shared" si="59"/>
        <v>Mars</v>
      </c>
      <c r="I212" s="243"/>
      <c r="J212" s="213" t="str">
        <f t="shared" si="60"/>
        <v>Sun</v>
      </c>
      <c r="K212" s="243"/>
      <c r="L212" s="213" t="str">
        <f t="shared" si="61"/>
        <v>Rahu</v>
      </c>
      <c r="M212" s="239">
        <f t="shared" si="62"/>
        <v>38155.027126452871</v>
      </c>
    </row>
    <row r="213" spans="2:13">
      <c r="B213" s="244"/>
      <c r="C213" s="245"/>
      <c r="D213" s="213"/>
      <c r="E213" s="245"/>
      <c r="F213" s="213"/>
      <c r="G213" s="246"/>
      <c r="H213" s="213" t="str">
        <f t="shared" ref="H213:H244" si="63">INDEX(DasaYears,(MOD(VLOOKUP(H212,DasaYears,3,0)+IF(VLOOKUP($F$148,ChartInfo,11),-1,1)*NOT(ISBLANK(I213)),9)+1),1)</f>
        <v>Mars</v>
      </c>
      <c r="I213" s="243"/>
      <c r="J213" s="213" t="str">
        <f t="shared" ref="J213:J244" si="64">INDEX(DasaYears,(MOD(VLOOKUP(J212,DasaYears,3,0)+IF(VLOOKUP(H212,ChartInfo,11),-1,1)*NOT(ISBLANK(K213)),9)+1),1)</f>
        <v>Sun</v>
      </c>
      <c r="K213" s="243"/>
      <c r="L213" s="213" t="str">
        <f t="shared" ref="L213:L244" si="65">INDEX(DasaYears,(MOD(VLOOKUP(L212,DasaYears,3,0)+IF(VLOOKUP(J212,ChartInfo,11),-1,1)*NOT(ISBLANK(M213)),9)+1),1)</f>
        <v>Jupiter</v>
      </c>
      <c r="M213" s="239">
        <f t="shared" ref="M213:M229" si="66">M212+DaysInYear*VLOOKUP($F$148,DasaYears,2,0)/120*VLOOKUP(H212,DasaYears,2,0)*VLOOKUP(J212,DasaYears,2,0)/120*VLOOKUP(L212,DasaYears,2,0)/120*VLOOKUP($D$148,DasaYears,2,0)/120*VLOOKUP($B$148,DasaYears,2,0)/120</f>
        <v>38155.035826621017</v>
      </c>
    </row>
    <row r="214" spans="2:13">
      <c r="B214" s="244"/>
      <c r="C214" s="245"/>
      <c r="D214" s="213"/>
      <c r="E214" s="245"/>
      <c r="F214" s="213"/>
      <c r="G214" s="246"/>
      <c r="H214" s="213" t="str">
        <f t="shared" si="63"/>
        <v>Mars</v>
      </c>
      <c r="I214" s="243"/>
      <c r="J214" s="213" t="str">
        <f t="shared" si="64"/>
        <v>Sun</v>
      </c>
      <c r="K214" s="243"/>
      <c r="L214" s="213" t="str">
        <f t="shared" si="65"/>
        <v>Saturn</v>
      </c>
      <c r="M214" s="239">
        <f t="shared" si="66"/>
        <v>38155.043560103812</v>
      </c>
    </row>
    <row r="215" spans="2:13">
      <c r="B215" s="244"/>
      <c r="C215" s="245"/>
      <c r="D215" s="213"/>
      <c r="E215" s="245"/>
      <c r="F215" s="213"/>
      <c r="G215" s="246"/>
      <c r="H215" s="213" t="str">
        <f t="shared" si="63"/>
        <v>Mars</v>
      </c>
      <c r="I215" s="243"/>
      <c r="J215" s="213" t="str">
        <f t="shared" si="64"/>
        <v>Sun</v>
      </c>
      <c r="K215" s="243"/>
      <c r="L215" s="213" t="str">
        <f t="shared" si="65"/>
        <v>Mercury</v>
      </c>
      <c r="M215" s="239">
        <f t="shared" si="66"/>
        <v>38155.052743614637</v>
      </c>
    </row>
    <row r="216" spans="2:13">
      <c r="B216" s="244"/>
      <c r="C216" s="245"/>
      <c r="D216" s="213"/>
      <c r="E216" s="245"/>
      <c r="F216" s="213"/>
      <c r="G216" s="246"/>
      <c r="H216" s="213" t="str">
        <f t="shared" si="63"/>
        <v>Mars</v>
      </c>
      <c r="I216" s="243"/>
      <c r="J216" s="213" t="str">
        <f t="shared" si="64"/>
        <v>Sun</v>
      </c>
      <c r="K216" s="243"/>
      <c r="L216" s="213" t="str">
        <f t="shared" si="65"/>
        <v>Ketu</v>
      </c>
      <c r="M216" s="239">
        <f t="shared" si="66"/>
        <v>38155.060960440111</v>
      </c>
    </row>
    <row r="217" spans="2:13">
      <c r="B217" s="244"/>
      <c r="C217" s="245"/>
      <c r="D217" s="213"/>
      <c r="E217" s="245"/>
      <c r="F217" s="213"/>
      <c r="G217" s="246"/>
      <c r="H217" s="213" t="str">
        <f t="shared" si="63"/>
        <v>Mars</v>
      </c>
      <c r="I217" s="243"/>
      <c r="J217" s="213" t="str">
        <f t="shared" si="64"/>
        <v>Sun</v>
      </c>
      <c r="K217" s="243"/>
      <c r="L217" s="213" t="str">
        <f t="shared" si="65"/>
        <v>Venus</v>
      </c>
      <c r="M217" s="239">
        <f t="shared" si="66"/>
        <v>38155.064343838836</v>
      </c>
    </row>
    <row r="218" spans="2:13">
      <c r="B218" s="244"/>
      <c r="C218" s="245"/>
      <c r="D218" s="213"/>
      <c r="E218" s="245"/>
      <c r="F218" s="213"/>
      <c r="G218" s="246"/>
      <c r="H218" s="213" t="str">
        <f t="shared" si="63"/>
        <v>Mars</v>
      </c>
      <c r="I218" s="243"/>
      <c r="J218" s="213" t="str">
        <f t="shared" si="64"/>
        <v>Sun</v>
      </c>
      <c r="K218" s="243"/>
      <c r="L218" s="213" t="str">
        <f t="shared" si="65"/>
        <v>Sun</v>
      </c>
      <c r="M218" s="239">
        <f t="shared" si="66"/>
        <v>38155.074010692333</v>
      </c>
    </row>
    <row r="219" spans="2:13">
      <c r="B219" s="244"/>
      <c r="C219" s="245"/>
      <c r="D219" s="213"/>
      <c r="E219" s="245"/>
      <c r="F219" s="213"/>
      <c r="G219" s="246"/>
      <c r="H219" s="213" t="str">
        <f t="shared" si="63"/>
        <v>Mars</v>
      </c>
      <c r="I219" s="243"/>
      <c r="J219" s="213" t="str">
        <f t="shared" si="64"/>
        <v>Sun</v>
      </c>
      <c r="K219" s="243"/>
      <c r="L219" s="213" t="str">
        <f t="shared" si="65"/>
        <v>Moon</v>
      </c>
      <c r="M219" s="239">
        <f t="shared" si="66"/>
        <v>38155.076910748379</v>
      </c>
    </row>
    <row r="220" spans="2:13">
      <c r="B220" s="244"/>
      <c r="C220" s="245"/>
      <c r="D220" s="213"/>
      <c r="E220" s="245"/>
      <c r="F220" s="213"/>
      <c r="G220" s="246"/>
      <c r="H220" s="213" t="str">
        <f t="shared" si="63"/>
        <v>Mars</v>
      </c>
      <c r="I220" s="243"/>
      <c r="J220" s="213" t="str">
        <f t="shared" si="64"/>
        <v>Moon</v>
      </c>
      <c r="K220" s="239">
        <f>K211+DaysInYear*VLOOKUP($D$148,DasaYears,2,0)/120*VLOOKUP($F$148,DasaYears,2,0)*VLOOKUP(H211,DasaYears,2,0)/120*VLOOKUP(J211,DasaYears,2,0)/120*VLOOKUP($B$148,DasaYears,2,0)/120</f>
        <v>38155.081744175142</v>
      </c>
      <c r="L220" s="213" t="str">
        <f t="shared" si="65"/>
        <v>Mars</v>
      </c>
      <c r="M220" s="239">
        <f t="shared" si="66"/>
        <v>38155.081744175128</v>
      </c>
    </row>
    <row r="221" spans="2:13">
      <c r="B221" s="244"/>
      <c r="C221" s="245"/>
      <c r="D221" s="213"/>
      <c r="E221" s="245"/>
      <c r="F221" s="213"/>
      <c r="G221" s="246"/>
      <c r="H221" s="213" t="str">
        <f t="shared" si="63"/>
        <v>Mars</v>
      </c>
      <c r="I221" s="243"/>
      <c r="J221" s="213" t="str">
        <f t="shared" si="64"/>
        <v>Moon</v>
      </c>
      <c r="K221" s="243"/>
      <c r="L221" s="213" t="str">
        <f t="shared" si="65"/>
        <v>Rahu</v>
      </c>
      <c r="M221" s="239">
        <f t="shared" si="66"/>
        <v>38155.087383172999</v>
      </c>
    </row>
    <row r="222" spans="2:13">
      <c r="B222" s="244"/>
      <c r="C222" s="245"/>
      <c r="D222" s="213"/>
      <c r="E222" s="245"/>
      <c r="F222" s="213"/>
      <c r="G222" s="246"/>
      <c r="H222" s="213" t="str">
        <f t="shared" si="63"/>
        <v>Mars</v>
      </c>
      <c r="I222" s="243"/>
      <c r="J222" s="213" t="str">
        <f t="shared" si="64"/>
        <v>Moon</v>
      </c>
      <c r="K222" s="243"/>
      <c r="L222" s="213" t="str">
        <f t="shared" si="65"/>
        <v>Jupiter</v>
      </c>
      <c r="M222" s="239">
        <f t="shared" si="66"/>
        <v>38155.101883453244</v>
      </c>
    </row>
    <row r="223" spans="2:13">
      <c r="B223" s="244"/>
      <c r="C223" s="245"/>
      <c r="D223" s="213"/>
      <c r="E223" s="245"/>
      <c r="F223" s="213"/>
      <c r="G223" s="246"/>
      <c r="H223" s="213" t="str">
        <f t="shared" si="63"/>
        <v>Mars</v>
      </c>
      <c r="I223" s="243"/>
      <c r="J223" s="213" t="str">
        <f t="shared" si="64"/>
        <v>Moon</v>
      </c>
      <c r="K223" s="243"/>
      <c r="L223" s="213" t="str">
        <f t="shared" si="65"/>
        <v>Saturn</v>
      </c>
      <c r="M223" s="239">
        <f t="shared" si="66"/>
        <v>38155.114772591238</v>
      </c>
    </row>
    <row r="224" spans="2:13">
      <c r="B224" s="244"/>
      <c r="C224" s="245"/>
      <c r="D224" s="213"/>
      <c r="E224" s="245"/>
      <c r="F224" s="213"/>
      <c r="G224" s="246"/>
      <c r="H224" s="213" t="str">
        <f t="shared" si="63"/>
        <v>Mars</v>
      </c>
      <c r="I224" s="243"/>
      <c r="J224" s="213" t="str">
        <f t="shared" si="64"/>
        <v>Moon</v>
      </c>
      <c r="K224" s="243"/>
      <c r="L224" s="213" t="str">
        <f t="shared" si="65"/>
        <v>Mercury</v>
      </c>
      <c r="M224" s="239">
        <f t="shared" si="66"/>
        <v>38155.130078442606</v>
      </c>
    </row>
    <row r="225" spans="1:29">
      <c r="B225" s="244"/>
      <c r="C225" s="245"/>
      <c r="D225" s="213"/>
      <c r="E225" s="245"/>
      <c r="F225" s="213"/>
      <c r="G225" s="246"/>
      <c r="H225" s="213" t="str">
        <f t="shared" si="63"/>
        <v>Mars</v>
      </c>
      <c r="I225" s="243"/>
      <c r="J225" s="213" t="str">
        <f t="shared" si="64"/>
        <v>Moon</v>
      </c>
      <c r="K225" s="243"/>
      <c r="L225" s="213" t="str">
        <f t="shared" si="65"/>
        <v>Ketu</v>
      </c>
      <c r="M225" s="239">
        <f t="shared" si="66"/>
        <v>38155.143773151729</v>
      </c>
    </row>
    <row r="226" spans="1:29">
      <c r="B226" s="244"/>
      <c r="C226" s="245"/>
      <c r="D226" s="213"/>
      <c r="E226" s="245"/>
      <c r="F226" s="213"/>
      <c r="G226" s="246"/>
      <c r="H226" s="213" t="str">
        <f t="shared" si="63"/>
        <v>Mars</v>
      </c>
      <c r="I226" s="243"/>
      <c r="J226" s="213" t="str">
        <f t="shared" si="64"/>
        <v>Moon</v>
      </c>
      <c r="K226" s="243"/>
      <c r="L226" s="213" t="str">
        <f t="shared" si="65"/>
        <v>Venus</v>
      </c>
      <c r="M226" s="239">
        <f t="shared" si="66"/>
        <v>38155.1494121496</v>
      </c>
    </row>
    <row r="227" spans="1:29">
      <c r="B227" s="244"/>
      <c r="C227" s="245"/>
      <c r="D227" s="213"/>
      <c r="E227" s="245"/>
      <c r="F227" s="213"/>
      <c r="G227" s="246"/>
      <c r="H227" s="213" t="str">
        <f t="shared" si="63"/>
        <v>Mars</v>
      </c>
      <c r="I227" s="243"/>
      <c r="J227" s="213" t="str">
        <f t="shared" si="64"/>
        <v>Moon</v>
      </c>
      <c r="K227" s="243"/>
      <c r="L227" s="213" t="str">
        <f t="shared" si="65"/>
        <v>Sun</v>
      </c>
      <c r="M227" s="239">
        <f t="shared" si="66"/>
        <v>38155.165523572097</v>
      </c>
    </row>
    <row r="228" spans="1:29">
      <c r="B228" s="244"/>
      <c r="C228" s="245"/>
      <c r="D228" s="213"/>
      <c r="E228" s="245"/>
      <c r="F228" s="213"/>
      <c r="G228" s="246"/>
      <c r="H228" s="213" t="str">
        <f t="shared" si="63"/>
        <v>Mars</v>
      </c>
      <c r="I228" s="243"/>
      <c r="J228" s="213" t="str">
        <f t="shared" si="64"/>
        <v>Moon</v>
      </c>
      <c r="K228" s="243"/>
      <c r="L228" s="213" t="str">
        <f t="shared" si="65"/>
        <v>Moon</v>
      </c>
      <c r="M228" s="239">
        <f t="shared" si="66"/>
        <v>38155.170356998846</v>
      </c>
    </row>
    <row r="229" spans="1:29">
      <c r="M229" s="239">
        <f t="shared" si="66"/>
        <v>38155.178412710091</v>
      </c>
    </row>
    <row r="231" spans="1:29">
      <c r="E231" s="1328" t="s">
        <v>436</v>
      </c>
      <c r="F231" s="1328"/>
      <c r="G231" s="248">
        <v>1</v>
      </c>
      <c r="H231" s="249" t="s">
        <v>437</v>
      </c>
      <c r="I231" s="50"/>
      <c r="J231" s="50"/>
    </row>
    <row r="233" spans="1:29" s="250" customFormat="1" ht="15.75">
      <c r="A233" s="172" t="s">
        <v>438</v>
      </c>
      <c r="B233" s="173"/>
      <c r="C233" s="173"/>
      <c r="D233" s="173"/>
      <c r="E233" s="174"/>
      <c r="G233" s="1329" t="s">
        <v>439</v>
      </c>
      <c r="H233" s="1329"/>
      <c r="I233" s="1329"/>
      <c r="J233" s="1329"/>
      <c r="K233" s="174"/>
      <c r="M233" s="172" t="s">
        <v>440</v>
      </c>
      <c r="N233" s="173"/>
      <c r="O233" s="173"/>
      <c r="P233" s="173"/>
      <c r="Q233" s="174"/>
      <c r="S233" s="172" t="s">
        <v>441</v>
      </c>
      <c r="T233" s="173"/>
      <c r="U233" s="173"/>
      <c r="V233" s="173"/>
      <c r="W233" s="174"/>
      <c r="Y233" s="172" t="s">
        <v>442</v>
      </c>
      <c r="Z233" s="173"/>
      <c r="AA233" s="173"/>
      <c r="AB233" s="173"/>
      <c r="AC233" s="174"/>
    </row>
    <row r="234" spans="1:29">
      <c r="A234" s="175" t="str">
        <f>Basics!A9</f>
        <v>Moon</v>
      </c>
      <c r="B234" t="s">
        <v>374</v>
      </c>
      <c r="E234" s="176"/>
      <c r="G234" s="175" t="str">
        <f>Basics!A34</f>
        <v>Utpanna(5th) Star</v>
      </c>
      <c r="H234" t="s">
        <v>374</v>
      </c>
      <c r="K234" s="176"/>
      <c r="M234" s="175" t="str">
        <f>Basics!A35</f>
        <v>Kshema(4th) Star</v>
      </c>
      <c r="N234" t="s">
        <v>374</v>
      </c>
      <c r="Q234" s="176"/>
      <c r="S234" s="175" t="e">
        <f>#N/A</f>
        <v>#N/A</v>
      </c>
      <c r="T234" t="s">
        <v>374</v>
      </c>
      <c r="W234" s="176"/>
      <c r="Y234" s="175" t="str">
        <f>Basics!A7</f>
        <v>Lagna</v>
      </c>
      <c r="Z234" t="s">
        <v>374</v>
      </c>
      <c r="AC234" s="176"/>
    </row>
    <row r="235" spans="1:29">
      <c r="A235" s="177" t="s">
        <v>375</v>
      </c>
      <c r="B235" s="11">
        <f>VLOOKUP(A234,ChartInfo,7,0)</f>
        <v>53.015944444444443</v>
      </c>
      <c r="C235" s="11"/>
      <c r="D235" s="11"/>
      <c r="E235" s="176"/>
      <c r="G235" s="177" t="s">
        <v>375</v>
      </c>
      <c r="H235" s="11">
        <f>VLOOKUP(G234,ChartInfo,7,0)</f>
        <v>106.34927777777779</v>
      </c>
      <c r="I235" s="11"/>
      <c r="J235" s="11"/>
      <c r="K235" s="176"/>
      <c r="M235" s="177" t="s">
        <v>375</v>
      </c>
      <c r="N235" s="11">
        <f>VLOOKUP(M234,ChartInfo,7,0)</f>
        <v>93.015944444444443</v>
      </c>
      <c r="O235" s="11"/>
      <c r="P235" s="11"/>
      <c r="Q235" s="176"/>
      <c r="S235" s="177" t="s">
        <v>375</v>
      </c>
      <c r="T235" s="11" t="e">
        <f>VLOOKUP(S234,ChartInfo,7,0)</f>
        <v>#N/A</v>
      </c>
      <c r="U235" s="11"/>
      <c r="V235" s="11"/>
      <c r="W235" s="176"/>
      <c r="Y235" s="177" t="s">
        <v>375</v>
      </c>
      <c r="Z235" s="11">
        <f>VLOOKUP(Y234,ChartInfo,7,0)</f>
        <v>136.71151666666665</v>
      </c>
      <c r="AA235" s="11"/>
      <c r="AB235" s="11"/>
      <c r="AC235" s="176"/>
    </row>
    <row r="236" spans="1:29">
      <c r="A236" s="178" t="s">
        <v>376</v>
      </c>
      <c r="B236" t="str">
        <f>INDEX(DasaYears,D236+1,1)</f>
        <v>Moon</v>
      </c>
      <c r="D236">
        <f>MOD(FLOOR(B235/StarDeg,1),9)</f>
        <v>3</v>
      </c>
      <c r="E236" s="176">
        <f>INDEX(DasaYears,MOD(FLOOR(B235/StarDeg,1),9)+1,2)</f>
        <v>10</v>
      </c>
      <c r="G236" s="178" t="s">
        <v>376</v>
      </c>
      <c r="H236" t="str">
        <f>INDEX(DasaYears,J236+1,1)</f>
        <v>Saturn</v>
      </c>
      <c r="J236">
        <f>MOD(FLOOR(H235/StarDeg,1),9)</f>
        <v>7</v>
      </c>
      <c r="K236" s="176">
        <f>INDEX(DasaYears,MOD(FLOOR(H235/StarDeg,1),9)+1,2)</f>
        <v>19</v>
      </c>
      <c r="M236" s="178" t="s">
        <v>376</v>
      </c>
      <c r="N236" t="str">
        <f>INDEX(DasaYears,P236+1,1)</f>
        <v>Jupiter</v>
      </c>
      <c r="P236">
        <f>MOD(FLOOR(N235/StarDeg,1),9)</f>
        <v>6</v>
      </c>
      <c r="Q236" s="176">
        <f>INDEX(DasaYears,MOD(FLOOR(N235/StarDeg,1),9)+1,2)</f>
        <v>16</v>
      </c>
      <c r="S236" s="178" t="s">
        <v>376</v>
      </c>
      <c r="T236" t="e">
        <f>INDEX(DasaYears,V236+1,1)</f>
        <v>#N/A</v>
      </c>
      <c r="V236" t="e">
        <f>MOD(FLOOR(T235/StarDeg,1),9)</f>
        <v>#N/A</v>
      </c>
      <c r="W236" s="176" t="e">
        <f>INDEX(DasaYears,MOD(FLOOR(T235/StarDeg,1),9)+1,2)</f>
        <v>#N/A</v>
      </c>
      <c r="Y236" s="178" t="s">
        <v>376</v>
      </c>
      <c r="Z236" t="str">
        <f>INDEX(DasaYears,AB236+1,1)</f>
        <v>Venus</v>
      </c>
      <c r="AB236">
        <f>MOD(FLOOR(Z235/StarDeg,1),9)</f>
        <v>1</v>
      </c>
      <c r="AC236" s="176">
        <f>INDEX(DasaYears,MOD(FLOOR(Z235/StarDeg,1),9)+1,2)</f>
        <v>20</v>
      </c>
    </row>
    <row r="237" spans="1:29">
      <c r="A237" s="178" t="s">
        <v>377</v>
      </c>
      <c r="B237" s="1326">
        <f>((StarDeg-MOD(B235,StarDeg))/StarDeg)*E236</f>
        <v>0.23804166666666934</v>
      </c>
      <c r="C237" s="1326"/>
      <c r="D237" s="1326"/>
      <c r="E237" s="1326"/>
      <c r="G237" s="178" t="s">
        <v>377</v>
      </c>
      <c r="H237" s="1326">
        <f>((StarDeg-MOD(H235,StarDeg))/StarDeg)*K236</f>
        <v>0.45227916666666168</v>
      </c>
      <c r="I237" s="1326"/>
      <c r="J237" s="1326"/>
      <c r="K237" s="1326"/>
      <c r="M237" s="178" t="s">
        <v>377</v>
      </c>
      <c r="N237" s="1326">
        <f>((StarDeg-MOD(N235,StarDeg))/StarDeg)*Q236</f>
        <v>0.38086666666667313</v>
      </c>
      <c r="O237" s="1326"/>
      <c r="P237" s="1326"/>
      <c r="Q237" s="1326"/>
      <c r="S237" s="178" t="s">
        <v>377</v>
      </c>
      <c r="T237" s="1326" t="e">
        <f>((StarDeg-MOD(T235,StarDeg))/StarDeg)*W236</f>
        <v>#N/A</v>
      </c>
      <c r="U237" s="1326"/>
      <c r="V237" s="1326"/>
      <c r="W237" s="1326"/>
      <c r="Y237" s="178" t="s">
        <v>377</v>
      </c>
      <c r="Z237" s="1326">
        <f>((StarDeg-MOD(Z235,StarDeg))/StarDeg)*AC236</f>
        <v>14.93272500000003</v>
      </c>
      <c r="AA237" s="1326"/>
      <c r="AB237" s="1326"/>
      <c r="AC237" s="1326"/>
    </row>
    <row r="238" spans="1:29">
      <c r="A238" s="178" t="s">
        <v>378</v>
      </c>
      <c r="E238" s="176">
        <f>((MOD(B235,StarDeg))/StarDeg)*E236</f>
        <v>9.7619583333333306</v>
      </c>
      <c r="G238" s="178" t="s">
        <v>378</v>
      </c>
      <c r="K238" s="176">
        <f>((MOD(H235,StarDeg))/StarDeg)*K236</f>
        <v>18.547720833333337</v>
      </c>
      <c r="M238" s="178" t="s">
        <v>378</v>
      </c>
      <c r="Q238" s="176">
        <f>((MOD(N235,StarDeg))/StarDeg)*Q236</f>
        <v>15.619133333333327</v>
      </c>
      <c r="S238" s="178" t="s">
        <v>378</v>
      </c>
      <c r="W238" s="176" t="e">
        <f>((MOD(T235,StarDeg))/StarDeg)*W236</f>
        <v>#N/A</v>
      </c>
      <c r="Y238" s="178" t="s">
        <v>378</v>
      </c>
      <c r="AC238" s="176">
        <f>((MOD(Z235,StarDeg))/StarDeg)*AC236</f>
        <v>5.067274999999972</v>
      </c>
    </row>
    <row r="239" spans="1:29">
      <c r="A239" s="178" t="str">
        <f>INDEX(DasaYears,MOD(D236,9)+1,1)</f>
        <v>Moon</v>
      </c>
      <c r="B239" s="1327">
        <f>DoB</f>
        <v>26133.384143518517</v>
      </c>
      <c r="C239" s="1327"/>
      <c r="D239" s="1327"/>
      <c r="E239" s="1327"/>
      <c r="F239" s="251"/>
      <c r="G239" s="178" t="str">
        <f>INDEX(DasaYears,MOD(J236,9)+1,1)</f>
        <v>Saturn</v>
      </c>
      <c r="H239" s="1327">
        <f>DoB</f>
        <v>26133.384143518517</v>
      </c>
      <c r="I239" s="1327"/>
      <c r="J239" s="1327"/>
      <c r="K239" s="1327"/>
      <c r="M239" s="178" t="str">
        <f>INDEX(DasaYears,MOD(P236,9)+1,1)</f>
        <v>Jupiter</v>
      </c>
      <c r="N239" s="1327">
        <f>DoB</f>
        <v>26133.384143518517</v>
      </c>
      <c r="O239" s="1327"/>
      <c r="P239" s="1327"/>
      <c r="Q239" s="1327"/>
      <c r="S239" s="178" t="e">
        <f>INDEX(DasaYears,MOD(V236,9)+1,1)</f>
        <v>#N/A</v>
      </c>
      <c r="T239" s="1327">
        <f>DoB</f>
        <v>26133.384143518517</v>
      </c>
      <c r="U239" s="1327"/>
      <c r="V239" s="1327"/>
      <c r="W239" s="1327"/>
      <c r="Y239" s="178" t="str">
        <f>INDEX(DasaYears,MOD(AB236,9)+1,1)</f>
        <v>Venus</v>
      </c>
      <c r="Z239" s="1327">
        <f>DoB</f>
        <v>26133.384143518517</v>
      </c>
      <c r="AA239" s="1327"/>
      <c r="AB239" s="1327"/>
      <c r="AC239" s="1327"/>
    </row>
    <row r="240" spans="1:29">
      <c r="A240" s="178"/>
      <c r="E240" s="176"/>
      <c r="G240" s="178"/>
      <c r="K240" s="176"/>
      <c r="M240" s="178"/>
      <c r="Q240" s="176"/>
      <c r="S240" s="178"/>
      <c r="W240" s="176"/>
      <c r="Y240" s="178"/>
      <c r="AC240" s="176"/>
    </row>
    <row r="241" spans="1:29">
      <c r="A241" s="178"/>
      <c r="E241" s="176"/>
      <c r="G241" s="178"/>
      <c r="K241" s="176"/>
      <c r="M241" s="178"/>
      <c r="Q241" s="176"/>
      <c r="S241" s="178"/>
      <c r="W241" s="176"/>
      <c r="Y241" s="178"/>
      <c r="AC241" s="176"/>
    </row>
    <row r="242" spans="1:29" s="255" customFormat="1" ht="12.75">
      <c r="A242" s="201" t="str">
        <f>INDEX(DasaYears,MOD(D236,9)+1,1)</f>
        <v>Moon</v>
      </c>
      <c r="B242" s="252" t="str">
        <f>INDEX(DasaYears,MOD(D236,9)+1,1)</f>
        <v>Moon</v>
      </c>
      <c r="C242" s="252"/>
      <c r="D242" s="252"/>
      <c r="E242" s="253">
        <f t="shared" ref="E242:E250" si="67">E243-(VLOOKUP(A242,DasaYears,2,0)*VLOOKUP(B242,DasaYears,2,0)/VimTotal)*DaysInYear</f>
        <v>22567.781295318804</v>
      </c>
      <c r="F242" s="254"/>
      <c r="G242" s="201" t="str">
        <f>INDEX(DasaYears,MOD(J236,9)+1,1)</f>
        <v>Saturn</v>
      </c>
      <c r="H242" s="252" t="str">
        <f>INDEX(DasaYears,MOD(J236,9)+1,1)</f>
        <v>Saturn</v>
      </c>
      <c r="I242" s="252"/>
      <c r="J242" s="252"/>
      <c r="K242" s="253">
        <f t="shared" ref="K242:K250" si="68">K243-(VLOOKUP(G242,DasaYears,2,0)*VLOOKUP(H242,DasaYears,2,0)/VimTotal)*DaysInYear</f>
        <v>19358.738731939055</v>
      </c>
      <c r="M242" s="201" t="str">
        <f>INDEX(DasaYears,MOD(P236,9)+1,1)</f>
        <v>Jupiter</v>
      </c>
      <c r="N242" s="252" t="str">
        <f>INDEX(DasaYears,MOD(P236,9)+1,1)</f>
        <v>Jupiter</v>
      </c>
      <c r="O242" s="252"/>
      <c r="P242" s="252"/>
      <c r="Q242" s="253">
        <f t="shared" ref="Q242:Q250" si="69">Q243-(VLOOKUP(M242,DasaYears,2,0)*VLOOKUP(N242,DasaYears,2,0)/VimTotal)*DaysInYear</f>
        <v>20428.419586398973</v>
      </c>
      <c r="S242" s="201" t="e">
        <f>INDEX(DasaYears,MOD(V236,9)+1,1)</f>
        <v>#N/A</v>
      </c>
      <c r="T242" s="252" t="e">
        <f>INDEX(DasaYears,MOD(V236,9)+1,1)</f>
        <v>#N/A</v>
      </c>
      <c r="U242" s="252"/>
      <c r="V242" s="252"/>
      <c r="W242" s="253" t="e">
        <f t="shared" ref="W242:W250" si="70">W243-(VLOOKUP(S242,DasaYears,2,0)*VLOOKUP(T242,DasaYears,2,0)/VimTotal)*DaysInYear</f>
        <v>#N/A</v>
      </c>
      <c r="Y242" s="201" t="str">
        <f>INDEX(DasaYears,MOD(AB236,9)+1,1)</f>
        <v>Venus</v>
      </c>
      <c r="Z242" s="252" t="str">
        <f>INDEX(DasaYears,MOD(AB236,9)+1,1)</f>
        <v>Venus</v>
      </c>
      <c r="AA242" s="252"/>
      <c r="AB242" s="252"/>
      <c r="AC242" s="253">
        <f t="shared" ref="AC242:AC250" si="71">AC243-(VLOOKUP(Y242,DasaYears,2,0)*VLOOKUP(Z242,DasaYears,2,0)/VimTotal)*DaysInYear</f>
        <v>24282.53725853272</v>
      </c>
    </row>
    <row r="243" spans="1:29" s="255" customFormat="1" ht="12.75">
      <c r="A243" s="201" t="str">
        <f t="shared" ref="A243:A250" si="72">A242</f>
        <v>Moon</v>
      </c>
      <c r="B243" s="252" t="str">
        <f>INDEX(DasaYears,MOD(D236-8,9)+1,1)</f>
        <v>Mars</v>
      </c>
      <c r="C243" s="252"/>
      <c r="D243" s="252"/>
      <c r="E243" s="253">
        <f t="shared" si="67"/>
        <v>22872.160355889788</v>
      </c>
      <c r="F243" s="254"/>
      <c r="G243" s="201" t="str">
        <f t="shared" ref="G243:G250" si="73">G242</f>
        <v>Saturn</v>
      </c>
      <c r="H243" s="252" t="str">
        <f>INDEX(DasaYears,MOD(J236-8,9)+1,1)</f>
        <v>Mercury</v>
      </c>
      <c r="I243" s="252"/>
      <c r="J243" s="252"/>
      <c r="K243" s="253">
        <f t="shared" si="68"/>
        <v>20457.547140600309</v>
      </c>
      <c r="M243" s="201" t="str">
        <f t="shared" ref="M243:M250" si="74">M242</f>
        <v>Jupiter</v>
      </c>
      <c r="N243" s="252" t="str">
        <f>INDEX(DasaYears,MOD(P236-8,9)+1,1)</f>
        <v>Saturn</v>
      </c>
      <c r="O243" s="252"/>
      <c r="P243" s="252"/>
      <c r="Q243" s="253">
        <f t="shared" si="69"/>
        <v>21207.629981460694</v>
      </c>
      <c r="S243" s="201" t="e">
        <f t="shared" ref="S243:S250" si="75">S242</f>
        <v>#N/A</v>
      </c>
      <c r="T243" s="252" t="e">
        <f>INDEX(DasaYears,MOD(V236-8,9)+1,1)</f>
        <v>#N/A</v>
      </c>
      <c r="U243" s="252"/>
      <c r="V243" s="252"/>
      <c r="W243" s="253" t="e">
        <f t="shared" si="70"/>
        <v>#N/A</v>
      </c>
      <c r="Y243" s="201" t="str">
        <f t="shared" ref="Y243:Y250" si="76">Y242</f>
        <v>Venus</v>
      </c>
      <c r="Z243" s="252" t="str">
        <f>INDEX(DasaYears,MOD(AB236-8,9)+1,1)</f>
        <v>Sun</v>
      </c>
      <c r="AA243" s="252"/>
      <c r="AB243" s="252"/>
      <c r="AC243" s="253">
        <f t="shared" si="71"/>
        <v>25500.053500816659</v>
      </c>
    </row>
    <row r="244" spans="1:29" s="255" customFormat="1" ht="12.75">
      <c r="A244" s="201" t="str">
        <f t="shared" si="72"/>
        <v>Moon</v>
      </c>
      <c r="B244" s="252" t="str">
        <f>INDEX(DasaYears,MOD(D236-7,9)+1,1)</f>
        <v>Rahu</v>
      </c>
      <c r="C244" s="252"/>
      <c r="D244" s="252"/>
      <c r="E244" s="253">
        <f t="shared" si="67"/>
        <v>23085.225698289476</v>
      </c>
      <c r="F244" s="254"/>
      <c r="G244" s="201" t="str">
        <f t="shared" si="73"/>
        <v>Saturn</v>
      </c>
      <c r="H244" s="252" t="str">
        <f>INDEX(DasaYears,MOD(J236-7,9)+1,1)</f>
        <v>Ketu</v>
      </c>
      <c r="I244" s="252"/>
      <c r="J244" s="252"/>
      <c r="K244" s="253">
        <f t="shared" si="68"/>
        <v>21440.691506244591</v>
      </c>
      <c r="M244" s="201" t="str">
        <f t="shared" si="74"/>
        <v>Jupiter</v>
      </c>
      <c r="N244" s="252" t="str">
        <f>INDEX(DasaYears,MOD(P236-7,9)+1,1)</f>
        <v>Mercury</v>
      </c>
      <c r="O244" s="252"/>
      <c r="P244" s="252"/>
      <c r="Q244" s="253">
        <f t="shared" si="69"/>
        <v>22132.942325596487</v>
      </c>
      <c r="S244" s="201" t="e">
        <f t="shared" si="75"/>
        <v>#N/A</v>
      </c>
      <c r="T244" s="252" t="e">
        <f>INDEX(DasaYears,MOD(V236-7,9)+1,1)</f>
        <v>#N/A</v>
      </c>
      <c r="U244" s="252"/>
      <c r="V244" s="252"/>
      <c r="W244" s="253" t="e">
        <f t="shared" si="70"/>
        <v>#N/A</v>
      </c>
      <c r="Y244" s="201" t="str">
        <f t="shared" si="76"/>
        <v>Venus</v>
      </c>
      <c r="Z244" s="252" t="str">
        <f>INDEX(DasaYears,MOD(AB236-7,9)+1,1)</f>
        <v>Moon</v>
      </c>
      <c r="AA244" s="252"/>
      <c r="AB244" s="252"/>
      <c r="AC244" s="253">
        <f t="shared" si="71"/>
        <v>25865.308373501841</v>
      </c>
    </row>
    <row r="245" spans="1:29" s="255" customFormat="1" ht="12.75">
      <c r="A245" s="201" t="str">
        <f t="shared" si="72"/>
        <v>Moon</v>
      </c>
      <c r="B245" s="252" t="str">
        <f>INDEX(DasaYears,MOD(D236-6,9)+1,1)</f>
        <v>Jupiter</v>
      </c>
      <c r="C245" s="252"/>
      <c r="D245" s="252"/>
      <c r="E245" s="253">
        <f t="shared" si="67"/>
        <v>23633.108007317249</v>
      </c>
      <c r="F245" s="254"/>
      <c r="G245" s="201" t="str">
        <f t="shared" si="73"/>
        <v>Saturn</v>
      </c>
      <c r="H245" s="252" t="str">
        <f>INDEX(DasaYears,MOD(J236-6,9)+1,1)</f>
        <v>Venus</v>
      </c>
      <c r="I245" s="252"/>
      <c r="J245" s="252"/>
      <c r="K245" s="253">
        <f t="shared" si="68"/>
        <v>21845.515656804</v>
      </c>
      <c r="M245" s="201" t="str">
        <f t="shared" si="74"/>
        <v>Jupiter</v>
      </c>
      <c r="N245" s="252" t="str">
        <f>INDEX(DasaYears,MOD(P236-6,9)+1,1)</f>
        <v>Ketu</v>
      </c>
      <c r="O245" s="252"/>
      <c r="P245" s="252"/>
      <c r="Q245" s="253">
        <f t="shared" si="69"/>
        <v>22960.853370349567</v>
      </c>
      <c r="S245" s="201" t="e">
        <f t="shared" si="75"/>
        <v>#N/A</v>
      </c>
      <c r="T245" s="252" t="e">
        <f>INDEX(DasaYears,MOD(V236-6,9)+1,1)</f>
        <v>#N/A</v>
      </c>
      <c r="U245" s="252"/>
      <c r="V245" s="252"/>
      <c r="W245" s="253" t="e">
        <f t="shared" si="70"/>
        <v>#N/A</v>
      </c>
      <c r="Y245" s="201" t="str">
        <f t="shared" si="76"/>
        <v>Venus</v>
      </c>
      <c r="Z245" s="252" t="str">
        <f>INDEX(DasaYears,MOD(AB236-6,9)+1,1)</f>
        <v>Mars</v>
      </c>
      <c r="AA245" s="252"/>
      <c r="AB245" s="252"/>
      <c r="AC245" s="253">
        <f t="shared" si="71"/>
        <v>26474.066494643812</v>
      </c>
    </row>
    <row r="246" spans="1:29" s="255" customFormat="1" ht="12.75">
      <c r="A246" s="201" t="str">
        <f t="shared" si="72"/>
        <v>Moon</v>
      </c>
      <c r="B246" s="252" t="str">
        <f>INDEX(DasaYears,MOD(D236-5,9)+1,1)</f>
        <v>Saturn</v>
      </c>
      <c r="C246" s="252"/>
      <c r="D246" s="252"/>
      <c r="E246" s="253">
        <f t="shared" si="67"/>
        <v>24120.114504230824</v>
      </c>
      <c r="F246" s="254"/>
      <c r="G246" s="201" t="str">
        <f t="shared" si="73"/>
        <v>Saturn</v>
      </c>
      <c r="H246" s="252" t="str">
        <f>INDEX(DasaYears,MOD(J236-5,9)+1,1)</f>
        <v>Sun</v>
      </c>
      <c r="I246" s="252"/>
      <c r="J246" s="252"/>
      <c r="K246" s="253">
        <f t="shared" si="68"/>
        <v>23002.156086973744</v>
      </c>
      <c r="M246" s="201" t="str">
        <f t="shared" si="74"/>
        <v>Jupiter</v>
      </c>
      <c r="N246" s="252" t="str">
        <f>INDEX(DasaYears,MOD(P236-5,9)+1,1)</f>
        <v>Venus</v>
      </c>
      <c r="O246" s="252"/>
      <c r="P246" s="252"/>
      <c r="Q246" s="253">
        <f t="shared" si="69"/>
        <v>23301.757918189069</v>
      </c>
      <c r="S246" s="201" t="e">
        <f t="shared" si="75"/>
        <v>#N/A</v>
      </c>
      <c r="T246" s="252" t="e">
        <f>INDEX(DasaYears,MOD(V236-5,9)+1,1)</f>
        <v>#N/A</v>
      </c>
      <c r="U246" s="252"/>
      <c r="V246" s="252"/>
      <c r="W246" s="253" t="e">
        <f t="shared" si="70"/>
        <v>#N/A</v>
      </c>
      <c r="Y246" s="201" t="str">
        <f t="shared" si="76"/>
        <v>Venus</v>
      </c>
      <c r="Z246" s="252" t="str">
        <f>INDEX(DasaYears,MOD(AB236-5,9)+1,1)</f>
        <v>Rahu</v>
      </c>
      <c r="AA246" s="252"/>
      <c r="AB246" s="252"/>
      <c r="AC246" s="253">
        <f t="shared" si="71"/>
        <v>26900.197179443192</v>
      </c>
    </row>
    <row r="247" spans="1:29" s="255" customFormat="1" ht="12.75">
      <c r="A247" s="201" t="str">
        <f t="shared" si="72"/>
        <v>Moon</v>
      </c>
      <c r="B247" s="252" t="str">
        <f>INDEX(DasaYears,MOD(D236-4,9)+1,1)</f>
        <v>Mercury</v>
      </c>
      <c r="C247" s="252"/>
      <c r="D247" s="252"/>
      <c r="E247" s="253">
        <f t="shared" si="67"/>
        <v>24698.434719315694</v>
      </c>
      <c r="F247" s="254"/>
      <c r="G247" s="201" t="str">
        <f t="shared" si="73"/>
        <v>Saturn</v>
      </c>
      <c r="H247" s="252" t="str">
        <f>INDEX(DasaYears,MOD(J236-4,9)+1,1)</f>
        <v>Moon</v>
      </c>
      <c r="I247" s="252"/>
      <c r="J247" s="252"/>
      <c r="K247" s="253">
        <f t="shared" si="68"/>
        <v>23349.148216024667</v>
      </c>
      <c r="M247" s="201" t="str">
        <f t="shared" si="74"/>
        <v>Jupiter</v>
      </c>
      <c r="N247" s="252" t="str">
        <f>INDEX(DasaYears,MOD(P236-4,9)+1,1)</f>
        <v>Sun</v>
      </c>
      <c r="O247" s="252"/>
      <c r="P247" s="252"/>
      <c r="Q247" s="253">
        <f t="shared" si="69"/>
        <v>24275.770912016222</v>
      </c>
      <c r="S247" s="201" t="e">
        <f t="shared" si="75"/>
        <v>#N/A</v>
      </c>
      <c r="T247" s="252" t="e">
        <f>INDEX(DasaYears,MOD(V236-4,9)+1,1)</f>
        <v>#N/A</v>
      </c>
      <c r="U247" s="252"/>
      <c r="V247" s="252"/>
      <c r="W247" s="253" t="e">
        <f t="shared" si="70"/>
        <v>#N/A</v>
      </c>
      <c r="Y247" s="201" t="str">
        <f t="shared" si="76"/>
        <v>Venus</v>
      </c>
      <c r="Z247" s="252" t="str">
        <f>INDEX(DasaYears,MOD(AB236-4,9)+1,1)</f>
        <v>Jupiter</v>
      </c>
      <c r="AA247" s="252"/>
      <c r="AB247" s="252"/>
      <c r="AC247" s="253">
        <f t="shared" si="71"/>
        <v>27995.961797498738</v>
      </c>
    </row>
    <row r="248" spans="1:29" s="255" customFormat="1" ht="12.75">
      <c r="A248" s="201" t="str">
        <f t="shared" si="72"/>
        <v>Moon</v>
      </c>
      <c r="B248" s="252" t="str">
        <f>INDEX(DasaYears,MOD(D236-3,9)+1,1)</f>
        <v>Ketu</v>
      </c>
      <c r="C248" s="252"/>
      <c r="D248" s="252"/>
      <c r="E248" s="253">
        <f t="shared" si="67"/>
        <v>25215.879122286369</v>
      </c>
      <c r="F248" s="254"/>
      <c r="G248" s="201" t="str">
        <f t="shared" si="73"/>
        <v>Saturn</v>
      </c>
      <c r="H248" s="252" t="str">
        <f>INDEX(DasaYears,MOD(J236-3,9)+1,1)</f>
        <v>Mars</v>
      </c>
      <c r="I248" s="252"/>
      <c r="J248" s="252"/>
      <c r="K248" s="253">
        <f t="shared" si="68"/>
        <v>23927.468431109537</v>
      </c>
      <c r="M248" s="201" t="str">
        <f t="shared" si="74"/>
        <v>Jupiter</v>
      </c>
      <c r="N248" s="252" t="str">
        <f>INDEX(DasaYears,MOD(P236-3,9)+1,1)</f>
        <v>Moon</v>
      </c>
      <c r="O248" s="252"/>
      <c r="P248" s="252"/>
      <c r="Q248" s="253">
        <f t="shared" si="69"/>
        <v>24567.974810164367</v>
      </c>
      <c r="S248" s="201" t="e">
        <f t="shared" si="75"/>
        <v>#N/A</v>
      </c>
      <c r="T248" s="252" t="e">
        <f>INDEX(DasaYears,MOD(V236-3,9)+1,1)</f>
        <v>#N/A</v>
      </c>
      <c r="U248" s="252"/>
      <c r="V248" s="252"/>
      <c r="W248" s="253" t="e">
        <f t="shared" si="70"/>
        <v>#N/A</v>
      </c>
      <c r="Y248" s="201" t="str">
        <f t="shared" si="76"/>
        <v>Venus</v>
      </c>
      <c r="Z248" s="252" t="str">
        <f>INDEX(DasaYears,MOD(AB236-3,9)+1,1)</f>
        <v>Saturn</v>
      </c>
      <c r="AA248" s="252"/>
      <c r="AB248" s="252"/>
      <c r="AC248" s="253">
        <f t="shared" si="71"/>
        <v>28969.974791325891</v>
      </c>
    </row>
    <row r="249" spans="1:29" s="255" customFormat="1" ht="12.75">
      <c r="A249" s="201" t="str">
        <f t="shared" si="72"/>
        <v>Moon</v>
      </c>
      <c r="B249" s="252" t="str">
        <f>INDEX(DasaYears,MOD(D236-2,9)+1,1)</f>
        <v>Venus</v>
      </c>
      <c r="C249" s="252"/>
      <c r="D249" s="252"/>
      <c r="E249" s="253">
        <f t="shared" si="67"/>
        <v>25428.944464686057</v>
      </c>
      <c r="F249" s="254"/>
      <c r="G249" s="201" t="str">
        <f t="shared" si="73"/>
        <v>Saturn</v>
      </c>
      <c r="H249" s="252" t="str">
        <f>INDEX(DasaYears,MOD(J236-2,9)+1,1)</f>
        <v>Rahu</v>
      </c>
      <c r="I249" s="252"/>
      <c r="J249" s="252"/>
      <c r="K249" s="253">
        <f t="shared" si="68"/>
        <v>24332.292581668946</v>
      </c>
      <c r="M249" s="201" t="str">
        <f t="shared" si="74"/>
        <v>Jupiter</v>
      </c>
      <c r="N249" s="252" t="str">
        <f>INDEX(DasaYears,MOD(P236-2,9)+1,1)</f>
        <v>Mars</v>
      </c>
      <c r="O249" s="252"/>
      <c r="P249" s="252"/>
      <c r="Q249" s="253">
        <f t="shared" si="69"/>
        <v>25054.981307077942</v>
      </c>
      <c r="S249" s="201" t="e">
        <f t="shared" si="75"/>
        <v>#N/A</v>
      </c>
      <c r="T249" s="252" t="e">
        <f>INDEX(DasaYears,MOD(V236-2,9)+1,1)</f>
        <v>#N/A</v>
      </c>
      <c r="U249" s="252"/>
      <c r="V249" s="252"/>
      <c r="W249" s="253" t="e">
        <f t="shared" si="70"/>
        <v>#N/A</v>
      </c>
      <c r="Y249" s="201" t="str">
        <f t="shared" si="76"/>
        <v>Venus</v>
      </c>
      <c r="Z249" s="252" t="str">
        <f>INDEX(DasaYears,MOD(AB236-2,9)+1,1)</f>
        <v>Mercury</v>
      </c>
      <c r="AA249" s="252"/>
      <c r="AB249" s="252"/>
      <c r="AC249" s="253">
        <f t="shared" si="71"/>
        <v>30126.615221495635</v>
      </c>
    </row>
    <row r="250" spans="1:29" s="255" customFormat="1" ht="12.75">
      <c r="A250" s="201" t="str">
        <f t="shared" si="72"/>
        <v>Moon</v>
      </c>
      <c r="B250" s="255" t="str">
        <f>INDEX(DasaYears,MOD(D236-1,9)+1,1)</f>
        <v>Sun</v>
      </c>
      <c r="C250" s="252"/>
      <c r="D250" s="252"/>
      <c r="E250" s="253">
        <f t="shared" si="67"/>
        <v>26037.702585828029</v>
      </c>
      <c r="F250" s="254"/>
      <c r="G250" s="201" t="str">
        <f t="shared" si="73"/>
        <v>Saturn</v>
      </c>
      <c r="H250" s="255" t="str">
        <f>INDEX(DasaYears,MOD(J236-1,9)+1,1)</f>
        <v>Jupiter</v>
      </c>
      <c r="I250" s="252"/>
      <c r="J250" s="252"/>
      <c r="K250" s="253">
        <f t="shared" si="68"/>
        <v>25373.268968821714</v>
      </c>
      <c r="M250" s="201" t="str">
        <f t="shared" si="74"/>
        <v>Jupiter</v>
      </c>
      <c r="N250" s="255" t="str">
        <f>INDEX(DasaYears,MOD(P236-1,9)+1,1)</f>
        <v>Rahu</v>
      </c>
      <c r="O250" s="252"/>
      <c r="P250" s="252"/>
      <c r="Q250" s="253">
        <f t="shared" si="69"/>
        <v>25395.885854917444</v>
      </c>
      <c r="S250" s="201" t="e">
        <f t="shared" si="75"/>
        <v>#N/A</v>
      </c>
      <c r="T250" s="255" t="e">
        <f>INDEX(DasaYears,MOD(V236-1,9)+1,1)</f>
        <v>#N/A</v>
      </c>
      <c r="U250" s="252"/>
      <c r="V250" s="252"/>
      <c r="W250" s="253" t="e">
        <f t="shared" si="70"/>
        <v>#N/A</v>
      </c>
      <c r="Y250" s="201" t="str">
        <f t="shared" si="76"/>
        <v>Venus</v>
      </c>
      <c r="Z250" s="255" t="str">
        <f>INDEX(DasaYears,MOD(AB236-1,9)+1,1)</f>
        <v>Ketu</v>
      </c>
      <c r="AA250" s="252"/>
      <c r="AB250" s="252"/>
      <c r="AC250" s="253">
        <f t="shared" si="71"/>
        <v>31161.504027436982</v>
      </c>
    </row>
    <row r="251" spans="1:29" s="214" customFormat="1" ht="12.75">
      <c r="A251" s="182" t="str">
        <f>INDEX(DasaYears,MOD(D236+1,9)+1,1)</f>
        <v>Mars</v>
      </c>
      <c r="C251" s="236"/>
      <c r="D251" s="236"/>
      <c r="E251" s="230">
        <f>B239+(B237*DaysInYear)</f>
        <v>26220.330022170619</v>
      </c>
      <c r="F251" s="232"/>
      <c r="G251" s="182" t="str">
        <f>INDEX(DasaYears,MOD(J236+1,9)+1,1)</f>
        <v>Mercury</v>
      </c>
      <c r="I251" s="236"/>
      <c r="J251" s="236"/>
      <c r="K251" s="230">
        <f>H239+(H237*DaysInYear)</f>
        <v>26298.581312957507</v>
      </c>
      <c r="M251" s="182" t="str">
        <f>INDEX(DasaYears,MOD(P236+1,9)+1,1)</f>
        <v>Saturn</v>
      </c>
      <c r="O251" s="236"/>
      <c r="P251" s="236"/>
      <c r="Q251" s="230">
        <f>N239+(N237*DaysInYear)</f>
        <v>26272.49754936188</v>
      </c>
      <c r="S251" s="182" t="e">
        <f>INDEX(DasaYears,MOD(V236+1,9)+1,1)</f>
        <v>#N/A</v>
      </c>
      <c r="U251" s="236"/>
      <c r="V251" s="236"/>
      <c r="W251" s="230" t="e">
        <f>T239+(T237*DaysInYear)</f>
        <v>#N/A</v>
      </c>
      <c r="Y251" s="182" t="str">
        <f>INDEX(DasaYears,MOD(AB236+1,9)+1,1)</f>
        <v>Sun</v>
      </c>
      <c r="AA251" s="236"/>
      <c r="AB251" s="236"/>
      <c r="AC251" s="230">
        <f>Z239+(Z237*DaysInYear)</f>
        <v>31587.634712236362</v>
      </c>
    </row>
    <row r="252" spans="1:29" s="214" customFormat="1" ht="12.75">
      <c r="A252" s="182" t="str">
        <f t="shared" ref="A252:A259" si="77">A251</f>
        <v>Mars</v>
      </c>
      <c r="B252" s="236" t="str">
        <f>INDEX(DasaYears,MOD(D236-7,9)+1,1)</f>
        <v>Rahu</v>
      </c>
      <c r="C252" s="236"/>
      <c r="D252" s="236"/>
      <c r="E252" s="230">
        <f t="shared" ref="E252:E259" si="78">E253-(VLOOKUP(A252,DasaYears,2,0)*VLOOKUP(B252,DasaYears,2,0)/VimTotal)*DaysInYear</f>
        <v>26369.475761850405</v>
      </c>
      <c r="F252" s="232"/>
      <c r="G252" s="182" t="str">
        <f t="shared" ref="G252:G259" si="79">G251</f>
        <v>Mercury</v>
      </c>
      <c r="H252" s="236" t="str">
        <f>INDEX(DasaYears,MOD(J236-7,9)+1,1)</f>
        <v>Ketu</v>
      </c>
      <c r="I252" s="236"/>
      <c r="J252" s="236"/>
      <c r="K252" s="230">
        <f t="shared" ref="K252:K259" si="80">K253-(VLOOKUP(G252,DasaYears,2,0)*VLOOKUP(H252,DasaYears,2,0)/VimTotal)*DaysInYear</f>
        <v>27178.236798007652</v>
      </c>
      <c r="M252" s="182" t="str">
        <f t="shared" ref="M252:M259" si="81">M251</f>
        <v>Saturn</v>
      </c>
      <c r="N252" s="236" t="str">
        <f>INDEX(DasaYears,MOD(P236-7,9)+1,1)</f>
        <v>Mercury</v>
      </c>
      <c r="O252" s="236"/>
      <c r="P252" s="236"/>
      <c r="Q252" s="230">
        <f t="shared" ref="Q252:Q259" si="82">Q253-(VLOOKUP(M252,DasaYears,2,0)*VLOOKUP(N252,DasaYears,2,0)/VimTotal)*DaysInYear</f>
        <v>27371.305958023142</v>
      </c>
      <c r="S252" s="182" t="e">
        <f t="shared" ref="S252:S259" si="83">S251</f>
        <v>#N/A</v>
      </c>
      <c r="T252" s="236" t="e">
        <f>INDEX(DasaYears,MOD(V236-7,9)+1,1)</f>
        <v>#N/A</v>
      </c>
      <c r="U252" s="236"/>
      <c r="V252" s="236"/>
      <c r="W252" s="230" t="e">
        <f t="shared" ref="W252:W259" si="84">W253-(VLOOKUP(S252,DasaYears,2,0)*VLOOKUP(T252,DasaYears,2,0)/VimTotal)*DaysInYear</f>
        <v>#N/A</v>
      </c>
      <c r="Y252" s="182" t="str">
        <f t="shared" ref="Y252:Y259" si="85">Y251</f>
        <v>Sun</v>
      </c>
      <c r="Z252" s="236" t="str">
        <f>INDEX(DasaYears,MOD(AB236-7,9)+1,1)</f>
        <v>Moon</v>
      </c>
      <c r="AA252" s="236"/>
      <c r="AB252" s="236"/>
      <c r="AC252" s="230">
        <f t="shared" ref="AC252:AC259" si="86">AC253-(VLOOKUP(Y252,DasaYears,2,0)*VLOOKUP(Z252,DasaYears,2,0)/VimTotal)*DaysInYear</f>
        <v>31697.21117404192</v>
      </c>
    </row>
    <row r="253" spans="1:29" s="214" customFormat="1" ht="12.75">
      <c r="A253" s="182" t="str">
        <f t="shared" si="77"/>
        <v>Mars</v>
      </c>
      <c r="B253" s="236" t="str">
        <f>INDEX(DasaYears,MOD(D236-6,9)+1,1)</f>
        <v>Jupiter</v>
      </c>
      <c r="C253" s="236"/>
      <c r="D253" s="236"/>
      <c r="E253" s="230">
        <f t="shared" si="78"/>
        <v>26752.993378169846</v>
      </c>
      <c r="F253" s="232"/>
      <c r="G253" s="182" t="str">
        <f t="shared" si="79"/>
        <v>Mercury</v>
      </c>
      <c r="H253" s="236" t="str">
        <f>INDEX(DasaYears,MOD(J236-6,9)+1,1)</f>
        <v>Venus</v>
      </c>
      <c r="I253" s="236"/>
      <c r="J253" s="236"/>
      <c r="K253" s="230">
        <f t="shared" si="80"/>
        <v>27540.447880087126</v>
      </c>
      <c r="M253" s="182" t="str">
        <f t="shared" si="81"/>
        <v>Saturn</v>
      </c>
      <c r="N253" s="236" t="str">
        <f>INDEX(DasaYears,MOD(P236-6,9)+1,1)</f>
        <v>Ketu</v>
      </c>
      <c r="O253" s="236"/>
      <c r="P253" s="236"/>
      <c r="Q253" s="230">
        <f t="shared" si="82"/>
        <v>28354.450323667425</v>
      </c>
      <c r="S253" s="182" t="e">
        <f t="shared" si="83"/>
        <v>#N/A</v>
      </c>
      <c r="T253" s="236" t="e">
        <f>INDEX(DasaYears,MOD(V236-6,9)+1,1)</f>
        <v>#N/A</v>
      </c>
      <c r="U253" s="236"/>
      <c r="V253" s="236"/>
      <c r="W253" s="230" t="e">
        <f t="shared" si="84"/>
        <v>#N/A</v>
      </c>
      <c r="Y253" s="182" t="str">
        <f t="shared" si="85"/>
        <v>Sun</v>
      </c>
      <c r="Z253" s="236" t="str">
        <f>INDEX(DasaYears,MOD(AB236-6,9)+1,1)</f>
        <v>Mars</v>
      </c>
      <c r="AA253" s="236"/>
      <c r="AB253" s="236"/>
      <c r="AC253" s="230">
        <f t="shared" si="86"/>
        <v>31879.838610384511</v>
      </c>
    </row>
    <row r="254" spans="1:29" s="214" customFormat="1" ht="12.75">
      <c r="A254" s="182" t="str">
        <f t="shared" si="77"/>
        <v>Mars</v>
      </c>
      <c r="B254" s="236" t="str">
        <f>INDEX(DasaYears,MOD(D236-5,9)+1,1)</f>
        <v>Saturn</v>
      </c>
      <c r="C254" s="236"/>
      <c r="D254" s="236"/>
      <c r="E254" s="230">
        <f t="shared" si="78"/>
        <v>27093.897926009347</v>
      </c>
      <c r="F254" s="232"/>
      <c r="G254" s="182" t="str">
        <f t="shared" si="79"/>
        <v>Mercury</v>
      </c>
      <c r="H254" s="236" t="str">
        <f>INDEX(DasaYears,MOD(J236-5,9)+1,1)</f>
        <v>Sun</v>
      </c>
      <c r="I254" s="236"/>
      <c r="J254" s="236"/>
      <c r="K254" s="230">
        <f t="shared" si="80"/>
        <v>28575.336686028473</v>
      </c>
      <c r="M254" s="182" t="str">
        <f t="shared" si="81"/>
        <v>Saturn</v>
      </c>
      <c r="N254" s="236" t="str">
        <f>INDEX(DasaYears,MOD(P236-5,9)+1,1)</f>
        <v>Venus</v>
      </c>
      <c r="O254" s="236"/>
      <c r="P254" s="236"/>
      <c r="Q254" s="230">
        <f t="shared" si="82"/>
        <v>28759.274474226833</v>
      </c>
      <c r="S254" s="182" t="e">
        <f t="shared" si="83"/>
        <v>#N/A</v>
      </c>
      <c r="T254" s="236" t="e">
        <f>INDEX(DasaYears,MOD(V236-5,9)+1,1)</f>
        <v>#N/A</v>
      </c>
      <c r="U254" s="236"/>
      <c r="V254" s="236"/>
      <c r="W254" s="230" t="e">
        <f t="shared" si="84"/>
        <v>#N/A</v>
      </c>
      <c r="Y254" s="182" t="str">
        <f t="shared" si="85"/>
        <v>Sun</v>
      </c>
      <c r="Z254" s="236" t="str">
        <f>INDEX(DasaYears,MOD(AB236-5,9)+1,1)</f>
        <v>Rahu</v>
      </c>
      <c r="AA254" s="236"/>
      <c r="AB254" s="236"/>
      <c r="AC254" s="230">
        <f t="shared" si="86"/>
        <v>32007.677815824325</v>
      </c>
    </row>
    <row r="255" spans="1:29" s="214" customFormat="1" ht="12.75">
      <c r="A255" s="182" t="str">
        <f t="shared" si="77"/>
        <v>Mars</v>
      </c>
      <c r="B255" s="236" t="str">
        <f>INDEX(DasaYears,MOD(D236-4,9)+1,1)</f>
        <v>Mercury</v>
      </c>
      <c r="C255" s="236"/>
      <c r="D255" s="236"/>
      <c r="E255" s="230">
        <f t="shared" si="78"/>
        <v>27498.722076568756</v>
      </c>
      <c r="F255" s="232"/>
      <c r="G255" s="182" t="str">
        <f t="shared" si="79"/>
        <v>Mercury</v>
      </c>
      <c r="H255" s="236" t="str">
        <f>INDEX(DasaYears,MOD(J236-4,9)+1,1)</f>
        <v>Moon</v>
      </c>
      <c r="I255" s="236"/>
      <c r="J255" s="236"/>
      <c r="K255" s="230">
        <f t="shared" si="80"/>
        <v>28885.803327810878</v>
      </c>
      <c r="M255" s="182" t="str">
        <f t="shared" si="81"/>
        <v>Saturn</v>
      </c>
      <c r="N255" s="236" t="str">
        <f>INDEX(DasaYears,MOD(P236-4,9)+1,1)</f>
        <v>Sun</v>
      </c>
      <c r="O255" s="236"/>
      <c r="P255" s="236"/>
      <c r="Q255" s="230">
        <f t="shared" si="82"/>
        <v>29915.914904396577</v>
      </c>
      <c r="S255" s="182" t="e">
        <f t="shared" si="83"/>
        <v>#N/A</v>
      </c>
      <c r="T255" s="236" t="e">
        <f>INDEX(DasaYears,MOD(V236-4,9)+1,1)</f>
        <v>#N/A</v>
      </c>
      <c r="U255" s="236"/>
      <c r="V255" s="236"/>
      <c r="W255" s="230" t="e">
        <f t="shared" si="84"/>
        <v>#N/A</v>
      </c>
      <c r="Y255" s="182" t="str">
        <f t="shared" si="85"/>
        <v>Sun</v>
      </c>
      <c r="Z255" s="236" t="str">
        <f>INDEX(DasaYears,MOD(AB236-4,9)+1,1)</f>
        <v>Jupiter</v>
      </c>
      <c r="AA255" s="236"/>
      <c r="AB255" s="236"/>
      <c r="AC255" s="230">
        <f t="shared" si="86"/>
        <v>32336.407201240989</v>
      </c>
    </row>
    <row r="256" spans="1:29" s="214" customFormat="1" ht="12.75">
      <c r="A256" s="182" t="str">
        <f t="shared" si="77"/>
        <v>Mars</v>
      </c>
      <c r="B256" s="236" t="str">
        <f>INDEX(DasaYears,MOD(D236-3,9)+1,1)</f>
        <v>Ketu</v>
      </c>
      <c r="C256" s="236"/>
      <c r="D256" s="236"/>
      <c r="E256" s="230">
        <f t="shared" si="78"/>
        <v>27860.933158648229</v>
      </c>
      <c r="F256" s="232"/>
      <c r="G256" s="182" t="str">
        <f t="shared" si="79"/>
        <v>Mercury</v>
      </c>
      <c r="H256" s="236" t="str">
        <f>INDEX(DasaYears,MOD(J236-3,9)+1,1)</f>
        <v>Mars</v>
      </c>
      <c r="I256" s="236"/>
      <c r="J256" s="236"/>
      <c r="K256" s="230">
        <f t="shared" si="80"/>
        <v>29403.247730781553</v>
      </c>
      <c r="M256" s="182" t="str">
        <f t="shared" si="81"/>
        <v>Saturn</v>
      </c>
      <c r="N256" s="236" t="str">
        <f>INDEX(DasaYears,MOD(P236-3,9)+1,1)</f>
        <v>Moon</v>
      </c>
      <c r="O256" s="236"/>
      <c r="P256" s="236"/>
      <c r="Q256" s="230">
        <f t="shared" si="82"/>
        <v>30262.9070334475</v>
      </c>
      <c r="S256" s="182" t="e">
        <f t="shared" si="83"/>
        <v>#N/A</v>
      </c>
      <c r="T256" s="236" t="e">
        <f>INDEX(DasaYears,MOD(V236-3,9)+1,1)</f>
        <v>#N/A</v>
      </c>
      <c r="U256" s="236"/>
      <c r="V256" s="236"/>
      <c r="W256" s="230" t="e">
        <f t="shared" si="84"/>
        <v>#N/A</v>
      </c>
      <c r="Y256" s="182" t="str">
        <f t="shared" si="85"/>
        <v>Sun</v>
      </c>
      <c r="Z256" s="236" t="str">
        <f>INDEX(DasaYears,MOD(AB236-3,9)+1,1)</f>
        <v>Saturn</v>
      </c>
      <c r="AA256" s="236"/>
      <c r="AB256" s="236"/>
      <c r="AC256" s="230">
        <f t="shared" si="86"/>
        <v>32628.611099389134</v>
      </c>
    </row>
    <row r="257" spans="1:29" s="214" customFormat="1" ht="12.75">
      <c r="A257" s="182" t="str">
        <f t="shared" si="77"/>
        <v>Mars</v>
      </c>
      <c r="B257" s="236" t="str">
        <f>INDEX(DasaYears,MOD(D236-2,9)+1,1)</f>
        <v>Venus</v>
      </c>
      <c r="C257" s="236"/>
      <c r="D257" s="236"/>
      <c r="E257" s="230">
        <f t="shared" si="78"/>
        <v>28010.078898328011</v>
      </c>
      <c r="F257" s="232"/>
      <c r="G257" s="182" t="str">
        <f t="shared" si="79"/>
        <v>Mercury</v>
      </c>
      <c r="H257" s="236" t="str">
        <f>INDEX(DasaYears,MOD(J236-2,9)+1,1)</f>
        <v>Rahu</v>
      </c>
      <c r="I257" s="236"/>
      <c r="J257" s="236"/>
      <c r="K257" s="230">
        <f t="shared" si="80"/>
        <v>29765.458812861027</v>
      </c>
      <c r="M257" s="182" t="str">
        <f t="shared" si="81"/>
        <v>Saturn</v>
      </c>
      <c r="N257" s="236" t="str">
        <f>INDEX(DasaYears,MOD(P236-2,9)+1,1)</f>
        <v>Mars</v>
      </c>
      <c r="O257" s="236"/>
      <c r="P257" s="236"/>
      <c r="Q257" s="230">
        <f t="shared" si="82"/>
        <v>30841.22724853237</v>
      </c>
      <c r="S257" s="182" t="e">
        <f t="shared" si="83"/>
        <v>#N/A</v>
      </c>
      <c r="T257" s="236" t="e">
        <f>INDEX(DasaYears,MOD(V236-2,9)+1,1)</f>
        <v>#N/A</v>
      </c>
      <c r="U257" s="236"/>
      <c r="V257" s="236"/>
      <c r="W257" s="230" t="e">
        <f t="shared" si="84"/>
        <v>#N/A</v>
      </c>
      <c r="Y257" s="182" t="str">
        <f t="shared" si="85"/>
        <v>Sun</v>
      </c>
      <c r="Z257" s="236" t="str">
        <f>INDEX(DasaYears,MOD(AB236-2,9)+1,1)</f>
        <v>Mercury</v>
      </c>
      <c r="AA257" s="236"/>
      <c r="AB257" s="236"/>
      <c r="AC257" s="230">
        <f t="shared" si="86"/>
        <v>32975.603228440057</v>
      </c>
    </row>
    <row r="258" spans="1:29" s="214" customFormat="1" ht="12.75">
      <c r="A258" s="182" t="str">
        <f t="shared" si="77"/>
        <v>Mars</v>
      </c>
      <c r="B258" s="214" t="str">
        <f>INDEX(DasaYears,MOD(D236-1,9)+1,1)</f>
        <v>Sun</v>
      </c>
      <c r="C258" s="236"/>
      <c r="D258" s="236"/>
      <c r="E258" s="230">
        <f t="shared" si="78"/>
        <v>28436.209583127391</v>
      </c>
      <c r="F258" s="232"/>
      <c r="G258" s="182" t="str">
        <f t="shared" si="79"/>
        <v>Mercury</v>
      </c>
      <c r="H258" s="214" t="str">
        <f>INDEX(DasaYears,MOD(J236-1,9)+1,1)</f>
        <v>Jupiter</v>
      </c>
      <c r="I258" s="236"/>
      <c r="J258" s="236"/>
      <c r="K258" s="230">
        <f t="shared" si="80"/>
        <v>30696.858738208241</v>
      </c>
      <c r="M258" s="182" t="str">
        <f t="shared" si="81"/>
        <v>Saturn</v>
      </c>
      <c r="N258" s="214" t="str">
        <f>INDEX(DasaYears,MOD(P236-1,9)+1,1)</f>
        <v>Rahu</v>
      </c>
      <c r="O258" s="236"/>
      <c r="P258" s="236"/>
      <c r="Q258" s="230">
        <f t="shared" si="82"/>
        <v>31246.051399091779</v>
      </c>
      <c r="S258" s="182" t="e">
        <f t="shared" si="83"/>
        <v>#N/A</v>
      </c>
      <c r="T258" s="214" t="e">
        <f>INDEX(DasaYears,MOD(V236-1,9)+1,1)</f>
        <v>#N/A</v>
      </c>
      <c r="U258" s="236"/>
      <c r="V258" s="236"/>
      <c r="W258" s="230" t="e">
        <f t="shared" si="84"/>
        <v>#N/A</v>
      </c>
      <c r="Y258" s="182" t="str">
        <f t="shared" si="85"/>
        <v>Sun</v>
      </c>
      <c r="Z258" s="214" t="str">
        <f>INDEX(DasaYears,MOD(AB236-1,9)+1,1)</f>
        <v>Ketu</v>
      </c>
      <c r="AA258" s="236"/>
      <c r="AB258" s="236"/>
      <c r="AC258" s="230">
        <f t="shared" si="86"/>
        <v>33286.069870222462</v>
      </c>
    </row>
    <row r="259" spans="1:29" s="214" customFormat="1" ht="12.75">
      <c r="A259" s="182" t="str">
        <f t="shared" si="77"/>
        <v>Mars</v>
      </c>
      <c r="B259" s="236" t="str">
        <f>INDEX(DasaYears,MOD(D236,9)+1,1)</f>
        <v>Moon</v>
      </c>
      <c r="C259" s="236"/>
      <c r="D259" s="236"/>
      <c r="E259" s="230">
        <f t="shared" si="78"/>
        <v>28564.048788567205</v>
      </c>
      <c r="F259" s="232"/>
      <c r="G259" s="182" t="str">
        <f t="shared" si="79"/>
        <v>Mercury</v>
      </c>
      <c r="H259" s="236" t="str">
        <f>INDEX(DasaYears,MOD(J236,9)+1,1)</f>
        <v>Saturn</v>
      </c>
      <c r="I259" s="236"/>
      <c r="J259" s="236"/>
      <c r="K259" s="230">
        <f t="shared" si="80"/>
        <v>31524.769782961321</v>
      </c>
      <c r="M259" s="182" t="str">
        <f t="shared" si="81"/>
        <v>Saturn</v>
      </c>
      <c r="N259" s="236" t="str">
        <f>INDEX(DasaYears,MOD(P236,9)+1,1)</f>
        <v>Jupiter</v>
      </c>
      <c r="O259" s="236"/>
      <c r="P259" s="236"/>
      <c r="Q259" s="230">
        <f t="shared" si="82"/>
        <v>32287.027786244547</v>
      </c>
      <c r="S259" s="182" t="e">
        <f t="shared" si="83"/>
        <v>#N/A</v>
      </c>
      <c r="T259" s="236" t="e">
        <f>INDEX(DasaYears,MOD(V236,9)+1,1)</f>
        <v>#N/A</v>
      </c>
      <c r="U259" s="236"/>
      <c r="V259" s="236"/>
      <c r="W259" s="230" t="e">
        <f t="shared" si="84"/>
        <v>#N/A</v>
      </c>
      <c r="Y259" s="182" t="str">
        <f t="shared" si="85"/>
        <v>Sun</v>
      </c>
      <c r="Z259" s="236" t="str">
        <f>INDEX(DasaYears,MOD(AB236,9)+1,1)</f>
        <v>Venus</v>
      </c>
      <c r="AA259" s="236"/>
      <c r="AB259" s="236"/>
      <c r="AC259" s="230">
        <f t="shared" si="86"/>
        <v>33413.909075662275</v>
      </c>
    </row>
    <row r="260" spans="1:29" s="255" customFormat="1" ht="12.75">
      <c r="A260" s="201" t="str">
        <f>INDEX(DasaYears,MOD(D236+2,9)+1,1)</f>
        <v>Rahu</v>
      </c>
      <c r="C260" s="252"/>
      <c r="D260" s="252"/>
      <c r="E260" s="253">
        <f>E251+DaysInYear*VLOOKUP(A251,DasaYears,2,0)</f>
        <v>28777.114130966893</v>
      </c>
      <c r="F260" s="254"/>
      <c r="G260" s="201" t="str">
        <f>INDEX(DasaYears,MOD(J236+2,9)+1,1)</f>
        <v>Ketu</v>
      </c>
      <c r="I260" s="252"/>
      <c r="J260" s="252"/>
      <c r="K260" s="253">
        <f>K251+DaysInYear*VLOOKUP(G251,DasaYears,2,0)</f>
        <v>32507.914148605603</v>
      </c>
      <c r="M260" s="201" t="str">
        <f>INDEX(DasaYears,MOD(P236+2,9)+1,1)</f>
        <v>Mercury</v>
      </c>
      <c r="O260" s="252"/>
      <c r="P260" s="252"/>
      <c r="Q260" s="253">
        <f>Q251+DaysInYear*VLOOKUP(M251,DasaYears,2,0)</f>
        <v>33212.34013038034</v>
      </c>
      <c r="S260" s="201" t="e">
        <f>INDEX(DasaYears,MOD(V236+2,9)+1,1)</f>
        <v>#N/A</v>
      </c>
      <c r="U260" s="252"/>
      <c r="V260" s="252"/>
      <c r="W260" s="253" t="e">
        <f>W251+DaysInYear*VLOOKUP(S251,DasaYears,2,0)</f>
        <v>#N/A</v>
      </c>
      <c r="Y260" s="201" t="str">
        <f>INDEX(DasaYears,MOD(AB236+2,9)+1,1)</f>
        <v>Moon</v>
      </c>
      <c r="AA260" s="252"/>
      <c r="AB260" s="252"/>
      <c r="AC260" s="253">
        <f>AC251+DaysInYear*VLOOKUP(Y251,DasaYears,2,0)</f>
        <v>33779.163948347457</v>
      </c>
    </row>
    <row r="261" spans="1:29" s="255" customFormat="1" ht="12.75">
      <c r="A261" s="201" t="str">
        <f t="shared" ref="A261:A268" si="87">A260</f>
        <v>Rahu</v>
      </c>
      <c r="B261" s="252" t="str">
        <f>INDEX(DasaYears,MOD(D236-6,9)+1,1)</f>
        <v>Jupiter</v>
      </c>
      <c r="C261" s="252"/>
      <c r="D261" s="252"/>
      <c r="E261" s="253">
        <f t="shared" ref="E261:E268" si="88">E262-(VLOOKUP(A261,DasaYears,2,0)*VLOOKUP(B261,DasaYears,2,0)/VimTotal)*DaysInYear</f>
        <v>29763.302287216888</v>
      </c>
      <c r="F261" s="254"/>
      <c r="G261" s="201" t="str">
        <f t="shared" ref="G261:G268" si="89">G260</f>
        <v>Ketu</v>
      </c>
      <c r="H261" s="252" t="str">
        <f>INDEX(DasaYears,MOD(J236-6,9)+1,1)</f>
        <v>Venus</v>
      </c>
      <c r="I261" s="252"/>
      <c r="J261" s="252"/>
      <c r="K261" s="253">
        <f t="shared" ref="K261:K268" si="90">K262-(VLOOKUP(G261,DasaYears,2,0)*VLOOKUP(H261,DasaYears,2,0)/VimTotal)*DaysInYear</f>
        <v>32657.059888285377</v>
      </c>
      <c r="M261" s="201" t="str">
        <f t="shared" ref="M261:M268" si="91">M260</f>
        <v>Mercury</v>
      </c>
      <c r="N261" s="252" t="str">
        <f>INDEX(DasaYears,MOD(P236-6,9)+1,1)</f>
        <v>Ketu</v>
      </c>
      <c r="O261" s="252"/>
      <c r="P261" s="252"/>
      <c r="Q261" s="253">
        <f t="shared" ref="Q261:Q268" si="92">Q262-(VLOOKUP(M261,DasaYears,2,0)*VLOOKUP(N261,DasaYears,2,0)/VimTotal)*DaysInYear</f>
        <v>34091.995615430496</v>
      </c>
      <c r="S261" s="201" t="e">
        <f t="shared" ref="S261:S268" si="93">S260</f>
        <v>#N/A</v>
      </c>
      <c r="T261" s="252" t="e">
        <f>INDEX(DasaYears,MOD(V236-6,9)+1,1)</f>
        <v>#N/A</v>
      </c>
      <c r="U261" s="252"/>
      <c r="V261" s="252"/>
      <c r="W261" s="253" t="e">
        <f t="shared" ref="W261:W268" si="94">W262-(VLOOKUP(S261,DasaYears,2,0)*VLOOKUP(T261,DasaYears,2,0)/VimTotal)*DaysInYear</f>
        <v>#N/A</v>
      </c>
      <c r="Y261" s="201" t="str">
        <f t="shared" ref="Y261:Y268" si="95">Y260</f>
        <v>Moon</v>
      </c>
      <c r="Z261" s="252" t="str">
        <f>INDEX(DasaYears,MOD(AB236-6,9)+1,1)</f>
        <v>Mars</v>
      </c>
      <c r="AA261" s="252"/>
      <c r="AB261" s="252"/>
      <c r="AC261" s="253">
        <f t="shared" ref="AC261:AC268" si="96">AC262-(VLOOKUP(Y261,DasaYears,2,0)*VLOOKUP(Z261,DasaYears,2,0)/VimTotal)*DaysInYear</f>
        <v>34083.543008918437</v>
      </c>
    </row>
    <row r="262" spans="1:29" s="255" customFormat="1" ht="12.75">
      <c r="A262" s="201" t="str">
        <f t="shared" si="87"/>
        <v>Rahu</v>
      </c>
      <c r="B262" s="252" t="str">
        <f>INDEX(DasaYears,MOD(D236-5,9)+1,1)</f>
        <v>Saturn</v>
      </c>
      <c r="C262" s="252"/>
      <c r="D262" s="252"/>
      <c r="E262" s="253">
        <f t="shared" si="88"/>
        <v>30639.913981661324</v>
      </c>
      <c r="F262" s="254"/>
      <c r="G262" s="201" t="str">
        <f t="shared" si="89"/>
        <v>Ketu</v>
      </c>
      <c r="H262" s="252" t="str">
        <f>INDEX(DasaYears,MOD(J236-5,9)+1,1)</f>
        <v>Sun</v>
      </c>
      <c r="I262" s="252"/>
      <c r="J262" s="252"/>
      <c r="K262" s="253">
        <f t="shared" si="90"/>
        <v>33083.190573084757</v>
      </c>
      <c r="M262" s="201" t="str">
        <f t="shared" si="91"/>
        <v>Mercury</v>
      </c>
      <c r="N262" s="252" t="str">
        <f>INDEX(DasaYears,MOD(P236-5,9)+1,1)</f>
        <v>Venus</v>
      </c>
      <c r="O262" s="252"/>
      <c r="P262" s="252"/>
      <c r="Q262" s="253">
        <f t="shared" si="92"/>
        <v>34454.206697509966</v>
      </c>
      <c r="S262" s="201" t="e">
        <f t="shared" si="93"/>
        <v>#N/A</v>
      </c>
      <c r="T262" s="252" t="e">
        <f>INDEX(DasaYears,MOD(V236-5,9)+1,1)</f>
        <v>#N/A</v>
      </c>
      <c r="U262" s="252"/>
      <c r="V262" s="252"/>
      <c r="W262" s="253" t="e">
        <f t="shared" si="94"/>
        <v>#N/A</v>
      </c>
      <c r="Y262" s="201" t="str">
        <f t="shared" si="95"/>
        <v>Moon</v>
      </c>
      <c r="Z262" s="252" t="str">
        <f>INDEX(DasaYears,MOD(AB236-5,9)+1,1)</f>
        <v>Rahu</v>
      </c>
      <c r="AA262" s="252"/>
      <c r="AB262" s="252"/>
      <c r="AC262" s="253">
        <f t="shared" si="96"/>
        <v>34296.608351318129</v>
      </c>
    </row>
    <row r="263" spans="1:29" s="255" customFormat="1" ht="12.75">
      <c r="A263" s="201" t="str">
        <f t="shared" si="87"/>
        <v>Rahu</v>
      </c>
      <c r="B263" s="252" t="str">
        <f>INDEX(DasaYears,MOD(D236-4,9)+1,1)</f>
        <v>Mercury</v>
      </c>
      <c r="C263" s="252"/>
      <c r="D263" s="252"/>
      <c r="E263" s="253">
        <f t="shared" si="88"/>
        <v>31680.890368814093</v>
      </c>
      <c r="F263" s="254"/>
      <c r="G263" s="201" t="str">
        <f t="shared" si="89"/>
        <v>Ketu</v>
      </c>
      <c r="H263" s="252" t="str">
        <f>INDEX(DasaYears,MOD(J236-4,9)+1,1)</f>
        <v>Moon</v>
      </c>
      <c r="I263" s="252"/>
      <c r="J263" s="252"/>
      <c r="K263" s="253">
        <f t="shared" si="90"/>
        <v>33211.029778524571</v>
      </c>
      <c r="M263" s="201" t="str">
        <f t="shared" si="91"/>
        <v>Mercury</v>
      </c>
      <c r="N263" s="252" t="str">
        <f>INDEX(DasaYears,MOD(P236-4,9)+1,1)</f>
        <v>Sun</v>
      </c>
      <c r="O263" s="252"/>
      <c r="P263" s="252"/>
      <c r="Q263" s="253">
        <f t="shared" si="92"/>
        <v>35489.095503451317</v>
      </c>
      <c r="S263" s="201" t="e">
        <f t="shared" si="93"/>
        <v>#N/A</v>
      </c>
      <c r="T263" s="252" t="e">
        <f>INDEX(DasaYears,MOD(V236-4,9)+1,1)</f>
        <v>#N/A</v>
      </c>
      <c r="U263" s="252"/>
      <c r="V263" s="252"/>
      <c r="W263" s="253" t="e">
        <f t="shared" si="94"/>
        <v>#N/A</v>
      </c>
      <c r="Y263" s="201" t="str">
        <f t="shared" si="95"/>
        <v>Moon</v>
      </c>
      <c r="Z263" s="252" t="str">
        <f>INDEX(DasaYears,MOD(AB236-4,9)+1,1)</f>
        <v>Jupiter</v>
      </c>
      <c r="AA263" s="252"/>
      <c r="AB263" s="252"/>
      <c r="AC263" s="253">
        <f t="shared" si="96"/>
        <v>34844.490660345902</v>
      </c>
    </row>
    <row r="264" spans="1:29" s="255" customFormat="1" ht="12.75">
      <c r="A264" s="201" t="str">
        <f t="shared" si="87"/>
        <v>Rahu</v>
      </c>
      <c r="B264" s="252" t="str">
        <f>INDEX(DasaYears,MOD(D236-3,9)+1,1)</f>
        <v>Ketu</v>
      </c>
      <c r="C264" s="252"/>
      <c r="D264" s="252"/>
      <c r="E264" s="253">
        <f t="shared" si="88"/>
        <v>32612.290294161307</v>
      </c>
      <c r="F264" s="254"/>
      <c r="G264" s="201" t="str">
        <f t="shared" si="89"/>
        <v>Ketu</v>
      </c>
      <c r="H264" s="252" t="str">
        <f>INDEX(DasaYears,MOD(J236-3,9)+1,1)</f>
        <v>Mars</v>
      </c>
      <c r="I264" s="252"/>
      <c r="J264" s="252"/>
      <c r="K264" s="253">
        <f t="shared" si="90"/>
        <v>33424.095120924263</v>
      </c>
      <c r="M264" s="201" t="str">
        <f t="shared" si="91"/>
        <v>Mercury</v>
      </c>
      <c r="N264" s="252" t="str">
        <f>INDEX(DasaYears,MOD(P236-3,9)+1,1)</f>
        <v>Moon</v>
      </c>
      <c r="O264" s="252"/>
      <c r="P264" s="252"/>
      <c r="Q264" s="253">
        <f t="shared" si="92"/>
        <v>35799.562145233722</v>
      </c>
      <c r="S264" s="201" t="e">
        <f t="shared" si="93"/>
        <v>#N/A</v>
      </c>
      <c r="T264" s="252" t="e">
        <f>INDEX(DasaYears,MOD(V236-3,9)+1,1)</f>
        <v>#N/A</v>
      </c>
      <c r="U264" s="252"/>
      <c r="V264" s="252"/>
      <c r="W264" s="253" t="e">
        <f t="shared" si="94"/>
        <v>#N/A</v>
      </c>
      <c r="Y264" s="201" t="str">
        <f t="shared" si="95"/>
        <v>Moon</v>
      </c>
      <c r="Z264" s="252" t="str">
        <f>INDEX(DasaYears,MOD(AB236-3,9)+1,1)</f>
        <v>Saturn</v>
      </c>
      <c r="AA264" s="252"/>
      <c r="AB264" s="252"/>
      <c r="AC264" s="253">
        <f t="shared" si="96"/>
        <v>35331.49715725948</v>
      </c>
    </row>
    <row r="265" spans="1:29" s="255" customFormat="1" ht="12.75">
      <c r="A265" s="201" t="str">
        <f t="shared" si="87"/>
        <v>Rahu</v>
      </c>
      <c r="B265" s="252" t="str">
        <f>INDEX(DasaYears,MOD(D236-2,9)+1,1)</f>
        <v>Venus</v>
      </c>
      <c r="C265" s="252"/>
      <c r="D265" s="252"/>
      <c r="E265" s="253">
        <f t="shared" si="88"/>
        <v>32995.807910480748</v>
      </c>
      <c r="F265" s="254"/>
      <c r="G265" s="201" t="str">
        <f t="shared" si="89"/>
        <v>Ketu</v>
      </c>
      <c r="H265" s="252" t="str">
        <f>INDEX(DasaYears,MOD(J236-2,9)+1,1)</f>
        <v>Rahu</v>
      </c>
      <c r="I265" s="252"/>
      <c r="J265" s="252"/>
      <c r="K265" s="253">
        <f t="shared" si="90"/>
        <v>33573.240860604048</v>
      </c>
      <c r="M265" s="201" t="str">
        <f t="shared" si="91"/>
        <v>Mercury</v>
      </c>
      <c r="N265" s="252" t="str">
        <f>INDEX(DasaYears,MOD(P236-2,9)+1,1)</f>
        <v>Mars</v>
      </c>
      <c r="O265" s="252"/>
      <c r="P265" s="252"/>
      <c r="Q265" s="253">
        <f t="shared" si="92"/>
        <v>36317.006548204394</v>
      </c>
      <c r="S265" s="201" t="e">
        <f t="shared" si="93"/>
        <v>#N/A</v>
      </c>
      <c r="T265" s="252" t="e">
        <f>INDEX(DasaYears,MOD(V236-2,9)+1,1)</f>
        <v>#N/A</v>
      </c>
      <c r="U265" s="252"/>
      <c r="V265" s="252"/>
      <c r="W265" s="253" t="e">
        <f t="shared" si="94"/>
        <v>#N/A</v>
      </c>
      <c r="Y265" s="201" t="str">
        <f t="shared" si="95"/>
        <v>Moon</v>
      </c>
      <c r="Z265" s="252" t="str">
        <f>INDEX(DasaYears,MOD(AB236-2,9)+1,1)</f>
        <v>Mercury</v>
      </c>
      <c r="AA265" s="252"/>
      <c r="AB265" s="252"/>
      <c r="AC265" s="253">
        <f t="shared" si="96"/>
        <v>35909.817372344354</v>
      </c>
    </row>
    <row r="266" spans="1:29" s="255" customFormat="1" ht="12.75">
      <c r="A266" s="201" t="str">
        <f t="shared" si="87"/>
        <v>Rahu</v>
      </c>
      <c r="B266" s="255" t="str">
        <f>INDEX(DasaYears,MOD(D236-1,9)+1,1)</f>
        <v>Sun</v>
      </c>
      <c r="C266" s="252"/>
      <c r="D266" s="252"/>
      <c r="E266" s="253">
        <f t="shared" si="88"/>
        <v>34091.572528536293</v>
      </c>
      <c r="F266" s="254"/>
      <c r="G266" s="201" t="str">
        <f t="shared" si="89"/>
        <v>Ketu</v>
      </c>
      <c r="H266" s="255" t="str">
        <f>INDEX(DasaYears,MOD(J236-1,9)+1,1)</f>
        <v>Jupiter</v>
      </c>
      <c r="I266" s="252"/>
      <c r="J266" s="252"/>
      <c r="K266" s="253">
        <f t="shared" si="90"/>
        <v>33956.758476923489</v>
      </c>
      <c r="M266" s="201" t="str">
        <f t="shared" si="91"/>
        <v>Mercury</v>
      </c>
      <c r="N266" s="255" t="str">
        <f>INDEX(DasaYears,MOD(P236-1,9)+1,1)</f>
        <v>Rahu</v>
      </c>
      <c r="O266" s="252"/>
      <c r="P266" s="252"/>
      <c r="Q266" s="253">
        <f t="shared" si="92"/>
        <v>36679.217630283863</v>
      </c>
      <c r="S266" s="201" t="e">
        <f t="shared" si="93"/>
        <v>#N/A</v>
      </c>
      <c r="T266" s="255" t="e">
        <f>INDEX(DasaYears,MOD(V236-1,9)+1,1)</f>
        <v>#N/A</v>
      </c>
      <c r="U266" s="252"/>
      <c r="V266" s="252"/>
      <c r="W266" s="253" t="e">
        <f t="shared" si="94"/>
        <v>#N/A</v>
      </c>
      <c r="Y266" s="201" t="str">
        <f t="shared" si="95"/>
        <v>Moon</v>
      </c>
      <c r="Z266" s="255" t="str">
        <f>INDEX(DasaYears,MOD(AB236-1,9)+1,1)</f>
        <v>Ketu</v>
      </c>
      <c r="AA266" s="252"/>
      <c r="AB266" s="252"/>
      <c r="AC266" s="253">
        <f t="shared" si="96"/>
        <v>36427.261775315026</v>
      </c>
    </row>
    <row r="267" spans="1:29" s="255" customFormat="1" ht="12.75">
      <c r="A267" s="201" t="str">
        <f t="shared" si="87"/>
        <v>Rahu</v>
      </c>
      <c r="B267" s="252" t="str">
        <f>INDEX(DasaYears,MOD(D236,9)+1,1)</f>
        <v>Moon</v>
      </c>
      <c r="C267" s="252"/>
      <c r="D267" s="252"/>
      <c r="E267" s="253">
        <f t="shared" si="88"/>
        <v>34420.301913952957</v>
      </c>
      <c r="F267" s="254"/>
      <c r="G267" s="201" t="str">
        <f t="shared" si="89"/>
        <v>Ketu</v>
      </c>
      <c r="H267" s="252" t="str">
        <f>INDEX(DasaYears,MOD(J236,9)+1,1)</f>
        <v>Saturn</v>
      </c>
      <c r="I267" s="252"/>
      <c r="J267" s="252"/>
      <c r="K267" s="253">
        <f t="shared" si="90"/>
        <v>34297.663024762995</v>
      </c>
      <c r="M267" s="201" t="str">
        <f t="shared" si="91"/>
        <v>Mercury</v>
      </c>
      <c r="N267" s="252" t="str">
        <f>INDEX(DasaYears,MOD(P236,9)+1,1)</f>
        <v>Jupiter</v>
      </c>
      <c r="O267" s="252"/>
      <c r="P267" s="252"/>
      <c r="Q267" s="253">
        <f t="shared" si="92"/>
        <v>37610.617555631077</v>
      </c>
      <c r="S267" s="201" t="e">
        <f t="shared" si="93"/>
        <v>#N/A</v>
      </c>
      <c r="T267" s="252" t="e">
        <f>INDEX(DasaYears,MOD(V236,9)+1,1)</f>
        <v>#N/A</v>
      </c>
      <c r="U267" s="252"/>
      <c r="V267" s="252"/>
      <c r="W267" s="253" t="e">
        <f t="shared" si="94"/>
        <v>#N/A</v>
      </c>
      <c r="Y267" s="201" t="str">
        <f t="shared" si="95"/>
        <v>Moon</v>
      </c>
      <c r="Z267" s="252" t="str">
        <f>INDEX(DasaYears,MOD(AB236,9)+1,1)</f>
        <v>Venus</v>
      </c>
      <c r="AA267" s="252"/>
      <c r="AB267" s="252"/>
      <c r="AC267" s="253">
        <f t="shared" si="96"/>
        <v>36640.327117714718</v>
      </c>
    </row>
    <row r="268" spans="1:29" s="255" customFormat="1" ht="12.75">
      <c r="A268" s="201" t="str">
        <f t="shared" si="87"/>
        <v>Rahu</v>
      </c>
      <c r="B268" s="252" t="str">
        <f>INDEX(DasaYears,MOD(D236-8,9)+1,1)</f>
        <v>Mars</v>
      </c>
      <c r="C268" s="252"/>
      <c r="D268" s="252"/>
      <c r="E268" s="253">
        <f t="shared" si="88"/>
        <v>34968.18422298073</v>
      </c>
      <c r="F268" s="254"/>
      <c r="G268" s="201" t="str">
        <f t="shared" si="89"/>
        <v>Ketu</v>
      </c>
      <c r="H268" s="252" t="str">
        <f>INDEX(DasaYears,MOD(J236-8,9)+1,1)</f>
        <v>Mercury</v>
      </c>
      <c r="I268" s="252"/>
      <c r="J268" s="252"/>
      <c r="K268" s="253">
        <f t="shared" si="90"/>
        <v>34702.487175322407</v>
      </c>
      <c r="M268" s="201" t="str">
        <f t="shared" si="91"/>
        <v>Mercury</v>
      </c>
      <c r="N268" s="252" t="str">
        <f>INDEX(DasaYears,MOD(P236-8,9)+1,1)</f>
        <v>Saturn</v>
      </c>
      <c r="O268" s="252"/>
      <c r="P268" s="252"/>
      <c r="Q268" s="253">
        <f t="shared" si="92"/>
        <v>38438.528600384154</v>
      </c>
      <c r="S268" s="201" t="e">
        <f t="shared" si="93"/>
        <v>#N/A</v>
      </c>
      <c r="T268" s="252" t="e">
        <f>INDEX(DasaYears,MOD(V236-8,9)+1,1)</f>
        <v>#N/A</v>
      </c>
      <c r="U268" s="252"/>
      <c r="V268" s="252"/>
      <c r="W268" s="253" t="e">
        <f t="shared" si="94"/>
        <v>#N/A</v>
      </c>
      <c r="Y268" s="201" t="str">
        <f t="shared" si="95"/>
        <v>Moon</v>
      </c>
      <c r="Z268" s="252" t="str">
        <f>INDEX(DasaYears,MOD(AB236-8,9)+1,1)</f>
        <v>Sun</v>
      </c>
      <c r="AA268" s="252"/>
      <c r="AB268" s="252"/>
      <c r="AC268" s="253">
        <f t="shared" si="96"/>
        <v>37249.085238856685</v>
      </c>
    </row>
    <row r="269" spans="1:29" s="214" customFormat="1" ht="12.75">
      <c r="A269" s="182" t="str">
        <f>INDEX(DasaYears,MOD(D236+3,9)+1,1)</f>
        <v>Jupiter</v>
      </c>
      <c r="C269" s="236"/>
      <c r="D269" s="236"/>
      <c r="E269" s="230">
        <f>E260+DaysInYear*VLOOKUP(A260,DasaYears,2,0)</f>
        <v>35351.701839300171</v>
      </c>
      <c r="F269" s="232"/>
      <c r="G269" s="182" t="str">
        <f>INDEX(DasaYears,MOD(J236+3,9)+1,1)</f>
        <v>Venus</v>
      </c>
      <c r="I269" s="236"/>
      <c r="J269" s="236"/>
      <c r="K269" s="230">
        <f>K260+DaysInYear*VLOOKUP(G260,DasaYears,2,0)</f>
        <v>35064.698257401877</v>
      </c>
      <c r="M269" s="182" t="str">
        <f>INDEX(DasaYears,MOD(P236+3,9)+1,1)</f>
        <v>Ketu</v>
      </c>
      <c r="O269" s="236"/>
      <c r="P269" s="236"/>
      <c r="Q269" s="230">
        <f>Q260+DaysInYear*VLOOKUP(M260,DasaYears,2,0)</f>
        <v>39421.672966028433</v>
      </c>
      <c r="S269" s="182" t="e">
        <f>INDEX(DasaYears,MOD(V236+3,9)+1,1)</f>
        <v>#N/A</v>
      </c>
      <c r="U269" s="236"/>
      <c r="V269" s="236"/>
      <c r="W269" s="230" t="e">
        <f>W260+DaysInYear*VLOOKUP(S260,DasaYears,2,0)</f>
        <v>#N/A</v>
      </c>
      <c r="Y269" s="182" t="str">
        <f>INDEX(DasaYears,MOD(AB236+3,9)+1,1)</f>
        <v>Mars</v>
      </c>
      <c r="AA269" s="236"/>
      <c r="AB269" s="236"/>
      <c r="AC269" s="230">
        <f>AC260+DaysInYear*VLOOKUP(Y260,DasaYears,2,0)</f>
        <v>37431.712675199276</v>
      </c>
    </row>
    <row r="270" spans="1:29" s="214" customFormat="1" ht="12.75">
      <c r="A270" s="182" t="str">
        <f t="shared" ref="A270:A277" si="97">A269</f>
        <v>Jupiter</v>
      </c>
      <c r="B270" s="236" t="str">
        <f>INDEX(DasaYears,MOD(D236-5,9)+1,1)</f>
        <v>Saturn</v>
      </c>
      <c r="C270" s="236"/>
      <c r="D270" s="236"/>
      <c r="E270" s="230">
        <f t="shared" ref="E270:E277" si="98">E271-(VLOOKUP(A270,DasaYears,2,0)*VLOOKUP(B270,DasaYears,2,0)/VimTotal)*DaysInYear</f>
        <v>36130.912234361887</v>
      </c>
      <c r="F270" s="232"/>
      <c r="G270" s="182" t="str">
        <f t="shared" ref="G270:G277" si="99">G269</f>
        <v>Venus</v>
      </c>
      <c r="H270" s="236" t="str">
        <f>INDEX(DasaYears,MOD(J236-5,9)+1,1)</f>
        <v>Sun</v>
      </c>
      <c r="I270" s="236"/>
      <c r="J270" s="236"/>
      <c r="K270" s="230">
        <f t="shared" ref="K270:K277" si="100">K271-(VLOOKUP(G270,DasaYears,2,0)*VLOOKUP(H270,DasaYears,2,0)/VimTotal)*DaysInYear</f>
        <v>36282.214499685826</v>
      </c>
      <c r="M270" s="182" t="str">
        <f t="shared" ref="M270:M277" si="101">M269</f>
        <v>Ketu</v>
      </c>
      <c r="N270" s="236" t="str">
        <f>INDEX(DasaYears,MOD(P236-5,9)+1,1)</f>
        <v>Venus</v>
      </c>
      <c r="O270" s="236"/>
      <c r="P270" s="236"/>
      <c r="Q270" s="230">
        <f t="shared" ref="Q270:Q277" si="102">Q271-(VLOOKUP(M270,DasaYears,2,0)*VLOOKUP(N270,DasaYears,2,0)/VimTotal)*DaysInYear</f>
        <v>39570.81870570821</v>
      </c>
      <c r="S270" s="182" t="e">
        <f t="shared" ref="S270:S277" si="103">S269</f>
        <v>#N/A</v>
      </c>
      <c r="T270" s="236" t="e">
        <f>INDEX(DasaYears,MOD(V236-5,9)+1,1)</f>
        <v>#N/A</v>
      </c>
      <c r="U270" s="236"/>
      <c r="V270" s="236"/>
      <c r="W270" s="230" t="e">
        <f t="shared" ref="W270:W277" si="104">W271-(VLOOKUP(S270,DasaYears,2,0)*VLOOKUP(T270,DasaYears,2,0)/VimTotal)*DaysInYear</f>
        <v>#N/A</v>
      </c>
      <c r="Y270" s="182" t="str">
        <f t="shared" ref="Y270:Y277" si="105">Y269</f>
        <v>Mars</v>
      </c>
      <c r="Z270" s="236" t="str">
        <f>INDEX(DasaYears,MOD(AB236-5,9)+1,1)</f>
        <v>Rahu</v>
      </c>
      <c r="AA270" s="236"/>
      <c r="AB270" s="236"/>
      <c r="AC270" s="230">
        <f t="shared" ref="AC270:AC277" si="106">AC271-(VLOOKUP(Y270,DasaYears,2,0)*VLOOKUP(Z270,DasaYears,2,0)/VimTotal)*DaysInYear</f>
        <v>37580.858414879054</v>
      </c>
    </row>
    <row r="271" spans="1:29" s="214" customFormat="1" ht="12.75">
      <c r="A271" s="182" t="str">
        <f t="shared" si="97"/>
        <v>Jupiter</v>
      </c>
      <c r="B271" s="236" t="str">
        <f>INDEX(DasaYears,MOD(D236-4,9)+1,1)</f>
        <v>Mercury</v>
      </c>
      <c r="C271" s="236"/>
      <c r="D271" s="236"/>
      <c r="E271" s="230">
        <f t="shared" si="98"/>
        <v>37056.224578497684</v>
      </c>
      <c r="F271" s="232"/>
      <c r="G271" s="182" t="str">
        <f t="shared" si="99"/>
        <v>Venus</v>
      </c>
      <c r="H271" s="236" t="str">
        <f>INDEX(DasaYears,MOD(J236-4,9)+1,1)</f>
        <v>Moon</v>
      </c>
      <c r="I271" s="236"/>
      <c r="J271" s="236"/>
      <c r="K271" s="230">
        <f t="shared" si="100"/>
        <v>36647.469372371008</v>
      </c>
      <c r="M271" s="182" t="str">
        <f t="shared" si="101"/>
        <v>Ketu</v>
      </c>
      <c r="N271" s="236" t="str">
        <f>INDEX(DasaYears,MOD(P236-4,9)+1,1)</f>
        <v>Sun</v>
      </c>
      <c r="O271" s="236"/>
      <c r="P271" s="236"/>
      <c r="Q271" s="230">
        <f t="shared" si="102"/>
        <v>39996.949390507587</v>
      </c>
      <c r="S271" s="182" t="e">
        <f t="shared" si="103"/>
        <v>#N/A</v>
      </c>
      <c r="T271" s="236" t="e">
        <f>INDEX(DasaYears,MOD(V236-4,9)+1,1)</f>
        <v>#N/A</v>
      </c>
      <c r="U271" s="236"/>
      <c r="V271" s="236"/>
      <c r="W271" s="230" t="e">
        <f t="shared" si="104"/>
        <v>#N/A</v>
      </c>
      <c r="Y271" s="182" t="str">
        <f t="shared" si="105"/>
        <v>Mars</v>
      </c>
      <c r="Z271" s="236" t="str">
        <f>INDEX(DasaYears,MOD(AB236-4,9)+1,1)</f>
        <v>Jupiter</v>
      </c>
      <c r="AA271" s="236"/>
      <c r="AB271" s="236"/>
      <c r="AC271" s="230">
        <f t="shared" si="106"/>
        <v>37964.376031198495</v>
      </c>
    </row>
    <row r="272" spans="1:29" s="214" customFormat="1" ht="12.75">
      <c r="A272" s="182" t="str">
        <f t="shared" si="97"/>
        <v>Jupiter</v>
      </c>
      <c r="B272" s="236" t="str">
        <f>INDEX(DasaYears,MOD(D236-3,9)+1,1)</f>
        <v>Ketu</v>
      </c>
      <c r="C272" s="236"/>
      <c r="D272" s="236"/>
      <c r="E272" s="230">
        <f t="shared" si="98"/>
        <v>37884.135623250761</v>
      </c>
      <c r="F272" s="232"/>
      <c r="G272" s="182" t="str">
        <f t="shared" si="99"/>
        <v>Venus</v>
      </c>
      <c r="H272" s="236" t="str">
        <f>INDEX(DasaYears,MOD(J236-3,9)+1,1)</f>
        <v>Mars</v>
      </c>
      <c r="I272" s="236"/>
      <c r="J272" s="236"/>
      <c r="K272" s="230">
        <f t="shared" si="100"/>
        <v>37256.227493512975</v>
      </c>
      <c r="M272" s="182" t="str">
        <f t="shared" si="101"/>
        <v>Ketu</v>
      </c>
      <c r="N272" s="236" t="str">
        <f>INDEX(DasaYears,MOD(P236-3,9)+1,1)</f>
        <v>Moon</v>
      </c>
      <c r="O272" s="236"/>
      <c r="P272" s="236"/>
      <c r="Q272" s="230">
        <f t="shared" si="102"/>
        <v>40124.788595947401</v>
      </c>
      <c r="S272" s="182" t="e">
        <f t="shared" si="103"/>
        <v>#N/A</v>
      </c>
      <c r="T272" s="236" t="e">
        <f>INDEX(DasaYears,MOD(V236-3,9)+1,1)</f>
        <v>#N/A</v>
      </c>
      <c r="U272" s="236"/>
      <c r="V272" s="236"/>
      <c r="W272" s="230" t="e">
        <f t="shared" si="104"/>
        <v>#N/A</v>
      </c>
      <c r="Y272" s="182" t="str">
        <f t="shared" si="105"/>
        <v>Mars</v>
      </c>
      <c r="Z272" s="236" t="str">
        <f>INDEX(DasaYears,MOD(AB236-3,9)+1,1)</f>
        <v>Saturn</v>
      </c>
      <c r="AA272" s="236"/>
      <c r="AB272" s="236"/>
      <c r="AC272" s="230">
        <f t="shared" si="106"/>
        <v>38305.280579038001</v>
      </c>
    </row>
    <row r="273" spans="1:29" s="214" customFormat="1" ht="12.75">
      <c r="A273" s="182" t="str">
        <f t="shared" si="97"/>
        <v>Jupiter</v>
      </c>
      <c r="B273" s="236" t="str">
        <f>INDEX(DasaYears,MOD(D236-2,9)+1,1)</f>
        <v>Venus</v>
      </c>
      <c r="C273" s="236"/>
      <c r="D273" s="236"/>
      <c r="E273" s="230">
        <f t="shared" si="98"/>
        <v>38225.040171090266</v>
      </c>
      <c r="F273" s="232"/>
      <c r="G273" s="182" t="str">
        <f t="shared" si="99"/>
        <v>Venus</v>
      </c>
      <c r="H273" s="236" t="str">
        <f>INDEX(DasaYears,MOD(J236-2,9)+1,1)</f>
        <v>Rahu</v>
      </c>
      <c r="I273" s="236"/>
      <c r="J273" s="236"/>
      <c r="K273" s="230">
        <f t="shared" si="100"/>
        <v>37682.358178312352</v>
      </c>
      <c r="M273" s="182" t="str">
        <f t="shared" si="101"/>
        <v>Ketu</v>
      </c>
      <c r="N273" s="236" t="str">
        <f>INDEX(DasaYears,MOD(P236-2,9)+1,1)</f>
        <v>Mars</v>
      </c>
      <c r="O273" s="236"/>
      <c r="P273" s="236"/>
      <c r="Q273" s="230">
        <f t="shared" si="102"/>
        <v>40337.853938347092</v>
      </c>
      <c r="S273" s="182" t="e">
        <f t="shared" si="103"/>
        <v>#N/A</v>
      </c>
      <c r="T273" s="236" t="e">
        <f>INDEX(DasaYears,MOD(V236-2,9)+1,1)</f>
        <v>#N/A</v>
      </c>
      <c r="U273" s="236"/>
      <c r="V273" s="236"/>
      <c r="W273" s="230" t="e">
        <f t="shared" si="104"/>
        <v>#N/A</v>
      </c>
      <c r="Y273" s="182" t="str">
        <f t="shared" si="105"/>
        <v>Mars</v>
      </c>
      <c r="Z273" s="236" t="str">
        <f>INDEX(DasaYears,MOD(AB236-2,9)+1,1)</f>
        <v>Mercury</v>
      </c>
      <c r="AA273" s="236"/>
      <c r="AB273" s="236"/>
      <c r="AC273" s="230">
        <f t="shared" si="106"/>
        <v>38710.104729597413</v>
      </c>
    </row>
    <row r="274" spans="1:29" s="214" customFormat="1" ht="12.75">
      <c r="A274" s="182" t="str">
        <f t="shared" si="97"/>
        <v>Jupiter</v>
      </c>
      <c r="B274" s="214" t="str">
        <f>INDEX(DasaYears,MOD(D236-1,9)+1,1)</f>
        <v>Sun</v>
      </c>
      <c r="C274" s="236"/>
      <c r="D274" s="236"/>
      <c r="E274" s="230">
        <f t="shared" si="98"/>
        <v>39199.053164917415</v>
      </c>
      <c r="F274" s="232"/>
      <c r="G274" s="182" t="str">
        <f t="shared" si="99"/>
        <v>Venus</v>
      </c>
      <c r="H274" s="214" t="str">
        <f>INDEX(DasaYears,MOD(J236-1,9)+1,1)</f>
        <v>Jupiter</v>
      </c>
      <c r="I274" s="236"/>
      <c r="J274" s="236"/>
      <c r="K274" s="230">
        <f t="shared" si="100"/>
        <v>38778.122796367898</v>
      </c>
      <c r="M274" s="182" t="str">
        <f t="shared" si="101"/>
        <v>Ketu</v>
      </c>
      <c r="N274" s="214" t="str">
        <f>INDEX(DasaYears,MOD(P236-1,9)+1,1)</f>
        <v>Rahu</v>
      </c>
      <c r="O274" s="236"/>
      <c r="P274" s="236"/>
      <c r="Q274" s="230">
        <f t="shared" si="102"/>
        <v>40486.999678026878</v>
      </c>
      <c r="S274" s="182" t="e">
        <f t="shared" si="103"/>
        <v>#N/A</v>
      </c>
      <c r="T274" s="214" t="e">
        <f>INDEX(DasaYears,MOD(V236-1,9)+1,1)</f>
        <v>#N/A</v>
      </c>
      <c r="U274" s="236"/>
      <c r="V274" s="236"/>
      <c r="W274" s="230" t="e">
        <f t="shared" si="104"/>
        <v>#N/A</v>
      </c>
      <c r="Y274" s="182" t="str">
        <f t="shared" si="105"/>
        <v>Mars</v>
      </c>
      <c r="Z274" s="214" t="str">
        <f>INDEX(DasaYears,MOD(AB236-1,9)+1,1)</f>
        <v>Ketu</v>
      </c>
      <c r="AA274" s="236"/>
      <c r="AB274" s="236"/>
      <c r="AC274" s="230">
        <f t="shared" si="106"/>
        <v>39072.315811676883</v>
      </c>
    </row>
    <row r="275" spans="1:29" s="214" customFormat="1" ht="12.75">
      <c r="A275" s="182" t="str">
        <f t="shared" si="97"/>
        <v>Jupiter</v>
      </c>
      <c r="B275" s="236" t="str">
        <f>INDEX(DasaYears,MOD(D236,9)+1,1)</f>
        <v>Moon</v>
      </c>
      <c r="C275" s="236"/>
      <c r="D275" s="236"/>
      <c r="E275" s="230">
        <f t="shared" si="98"/>
        <v>39491.257063065561</v>
      </c>
      <c r="F275" s="232"/>
      <c r="G275" s="182" t="str">
        <f t="shared" si="99"/>
        <v>Venus</v>
      </c>
      <c r="H275" s="236" t="str">
        <f>INDEX(DasaYears,MOD(J236,9)+1,1)</f>
        <v>Saturn</v>
      </c>
      <c r="I275" s="236"/>
      <c r="J275" s="236"/>
      <c r="K275" s="230">
        <f t="shared" si="100"/>
        <v>39752.135790195047</v>
      </c>
      <c r="M275" s="182" t="str">
        <f t="shared" si="101"/>
        <v>Ketu</v>
      </c>
      <c r="N275" s="236" t="str">
        <f>INDEX(DasaYears,MOD(P236,9)+1,1)</f>
        <v>Jupiter</v>
      </c>
      <c r="O275" s="236"/>
      <c r="P275" s="236"/>
      <c r="Q275" s="230">
        <f t="shared" si="102"/>
        <v>40870.517294346319</v>
      </c>
      <c r="S275" s="182" t="e">
        <f t="shared" si="103"/>
        <v>#N/A</v>
      </c>
      <c r="T275" s="236" t="e">
        <f>INDEX(DasaYears,MOD(V236,9)+1,1)</f>
        <v>#N/A</v>
      </c>
      <c r="U275" s="236"/>
      <c r="V275" s="236"/>
      <c r="W275" s="230" t="e">
        <f t="shared" si="104"/>
        <v>#N/A</v>
      </c>
      <c r="Y275" s="182" t="str">
        <f t="shared" si="105"/>
        <v>Mars</v>
      </c>
      <c r="Z275" s="236" t="str">
        <f>INDEX(DasaYears,MOD(AB236,9)+1,1)</f>
        <v>Venus</v>
      </c>
      <c r="AA275" s="236"/>
      <c r="AB275" s="236"/>
      <c r="AC275" s="230">
        <f t="shared" si="106"/>
        <v>39221.461551356668</v>
      </c>
    </row>
    <row r="276" spans="1:29" s="214" customFormat="1" ht="12.75">
      <c r="A276" s="182" t="str">
        <f t="shared" si="97"/>
        <v>Jupiter</v>
      </c>
      <c r="B276" s="236" t="str">
        <f>INDEX(DasaYears,MOD(D236-8,9)+1,1)</f>
        <v>Mars</v>
      </c>
      <c r="C276" s="236"/>
      <c r="D276" s="236"/>
      <c r="E276" s="230">
        <f t="shared" si="98"/>
        <v>39978.263559979139</v>
      </c>
      <c r="F276" s="232"/>
      <c r="G276" s="182" t="str">
        <f t="shared" si="99"/>
        <v>Venus</v>
      </c>
      <c r="H276" s="236" t="str">
        <f>INDEX(DasaYears,MOD(J236-8,9)+1,1)</f>
        <v>Mercury</v>
      </c>
      <c r="I276" s="236"/>
      <c r="J276" s="236"/>
      <c r="K276" s="230">
        <f t="shared" si="100"/>
        <v>40908.776220364787</v>
      </c>
      <c r="M276" s="182" t="str">
        <f t="shared" si="101"/>
        <v>Ketu</v>
      </c>
      <c r="N276" s="236" t="str">
        <f>INDEX(DasaYears,MOD(P236-8,9)+1,1)</f>
        <v>Saturn</v>
      </c>
      <c r="O276" s="236"/>
      <c r="P276" s="236"/>
      <c r="Q276" s="230">
        <f t="shared" si="102"/>
        <v>41211.421842185824</v>
      </c>
      <c r="S276" s="182" t="e">
        <f t="shared" si="103"/>
        <v>#N/A</v>
      </c>
      <c r="T276" s="236" t="e">
        <f>INDEX(DasaYears,MOD(V236-8,9)+1,1)</f>
        <v>#N/A</v>
      </c>
      <c r="U276" s="236"/>
      <c r="V276" s="236"/>
      <c r="W276" s="230" t="e">
        <f t="shared" si="104"/>
        <v>#N/A</v>
      </c>
      <c r="Y276" s="182" t="str">
        <f t="shared" si="105"/>
        <v>Mars</v>
      </c>
      <c r="Z276" s="236" t="str">
        <f>INDEX(DasaYears,MOD(AB236-8,9)+1,1)</f>
        <v>Sun</v>
      </c>
      <c r="AA276" s="236"/>
      <c r="AB276" s="236"/>
      <c r="AC276" s="230">
        <f t="shared" si="106"/>
        <v>39647.592236156044</v>
      </c>
    </row>
    <row r="277" spans="1:29" s="214" customFormat="1" ht="12.75">
      <c r="A277" s="182" t="str">
        <f t="shared" si="97"/>
        <v>Jupiter</v>
      </c>
      <c r="B277" s="236" t="str">
        <f>INDEX(DasaYears,MOD(D236-7,9)+1,1)</f>
        <v>Rahu</v>
      </c>
      <c r="C277" s="236"/>
      <c r="D277" s="236"/>
      <c r="E277" s="230">
        <f t="shared" si="98"/>
        <v>40319.168107818645</v>
      </c>
      <c r="F277" s="232"/>
      <c r="G277" s="182" t="str">
        <f t="shared" si="99"/>
        <v>Venus</v>
      </c>
      <c r="H277" s="236" t="str">
        <f>INDEX(DasaYears,MOD(J236-7,9)+1,1)</f>
        <v>Ketu</v>
      </c>
      <c r="I277" s="236"/>
      <c r="J277" s="236"/>
      <c r="K277" s="230">
        <f t="shared" si="100"/>
        <v>41943.665026306138</v>
      </c>
      <c r="M277" s="182" t="str">
        <f t="shared" si="101"/>
        <v>Ketu</v>
      </c>
      <c r="N277" s="236" t="str">
        <f>INDEX(DasaYears,MOD(P236-7,9)+1,1)</f>
        <v>Mercury</v>
      </c>
      <c r="O277" s="236"/>
      <c r="P277" s="236"/>
      <c r="Q277" s="230">
        <f t="shared" si="102"/>
        <v>41616.245992745236</v>
      </c>
      <c r="S277" s="182" t="e">
        <f t="shared" si="103"/>
        <v>#N/A</v>
      </c>
      <c r="T277" s="236" t="e">
        <f>INDEX(DasaYears,MOD(V236-7,9)+1,1)</f>
        <v>#N/A</v>
      </c>
      <c r="U277" s="236"/>
      <c r="V277" s="236"/>
      <c r="W277" s="230" t="e">
        <f t="shared" si="104"/>
        <v>#N/A</v>
      </c>
      <c r="Y277" s="182" t="str">
        <f t="shared" si="105"/>
        <v>Mars</v>
      </c>
      <c r="Z277" s="236" t="str">
        <f>INDEX(DasaYears,MOD(AB236-7,9)+1,1)</f>
        <v>Moon</v>
      </c>
      <c r="AA277" s="236"/>
      <c r="AB277" s="236"/>
      <c r="AC277" s="230">
        <f t="shared" si="106"/>
        <v>39775.431441595858</v>
      </c>
    </row>
    <row r="278" spans="1:29" s="255" customFormat="1" ht="12.75">
      <c r="A278" s="201" t="str">
        <f>INDEX(DasaYears,MOD(D236+4,9)+1,1)</f>
        <v>Saturn</v>
      </c>
      <c r="C278" s="252"/>
      <c r="D278" s="252"/>
      <c r="E278" s="253">
        <f>E269+DaysInYear*VLOOKUP(A269,DasaYears,2,0)</f>
        <v>41195.779802263081</v>
      </c>
      <c r="F278" s="254"/>
      <c r="G278" s="201" t="str">
        <f>INDEX(DasaYears,MOD(J236+4,9)+1,1)</f>
        <v>Sun</v>
      </c>
      <c r="I278" s="252"/>
      <c r="J278" s="252"/>
      <c r="K278" s="253">
        <f>K269+DaysInYear*VLOOKUP(G269,DasaYears,2,0)</f>
        <v>42369.795711105515</v>
      </c>
      <c r="M278" s="201" t="str">
        <f>INDEX(DasaYears,MOD(P236+4,9)+1,1)</f>
        <v>Venus</v>
      </c>
      <c r="O278" s="252"/>
      <c r="P278" s="252"/>
      <c r="Q278" s="253">
        <f>Q269+DaysInYear*VLOOKUP(M269,DasaYears,2,0)</f>
        <v>41978.457074824706</v>
      </c>
      <c r="S278" s="201" t="e">
        <f>INDEX(DasaYears,MOD(V236+4,9)+1,1)</f>
        <v>#N/A</v>
      </c>
      <c r="U278" s="252"/>
      <c r="V278" s="252"/>
      <c r="W278" s="253" t="e">
        <f>W269+DaysInYear*VLOOKUP(S269,DasaYears,2,0)</f>
        <v>#N/A</v>
      </c>
      <c r="Y278" s="201" t="str">
        <f>INDEX(DasaYears,MOD(AB236+4,9)+1,1)</f>
        <v>Rahu</v>
      </c>
      <c r="AA278" s="252"/>
      <c r="AB278" s="252"/>
      <c r="AC278" s="253">
        <f>AC269+DaysInYear*VLOOKUP(Y269,DasaYears,2,0)</f>
        <v>39988.49678399555</v>
      </c>
    </row>
    <row r="279" spans="1:29" s="255" customFormat="1" ht="12.75">
      <c r="A279" s="201" t="str">
        <f t="shared" ref="A279:A286" si="107">A278</f>
        <v>Saturn</v>
      </c>
      <c r="B279" s="252" t="str">
        <f>INDEX(DasaYears,MOD(D236-4,9)+1,1)</f>
        <v>Mercury</v>
      </c>
      <c r="C279" s="252"/>
      <c r="D279" s="252"/>
      <c r="E279" s="253">
        <f t="shared" ref="E279:E286" si="108">E280-(VLOOKUP(A279,DasaYears,2,0)*VLOOKUP(B279,DasaYears,2,0)/VimTotal)*DaysInYear</f>
        <v>42294.588210924332</v>
      </c>
      <c r="F279" s="254"/>
      <c r="G279" s="201" t="str">
        <f t="shared" ref="G279:G286" si="109">G278</f>
        <v>Sun</v>
      </c>
      <c r="H279" s="252" t="str">
        <f>INDEX(DasaYears,MOD(J236-4,9)+1,1)</f>
        <v>Moon</v>
      </c>
      <c r="I279" s="252"/>
      <c r="J279" s="252"/>
      <c r="K279" s="253">
        <f t="shared" ref="K279:K286" si="110">K280-(VLOOKUP(G279,DasaYears,2,0)*VLOOKUP(H279,DasaYears,2,0)/VimTotal)*DaysInYear</f>
        <v>42479.372172911069</v>
      </c>
      <c r="M279" s="201" t="str">
        <f t="shared" ref="M279:M286" si="111">M278</f>
        <v>Venus</v>
      </c>
      <c r="N279" s="252" t="str">
        <f>INDEX(DasaYears,MOD(P236-4,9)+1,1)</f>
        <v>Sun</v>
      </c>
      <c r="O279" s="252"/>
      <c r="P279" s="252"/>
      <c r="Q279" s="253">
        <f t="shared" ref="Q279:Q286" si="112">Q280-(VLOOKUP(M279,DasaYears,2,0)*VLOOKUP(N279,DasaYears,2,0)/VimTotal)*DaysInYear</f>
        <v>43195.973317108655</v>
      </c>
      <c r="S279" s="201" t="e">
        <f t="shared" ref="S279:S286" si="113">S278</f>
        <v>#N/A</v>
      </c>
      <c r="T279" s="252" t="e">
        <f>INDEX(DasaYears,MOD(V236-4,9)+1,1)</f>
        <v>#N/A</v>
      </c>
      <c r="U279" s="252"/>
      <c r="V279" s="252"/>
      <c r="W279" s="253" t="e">
        <f t="shared" ref="W279:W286" si="114">W280-(VLOOKUP(S279,DasaYears,2,0)*VLOOKUP(T279,DasaYears,2,0)/VimTotal)*DaysInYear</f>
        <v>#N/A</v>
      </c>
      <c r="Y279" s="201" t="str">
        <f t="shared" ref="Y279:Y286" si="115">Y278</f>
        <v>Rahu</v>
      </c>
      <c r="Z279" s="252" t="str">
        <f>INDEX(DasaYears,MOD(AB236-4,9)+1,1)</f>
        <v>Jupiter</v>
      </c>
      <c r="AA279" s="252"/>
      <c r="AB279" s="252"/>
      <c r="AC279" s="253">
        <f t="shared" ref="AC279:AC286" si="116">AC280-(VLOOKUP(Y279,DasaYears,2,0)*VLOOKUP(Z279,DasaYears,2,0)/VimTotal)*DaysInYear</f>
        <v>40974.684940245541</v>
      </c>
    </row>
    <row r="280" spans="1:29" s="255" customFormat="1" ht="12.75">
      <c r="A280" s="201" t="str">
        <f t="shared" si="107"/>
        <v>Saturn</v>
      </c>
      <c r="B280" s="252" t="str">
        <f>INDEX(DasaYears,MOD(D236-3,9)+1,1)</f>
        <v>Ketu</v>
      </c>
      <c r="C280" s="252"/>
      <c r="D280" s="252"/>
      <c r="E280" s="253">
        <f t="shared" si="108"/>
        <v>43277.732576568611</v>
      </c>
      <c r="F280" s="254"/>
      <c r="G280" s="201" t="str">
        <f t="shared" si="109"/>
        <v>Sun</v>
      </c>
      <c r="H280" s="252" t="str">
        <f>INDEX(DasaYears,MOD(J236-3,9)+1,1)</f>
        <v>Mars</v>
      </c>
      <c r="I280" s="252"/>
      <c r="J280" s="252"/>
      <c r="K280" s="253">
        <f t="shared" si="110"/>
        <v>42661.99960925366</v>
      </c>
      <c r="M280" s="201" t="str">
        <f t="shared" si="111"/>
        <v>Venus</v>
      </c>
      <c r="N280" s="252" t="str">
        <f>INDEX(DasaYears,MOD(P236-3,9)+1,1)</f>
        <v>Moon</v>
      </c>
      <c r="O280" s="252"/>
      <c r="P280" s="252"/>
      <c r="Q280" s="253">
        <f t="shared" si="112"/>
        <v>43561.228189793837</v>
      </c>
      <c r="S280" s="201" t="e">
        <f t="shared" si="113"/>
        <v>#N/A</v>
      </c>
      <c r="T280" s="252" t="e">
        <f>INDEX(DasaYears,MOD(V236-3,9)+1,1)</f>
        <v>#N/A</v>
      </c>
      <c r="U280" s="252"/>
      <c r="V280" s="252"/>
      <c r="W280" s="253" t="e">
        <f t="shared" si="114"/>
        <v>#N/A</v>
      </c>
      <c r="Y280" s="201" t="str">
        <f t="shared" si="115"/>
        <v>Rahu</v>
      </c>
      <c r="Z280" s="252" t="str">
        <f>INDEX(DasaYears,MOD(AB236-3,9)+1,1)</f>
        <v>Saturn</v>
      </c>
      <c r="AA280" s="252"/>
      <c r="AB280" s="252"/>
      <c r="AC280" s="253">
        <f t="shared" si="116"/>
        <v>41851.296634689978</v>
      </c>
    </row>
    <row r="281" spans="1:29" s="255" customFormat="1" ht="12.75">
      <c r="A281" s="201" t="str">
        <f t="shared" si="107"/>
        <v>Saturn</v>
      </c>
      <c r="B281" s="252" t="str">
        <f>INDEX(DasaYears,MOD(D236-2,9)+1,1)</f>
        <v>Venus</v>
      </c>
      <c r="C281" s="252"/>
      <c r="D281" s="252"/>
      <c r="E281" s="253">
        <f t="shared" si="108"/>
        <v>43682.556727128023</v>
      </c>
      <c r="F281" s="254"/>
      <c r="G281" s="201" t="str">
        <f t="shared" si="109"/>
        <v>Sun</v>
      </c>
      <c r="H281" s="252" t="str">
        <f>INDEX(DasaYears,MOD(J236-2,9)+1,1)</f>
        <v>Rahu</v>
      </c>
      <c r="I281" s="252"/>
      <c r="J281" s="252"/>
      <c r="K281" s="253">
        <f t="shared" si="110"/>
        <v>42789.838814693474</v>
      </c>
      <c r="M281" s="201" t="str">
        <f t="shared" si="111"/>
        <v>Venus</v>
      </c>
      <c r="N281" s="252" t="str">
        <f>INDEX(DasaYears,MOD(P236-2,9)+1,1)</f>
        <v>Mars</v>
      </c>
      <c r="O281" s="252"/>
      <c r="P281" s="252"/>
      <c r="Q281" s="253">
        <f t="shared" si="112"/>
        <v>44169.986310935805</v>
      </c>
      <c r="S281" s="201" t="e">
        <f t="shared" si="113"/>
        <v>#N/A</v>
      </c>
      <c r="T281" s="252" t="e">
        <f>INDEX(DasaYears,MOD(V236-2,9)+1,1)</f>
        <v>#N/A</v>
      </c>
      <c r="U281" s="252"/>
      <c r="V281" s="252"/>
      <c r="W281" s="253" t="e">
        <f t="shared" si="114"/>
        <v>#N/A</v>
      </c>
      <c r="Y281" s="201" t="str">
        <f t="shared" si="115"/>
        <v>Rahu</v>
      </c>
      <c r="Z281" s="252" t="str">
        <f>INDEX(DasaYears,MOD(AB236-2,9)+1,1)</f>
        <v>Mercury</v>
      </c>
      <c r="AA281" s="252"/>
      <c r="AB281" s="252"/>
      <c r="AC281" s="253">
        <f t="shared" si="116"/>
        <v>42892.273021842746</v>
      </c>
    </row>
    <row r="282" spans="1:29" s="255" customFormat="1" ht="12.75">
      <c r="A282" s="201" t="str">
        <f t="shared" si="107"/>
        <v>Saturn</v>
      </c>
      <c r="B282" s="255" t="str">
        <f>INDEX(DasaYears,MOD(D236-1,9)+1,1)</f>
        <v>Sun</v>
      </c>
      <c r="C282" s="252"/>
      <c r="D282" s="252"/>
      <c r="E282" s="253">
        <f t="shared" si="108"/>
        <v>44839.197157297764</v>
      </c>
      <c r="F282" s="254"/>
      <c r="G282" s="201" t="str">
        <f t="shared" si="109"/>
        <v>Sun</v>
      </c>
      <c r="H282" s="255" t="str">
        <f>INDEX(DasaYears,MOD(J236-1,9)+1,1)</f>
        <v>Jupiter</v>
      </c>
      <c r="I282" s="252"/>
      <c r="J282" s="252"/>
      <c r="K282" s="253">
        <f t="shared" si="110"/>
        <v>43118.568200110138</v>
      </c>
      <c r="M282" s="201" t="str">
        <f t="shared" si="111"/>
        <v>Venus</v>
      </c>
      <c r="N282" s="255" t="str">
        <f>INDEX(DasaYears,MOD(P236-1,9)+1,1)</f>
        <v>Rahu</v>
      </c>
      <c r="O282" s="252"/>
      <c r="P282" s="252"/>
      <c r="Q282" s="253">
        <f t="shared" si="112"/>
        <v>44596.116995735181</v>
      </c>
      <c r="S282" s="201" t="e">
        <f t="shared" si="113"/>
        <v>#N/A</v>
      </c>
      <c r="T282" s="255" t="e">
        <f>INDEX(DasaYears,MOD(V236-1,9)+1,1)</f>
        <v>#N/A</v>
      </c>
      <c r="U282" s="252"/>
      <c r="V282" s="252"/>
      <c r="W282" s="253" t="e">
        <f t="shared" si="114"/>
        <v>#N/A</v>
      </c>
      <c r="Y282" s="201" t="str">
        <f t="shared" si="115"/>
        <v>Rahu</v>
      </c>
      <c r="Z282" s="255" t="str">
        <f>INDEX(DasaYears,MOD(AB236-1,9)+1,1)</f>
        <v>Ketu</v>
      </c>
      <c r="AA282" s="252"/>
      <c r="AB282" s="252"/>
      <c r="AC282" s="253">
        <f t="shared" si="116"/>
        <v>43823.67294718996</v>
      </c>
    </row>
    <row r="283" spans="1:29" s="255" customFormat="1" ht="12.75">
      <c r="A283" s="201" t="str">
        <f t="shared" si="107"/>
        <v>Saturn</v>
      </c>
      <c r="B283" s="252" t="str">
        <f>INDEX(DasaYears,MOD(D236,9)+1,1)</f>
        <v>Moon</v>
      </c>
      <c r="C283" s="252"/>
      <c r="D283" s="252"/>
      <c r="E283" s="253">
        <f t="shared" si="108"/>
        <v>45186.189286348686</v>
      </c>
      <c r="F283" s="254"/>
      <c r="G283" s="201" t="str">
        <f t="shared" si="109"/>
        <v>Sun</v>
      </c>
      <c r="H283" s="252" t="str">
        <f>INDEX(DasaYears,MOD(J236,9)+1,1)</f>
        <v>Saturn</v>
      </c>
      <c r="I283" s="252"/>
      <c r="J283" s="252"/>
      <c r="K283" s="253">
        <f t="shared" si="110"/>
        <v>43410.772098258283</v>
      </c>
      <c r="M283" s="201" t="str">
        <f t="shared" si="111"/>
        <v>Venus</v>
      </c>
      <c r="N283" s="252" t="str">
        <f>INDEX(DasaYears,MOD(P236,9)+1,1)</f>
        <v>Jupiter</v>
      </c>
      <c r="O283" s="252"/>
      <c r="P283" s="252"/>
      <c r="Q283" s="253">
        <f t="shared" si="112"/>
        <v>45691.881613790727</v>
      </c>
      <c r="S283" s="201" t="e">
        <f t="shared" si="113"/>
        <v>#N/A</v>
      </c>
      <c r="T283" s="252" t="e">
        <f>INDEX(DasaYears,MOD(V236,9)+1,1)</f>
        <v>#N/A</v>
      </c>
      <c r="U283" s="252"/>
      <c r="V283" s="252"/>
      <c r="W283" s="253" t="e">
        <f t="shared" si="114"/>
        <v>#N/A</v>
      </c>
      <c r="Y283" s="201" t="str">
        <f t="shared" si="115"/>
        <v>Rahu</v>
      </c>
      <c r="Z283" s="252" t="str">
        <f>INDEX(DasaYears,MOD(AB236,9)+1,1)</f>
        <v>Venus</v>
      </c>
      <c r="AA283" s="252"/>
      <c r="AB283" s="252"/>
      <c r="AC283" s="253">
        <f t="shared" si="116"/>
        <v>44207.190563509401</v>
      </c>
    </row>
    <row r="284" spans="1:29" s="255" customFormat="1" ht="12.75">
      <c r="A284" s="201" t="str">
        <f t="shared" si="107"/>
        <v>Saturn</v>
      </c>
      <c r="B284" s="252" t="str">
        <f>INDEX(DasaYears,MOD(D236-8,9)+1,1)</f>
        <v>Mars</v>
      </c>
      <c r="C284" s="252"/>
      <c r="D284" s="252"/>
      <c r="E284" s="253">
        <f t="shared" si="108"/>
        <v>45764.50950143356</v>
      </c>
      <c r="F284" s="254"/>
      <c r="G284" s="201" t="str">
        <f t="shared" si="109"/>
        <v>Sun</v>
      </c>
      <c r="H284" s="252" t="str">
        <f>INDEX(DasaYears,MOD(J236-8,9)+1,1)</f>
        <v>Mercury</v>
      </c>
      <c r="I284" s="252"/>
      <c r="J284" s="252"/>
      <c r="K284" s="253">
        <f t="shared" si="110"/>
        <v>43757.764227309206</v>
      </c>
      <c r="M284" s="201" t="str">
        <f t="shared" si="111"/>
        <v>Venus</v>
      </c>
      <c r="N284" s="252" t="str">
        <f>INDEX(DasaYears,MOD(P236-8,9)+1,1)</f>
        <v>Saturn</v>
      </c>
      <c r="O284" s="252"/>
      <c r="P284" s="252"/>
      <c r="Q284" s="253">
        <f t="shared" si="112"/>
        <v>46665.894607617876</v>
      </c>
      <c r="S284" s="201" t="e">
        <f t="shared" si="113"/>
        <v>#N/A</v>
      </c>
      <c r="T284" s="252" t="e">
        <f>INDEX(DasaYears,MOD(V236-8,9)+1,1)</f>
        <v>#N/A</v>
      </c>
      <c r="U284" s="252"/>
      <c r="V284" s="252"/>
      <c r="W284" s="253" t="e">
        <f t="shared" si="114"/>
        <v>#N/A</v>
      </c>
      <c r="Y284" s="201" t="str">
        <f t="shared" si="115"/>
        <v>Rahu</v>
      </c>
      <c r="Z284" s="252" t="str">
        <f>INDEX(DasaYears,MOD(AB236-8,9)+1,1)</f>
        <v>Sun</v>
      </c>
      <c r="AA284" s="252"/>
      <c r="AB284" s="252"/>
      <c r="AC284" s="253">
        <f t="shared" si="116"/>
        <v>45302.955181564947</v>
      </c>
    </row>
    <row r="285" spans="1:29" s="255" customFormat="1" ht="12.75">
      <c r="A285" s="201" t="str">
        <f t="shared" si="107"/>
        <v>Saturn</v>
      </c>
      <c r="B285" s="252" t="str">
        <f>INDEX(DasaYears,MOD(D236-7,9)+1,1)</f>
        <v>Rahu</v>
      </c>
      <c r="C285" s="252"/>
      <c r="D285" s="252"/>
      <c r="E285" s="253">
        <f t="shared" si="108"/>
        <v>46169.333651992973</v>
      </c>
      <c r="F285" s="254"/>
      <c r="G285" s="201" t="str">
        <f t="shared" si="109"/>
        <v>Sun</v>
      </c>
      <c r="H285" s="252" t="str">
        <f>INDEX(DasaYears,MOD(J236-7,9)+1,1)</f>
        <v>Ketu</v>
      </c>
      <c r="I285" s="252"/>
      <c r="J285" s="252"/>
      <c r="K285" s="253">
        <f t="shared" si="110"/>
        <v>44068.230869091611</v>
      </c>
      <c r="M285" s="201" t="str">
        <f t="shared" si="111"/>
        <v>Venus</v>
      </c>
      <c r="N285" s="252" t="str">
        <f>INDEX(DasaYears,MOD(P236-7,9)+1,1)</f>
        <v>Mercury</v>
      </c>
      <c r="O285" s="252"/>
      <c r="P285" s="252"/>
      <c r="Q285" s="253">
        <f t="shared" si="112"/>
        <v>47822.535037787617</v>
      </c>
      <c r="S285" s="201" t="e">
        <f t="shared" si="113"/>
        <v>#N/A</v>
      </c>
      <c r="T285" s="252" t="e">
        <f>INDEX(DasaYears,MOD(V236-7,9)+1,1)</f>
        <v>#N/A</v>
      </c>
      <c r="U285" s="252"/>
      <c r="V285" s="252"/>
      <c r="W285" s="253" t="e">
        <f t="shared" si="114"/>
        <v>#N/A</v>
      </c>
      <c r="Y285" s="201" t="str">
        <f t="shared" si="115"/>
        <v>Rahu</v>
      </c>
      <c r="Z285" s="252" t="str">
        <f>INDEX(DasaYears,MOD(AB236-7,9)+1,1)</f>
        <v>Moon</v>
      </c>
      <c r="AA285" s="252"/>
      <c r="AB285" s="252"/>
      <c r="AC285" s="253">
        <f t="shared" si="116"/>
        <v>45631.68456698161</v>
      </c>
    </row>
    <row r="286" spans="1:29" s="255" customFormat="1" ht="12.75">
      <c r="A286" s="201" t="str">
        <f t="shared" si="107"/>
        <v>Saturn</v>
      </c>
      <c r="B286" s="252" t="str">
        <f>INDEX(DasaYears,MOD(D236-6,9)+1,1)</f>
        <v>Jupiter</v>
      </c>
      <c r="C286" s="252"/>
      <c r="D286" s="252"/>
      <c r="E286" s="253">
        <f t="shared" si="108"/>
        <v>47210.310039145741</v>
      </c>
      <c r="F286" s="254"/>
      <c r="G286" s="201" t="str">
        <f t="shared" si="109"/>
        <v>Sun</v>
      </c>
      <c r="H286" s="252" t="str">
        <f>INDEX(DasaYears,MOD(J236-6,9)+1,1)</f>
        <v>Venus</v>
      </c>
      <c r="I286" s="252"/>
      <c r="J286" s="252"/>
      <c r="K286" s="253">
        <f t="shared" si="110"/>
        <v>44196.070074531424</v>
      </c>
      <c r="M286" s="201" t="str">
        <f t="shared" si="111"/>
        <v>Venus</v>
      </c>
      <c r="N286" s="252" t="str">
        <f>INDEX(DasaYears,MOD(P236-6,9)+1,1)</f>
        <v>Ketu</v>
      </c>
      <c r="O286" s="252"/>
      <c r="P286" s="252"/>
      <c r="Q286" s="253">
        <f t="shared" si="112"/>
        <v>48857.423843728968</v>
      </c>
      <c r="S286" s="201" t="e">
        <f t="shared" si="113"/>
        <v>#N/A</v>
      </c>
      <c r="T286" s="252" t="e">
        <f>INDEX(DasaYears,MOD(V236-6,9)+1,1)</f>
        <v>#N/A</v>
      </c>
      <c r="U286" s="252"/>
      <c r="V286" s="252"/>
      <c r="W286" s="253" t="e">
        <f t="shared" si="114"/>
        <v>#N/A</v>
      </c>
      <c r="Y286" s="201" t="str">
        <f t="shared" si="115"/>
        <v>Rahu</v>
      </c>
      <c r="Z286" s="252" t="str">
        <f>INDEX(DasaYears,MOD(AB236-6,9)+1,1)</f>
        <v>Mars</v>
      </c>
      <c r="AA286" s="252"/>
      <c r="AB286" s="252"/>
      <c r="AC286" s="253">
        <f t="shared" si="116"/>
        <v>46179.566876009383</v>
      </c>
    </row>
    <row r="287" spans="1:29" s="214" customFormat="1" ht="12.75">
      <c r="A287" s="182" t="str">
        <f>INDEX(DasaYears,MOD(D236+5,9)+1,1)</f>
        <v>Mercury</v>
      </c>
      <c r="C287" s="236"/>
      <c r="D287" s="236"/>
      <c r="E287" s="230">
        <f>E278+DaysInYear*VLOOKUP(A278,DasaYears,2,0)</f>
        <v>48135.622383281538</v>
      </c>
      <c r="F287" s="232"/>
      <c r="G287" s="182" t="str">
        <f>INDEX(DasaYears,MOD(J236+5,9)+1,1)</f>
        <v>Moon</v>
      </c>
      <c r="I287" s="236"/>
      <c r="J287" s="236"/>
      <c r="K287" s="230">
        <f>K278+DaysInYear*VLOOKUP(G278,DasaYears,2,0)</f>
        <v>44561.324947216606</v>
      </c>
      <c r="M287" s="182" t="str">
        <f>INDEX(DasaYears,MOD(P236+5,9)+1,1)</f>
        <v>Sun</v>
      </c>
      <c r="O287" s="236"/>
      <c r="P287" s="236"/>
      <c r="Q287" s="230">
        <f>Q278+DaysInYear*VLOOKUP(M278,DasaYears,2,0)</f>
        <v>49283.554528528344</v>
      </c>
      <c r="S287" s="182" t="e">
        <f>INDEX(DasaYears,MOD(V236+5,9)+1,1)</f>
        <v>#N/A</v>
      </c>
      <c r="U287" s="236"/>
      <c r="V287" s="236"/>
      <c r="W287" s="230" t="e">
        <f>W278+DaysInYear*VLOOKUP(S278,DasaYears,2,0)</f>
        <v>#N/A</v>
      </c>
      <c r="Y287" s="182" t="str">
        <f>INDEX(DasaYears,MOD(AB236+5,9)+1,1)</f>
        <v>Jupiter</v>
      </c>
      <c r="AA287" s="236"/>
      <c r="AB287" s="236"/>
      <c r="AC287" s="230">
        <f>AC278+DaysInYear*VLOOKUP(Y278,DasaYears,2,0)</f>
        <v>46563.084492328824</v>
      </c>
    </row>
    <row r="288" spans="1:29" s="214" customFormat="1" ht="12.75">
      <c r="A288" s="182" t="str">
        <f t="shared" ref="A288:A295" si="117">A287</f>
        <v>Mercury</v>
      </c>
      <c r="B288" s="236" t="str">
        <f>INDEX(DasaYears,MOD(D236-3,9)+1,1)</f>
        <v>Ketu</v>
      </c>
      <c r="C288" s="236"/>
      <c r="D288" s="236"/>
      <c r="E288" s="230">
        <f t="shared" ref="E288:E295" si="118">E289-(VLOOKUP(A288,DasaYears,2,0)*VLOOKUP(B288,DasaYears,2,0)/VimTotal)*DaysInYear</f>
        <v>49015.277868331694</v>
      </c>
      <c r="F288" s="232"/>
      <c r="G288" s="182" t="str">
        <f t="shared" ref="G288:G295" si="119">G287</f>
        <v>Moon</v>
      </c>
      <c r="H288" s="236" t="str">
        <f>INDEX(DasaYears,MOD(J236-3,9)+1,1)</f>
        <v>Mars</v>
      </c>
      <c r="I288" s="236"/>
      <c r="J288" s="236"/>
      <c r="K288" s="230">
        <f t="shared" ref="K288:K295" si="120">K289-(VLOOKUP(G288,DasaYears,2,0)*VLOOKUP(H288,DasaYears,2,0)/VimTotal)*DaysInYear</f>
        <v>44865.704007787586</v>
      </c>
      <c r="M288" s="182" t="str">
        <f t="shared" ref="M288:M295" si="121">M287</f>
        <v>Sun</v>
      </c>
      <c r="N288" s="236" t="str">
        <f>INDEX(DasaYears,MOD(P236-3,9)+1,1)</f>
        <v>Moon</v>
      </c>
      <c r="O288" s="236"/>
      <c r="P288" s="236"/>
      <c r="Q288" s="230">
        <f t="shared" ref="Q288:Q295" si="122">Q289-(VLOOKUP(M288,DasaYears,2,0)*VLOOKUP(N288,DasaYears,2,0)/VimTotal)*DaysInYear</f>
        <v>49393.130990333899</v>
      </c>
      <c r="S288" s="182" t="e">
        <f t="shared" ref="S288:S295" si="123">S287</f>
        <v>#N/A</v>
      </c>
      <c r="T288" s="236" t="e">
        <f>INDEX(DasaYears,MOD(V236-3,9)+1,1)</f>
        <v>#N/A</v>
      </c>
      <c r="U288" s="236"/>
      <c r="V288" s="236"/>
      <c r="W288" s="230" t="e">
        <f t="shared" ref="W288:W295" si="124">W289-(VLOOKUP(S288,DasaYears,2,0)*VLOOKUP(T288,DasaYears,2,0)/VimTotal)*DaysInYear</f>
        <v>#N/A</v>
      </c>
      <c r="Y288" s="182" t="str">
        <f t="shared" ref="Y288:Y295" si="125">Y287</f>
        <v>Jupiter</v>
      </c>
      <c r="Z288" s="236" t="str">
        <f>INDEX(DasaYears,MOD(AB236-3,9)+1,1)</f>
        <v>Saturn</v>
      </c>
      <c r="AA288" s="236"/>
      <c r="AB288" s="236"/>
      <c r="AC288" s="230">
        <f t="shared" ref="AC288:AC295" si="126">AC289-(VLOOKUP(Y288,DasaYears,2,0)*VLOOKUP(Z288,DasaYears,2,0)/VimTotal)*DaysInYear</f>
        <v>47342.294887390541</v>
      </c>
    </row>
    <row r="289" spans="1:29" s="214" customFormat="1" ht="12.75">
      <c r="A289" s="182" t="str">
        <f t="shared" si="117"/>
        <v>Mercury</v>
      </c>
      <c r="B289" s="236" t="str">
        <f>INDEX(DasaYears,MOD(D236-2,9)+1,1)</f>
        <v>Venus</v>
      </c>
      <c r="C289" s="236"/>
      <c r="D289" s="236"/>
      <c r="E289" s="230">
        <f t="shared" si="118"/>
        <v>49377.488950411163</v>
      </c>
      <c r="F289" s="232"/>
      <c r="G289" s="182" t="str">
        <f t="shared" si="119"/>
        <v>Moon</v>
      </c>
      <c r="H289" s="236" t="str">
        <f>INDEX(DasaYears,MOD(J236-2,9)+1,1)</f>
        <v>Rahu</v>
      </c>
      <c r="I289" s="236"/>
      <c r="J289" s="236"/>
      <c r="K289" s="230">
        <f t="shared" si="120"/>
        <v>45078.769350187278</v>
      </c>
      <c r="M289" s="182" t="str">
        <f t="shared" si="121"/>
        <v>Sun</v>
      </c>
      <c r="N289" s="236" t="str">
        <f>INDEX(DasaYears,MOD(P236-2,9)+1,1)</f>
        <v>Mars</v>
      </c>
      <c r="O289" s="236"/>
      <c r="P289" s="236"/>
      <c r="Q289" s="230">
        <f t="shared" si="122"/>
        <v>49575.75842667649</v>
      </c>
      <c r="S289" s="182" t="e">
        <f t="shared" si="123"/>
        <v>#N/A</v>
      </c>
      <c r="T289" s="236" t="e">
        <f>INDEX(DasaYears,MOD(V236-2,9)+1,1)</f>
        <v>#N/A</v>
      </c>
      <c r="U289" s="236"/>
      <c r="V289" s="236"/>
      <c r="W289" s="230" t="e">
        <f t="shared" si="124"/>
        <v>#N/A</v>
      </c>
      <c r="Y289" s="182" t="str">
        <f t="shared" si="125"/>
        <v>Jupiter</v>
      </c>
      <c r="Z289" s="236" t="str">
        <f>INDEX(DasaYears,MOD(AB236-2,9)+1,1)</f>
        <v>Mercury</v>
      </c>
      <c r="AA289" s="236"/>
      <c r="AB289" s="236"/>
      <c r="AC289" s="230">
        <f t="shared" si="126"/>
        <v>48267.607231526337</v>
      </c>
    </row>
    <row r="290" spans="1:29" s="214" customFormat="1" ht="12.75">
      <c r="A290" s="182" t="str">
        <f t="shared" si="117"/>
        <v>Mercury</v>
      </c>
      <c r="B290" s="214" t="str">
        <f>INDEX(DasaYears,MOD(D236-1,9)+1,1)</f>
        <v>Sun</v>
      </c>
      <c r="C290" s="236"/>
      <c r="D290" s="236"/>
      <c r="E290" s="230">
        <f t="shared" si="118"/>
        <v>50412.377756352515</v>
      </c>
      <c r="F290" s="232"/>
      <c r="G290" s="182" t="str">
        <f t="shared" si="119"/>
        <v>Moon</v>
      </c>
      <c r="H290" s="214" t="str">
        <f>INDEX(DasaYears,MOD(J236-1,9)+1,1)</f>
        <v>Jupiter</v>
      </c>
      <c r="I290" s="236"/>
      <c r="J290" s="236"/>
      <c r="K290" s="230">
        <f t="shared" si="120"/>
        <v>45626.651659215051</v>
      </c>
      <c r="M290" s="182" t="str">
        <f t="shared" si="121"/>
        <v>Sun</v>
      </c>
      <c r="N290" s="214" t="str">
        <f>INDEX(DasaYears,MOD(P236-1,9)+1,1)</f>
        <v>Rahu</v>
      </c>
      <c r="O290" s="236"/>
      <c r="P290" s="236"/>
      <c r="Q290" s="230">
        <f t="shared" si="122"/>
        <v>49703.597632116303</v>
      </c>
      <c r="S290" s="182" t="e">
        <f t="shared" si="123"/>
        <v>#N/A</v>
      </c>
      <c r="T290" s="214" t="e">
        <f>INDEX(DasaYears,MOD(V236-1,9)+1,1)</f>
        <v>#N/A</v>
      </c>
      <c r="U290" s="236"/>
      <c r="V290" s="236"/>
      <c r="W290" s="230" t="e">
        <f t="shared" si="124"/>
        <v>#N/A</v>
      </c>
      <c r="Y290" s="182" t="str">
        <f t="shared" si="125"/>
        <v>Jupiter</v>
      </c>
      <c r="Z290" s="214" t="str">
        <f>INDEX(DasaYears,MOD(AB236-1,9)+1,1)</f>
        <v>Ketu</v>
      </c>
      <c r="AA290" s="236"/>
      <c r="AB290" s="236"/>
      <c r="AC290" s="230">
        <f t="shared" si="126"/>
        <v>49095.518276279414</v>
      </c>
    </row>
    <row r="291" spans="1:29" s="214" customFormat="1" ht="12.75">
      <c r="A291" s="182" t="str">
        <f t="shared" si="117"/>
        <v>Mercury</v>
      </c>
      <c r="B291" s="236" t="str">
        <f>INDEX(DasaYears,MOD(D236,9)+1,1)</f>
        <v>Moon</v>
      </c>
      <c r="C291" s="236"/>
      <c r="D291" s="236"/>
      <c r="E291" s="230">
        <f t="shared" si="118"/>
        <v>50722.844398134919</v>
      </c>
      <c r="F291" s="232"/>
      <c r="G291" s="182" t="str">
        <f t="shared" si="119"/>
        <v>Moon</v>
      </c>
      <c r="H291" s="236" t="str">
        <f>INDEX(DasaYears,MOD(J236,9)+1,1)</f>
        <v>Saturn</v>
      </c>
      <c r="I291" s="236"/>
      <c r="J291" s="236"/>
      <c r="K291" s="230">
        <f t="shared" si="120"/>
        <v>46113.658156128629</v>
      </c>
      <c r="M291" s="182" t="str">
        <f t="shared" si="121"/>
        <v>Sun</v>
      </c>
      <c r="N291" s="236" t="str">
        <f>INDEX(DasaYears,MOD(P236,9)+1,1)</f>
        <v>Jupiter</v>
      </c>
      <c r="O291" s="236"/>
      <c r="P291" s="236"/>
      <c r="Q291" s="230">
        <f t="shared" si="122"/>
        <v>50032.327017532967</v>
      </c>
      <c r="S291" s="182" t="e">
        <f t="shared" si="123"/>
        <v>#N/A</v>
      </c>
      <c r="T291" s="236" t="e">
        <f>INDEX(DasaYears,MOD(V236,9)+1,1)</f>
        <v>#N/A</v>
      </c>
      <c r="U291" s="236"/>
      <c r="V291" s="236"/>
      <c r="W291" s="230" t="e">
        <f t="shared" si="124"/>
        <v>#N/A</v>
      </c>
      <c r="Y291" s="182" t="str">
        <f t="shared" si="125"/>
        <v>Jupiter</v>
      </c>
      <c r="Z291" s="236" t="str">
        <f>INDEX(DasaYears,MOD(AB236,9)+1,1)</f>
        <v>Venus</v>
      </c>
      <c r="AA291" s="236"/>
      <c r="AB291" s="236"/>
      <c r="AC291" s="230">
        <f t="shared" si="126"/>
        <v>49436.422824118919</v>
      </c>
    </row>
    <row r="292" spans="1:29" s="214" customFormat="1" ht="12.75">
      <c r="A292" s="182" t="str">
        <f t="shared" si="117"/>
        <v>Mercury</v>
      </c>
      <c r="B292" s="236" t="str">
        <f>INDEX(DasaYears,MOD(D236-8,9)+1,1)</f>
        <v>Mars</v>
      </c>
      <c r="C292" s="236"/>
      <c r="D292" s="236"/>
      <c r="E292" s="230">
        <f t="shared" si="118"/>
        <v>51240.288801105591</v>
      </c>
      <c r="F292" s="232"/>
      <c r="G292" s="182" t="str">
        <f t="shared" si="119"/>
        <v>Moon</v>
      </c>
      <c r="H292" s="236" t="str">
        <f>INDEX(DasaYears,MOD(J236-8,9)+1,1)</f>
        <v>Mercury</v>
      </c>
      <c r="I292" s="236"/>
      <c r="J292" s="236"/>
      <c r="K292" s="230">
        <f t="shared" si="120"/>
        <v>46691.978371213503</v>
      </c>
      <c r="M292" s="182" t="str">
        <f t="shared" si="121"/>
        <v>Sun</v>
      </c>
      <c r="N292" s="236" t="str">
        <f>INDEX(DasaYears,MOD(P236-8,9)+1,1)</f>
        <v>Saturn</v>
      </c>
      <c r="O292" s="236"/>
      <c r="P292" s="236"/>
      <c r="Q292" s="230">
        <f t="shared" si="122"/>
        <v>50324.530915681113</v>
      </c>
      <c r="S292" s="182" t="e">
        <f t="shared" si="123"/>
        <v>#N/A</v>
      </c>
      <c r="T292" s="236" t="e">
        <f>INDEX(DasaYears,MOD(V236-8,9)+1,1)</f>
        <v>#N/A</v>
      </c>
      <c r="U292" s="236"/>
      <c r="V292" s="236"/>
      <c r="W292" s="230" t="e">
        <f t="shared" si="124"/>
        <v>#N/A</v>
      </c>
      <c r="Y292" s="182" t="str">
        <f t="shared" si="125"/>
        <v>Jupiter</v>
      </c>
      <c r="Z292" s="236" t="str">
        <f>INDEX(DasaYears,MOD(AB236-8,9)+1,1)</f>
        <v>Sun</v>
      </c>
      <c r="AA292" s="236"/>
      <c r="AB292" s="236"/>
      <c r="AC292" s="230">
        <f t="shared" si="126"/>
        <v>50410.435817946069</v>
      </c>
    </row>
    <row r="293" spans="1:29" s="214" customFormat="1" ht="12.75">
      <c r="A293" s="182" t="str">
        <f t="shared" si="117"/>
        <v>Mercury</v>
      </c>
      <c r="B293" s="236" t="str">
        <f>INDEX(DasaYears,MOD(D236-7,9)+1,1)</f>
        <v>Rahu</v>
      </c>
      <c r="C293" s="236"/>
      <c r="D293" s="236"/>
      <c r="E293" s="230">
        <f t="shared" si="118"/>
        <v>51602.499883185061</v>
      </c>
      <c r="F293" s="232"/>
      <c r="G293" s="182" t="str">
        <f t="shared" si="119"/>
        <v>Moon</v>
      </c>
      <c r="H293" s="236" t="str">
        <f>INDEX(DasaYears,MOD(J236-7,9)+1,1)</f>
        <v>Ketu</v>
      </c>
      <c r="I293" s="236"/>
      <c r="J293" s="236"/>
      <c r="K293" s="230">
        <f t="shared" si="120"/>
        <v>47209.422774184175</v>
      </c>
      <c r="M293" s="182" t="str">
        <f t="shared" si="121"/>
        <v>Sun</v>
      </c>
      <c r="N293" s="236" t="str">
        <f>INDEX(DasaYears,MOD(P236-7,9)+1,1)</f>
        <v>Mercury</v>
      </c>
      <c r="O293" s="236"/>
      <c r="P293" s="236"/>
      <c r="Q293" s="230">
        <f t="shared" si="122"/>
        <v>50671.523044732035</v>
      </c>
      <c r="S293" s="182" t="e">
        <f t="shared" si="123"/>
        <v>#N/A</v>
      </c>
      <c r="T293" s="236" t="e">
        <f>INDEX(DasaYears,MOD(V236-7,9)+1,1)</f>
        <v>#N/A</v>
      </c>
      <c r="U293" s="236"/>
      <c r="V293" s="236"/>
      <c r="W293" s="230" t="e">
        <f t="shared" si="124"/>
        <v>#N/A</v>
      </c>
      <c r="Y293" s="182" t="str">
        <f t="shared" si="125"/>
        <v>Jupiter</v>
      </c>
      <c r="Z293" s="236" t="str">
        <f>INDEX(DasaYears,MOD(AB236-7,9)+1,1)</f>
        <v>Moon</v>
      </c>
      <c r="AA293" s="236"/>
      <c r="AB293" s="236"/>
      <c r="AC293" s="230">
        <f t="shared" si="126"/>
        <v>50702.639716094214</v>
      </c>
    </row>
    <row r="294" spans="1:29" s="214" customFormat="1" ht="12.75">
      <c r="A294" s="182" t="str">
        <f t="shared" si="117"/>
        <v>Mercury</v>
      </c>
      <c r="B294" s="236" t="str">
        <f>INDEX(DasaYears,MOD(D236-6,9)+1,1)</f>
        <v>Jupiter</v>
      </c>
      <c r="C294" s="236"/>
      <c r="D294" s="236"/>
      <c r="E294" s="230">
        <f t="shared" si="118"/>
        <v>52533.899808532275</v>
      </c>
      <c r="F294" s="232"/>
      <c r="G294" s="182" t="str">
        <f t="shared" si="119"/>
        <v>Moon</v>
      </c>
      <c r="H294" s="236" t="str">
        <f>INDEX(DasaYears,MOD(J236-6,9)+1,1)</f>
        <v>Venus</v>
      </c>
      <c r="I294" s="236"/>
      <c r="J294" s="236"/>
      <c r="K294" s="230">
        <f t="shared" si="120"/>
        <v>47422.488116583867</v>
      </c>
      <c r="M294" s="182" t="str">
        <f t="shared" si="121"/>
        <v>Sun</v>
      </c>
      <c r="N294" s="236" t="str">
        <f>INDEX(DasaYears,MOD(P236-6,9)+1,1)</f>
        <v>Ketu</v>
      </c>
      <c r="O294" s="236"/>
      <c r="P294" s="236"/>
      <c r="Q294" s="230">
        <f t="shared" si="122"/>
        <v>50981.98968651444</v>
      </c>
      <c r="S294" s="182" t="e">
        <f t="shared" si="123"/>
        <v>#N/A</v>
      </c>
      <c r="T294" s="236" t="e">
        <f>INDEX(DasaYears,MOD(V236-6,9)+1,1)</f>
        <v>#N/A</v>
      </c>
      <c r="U294" s="236"/>
      <c r="V294" s="236"/>
      <c r="W294" s="230" t="e">
        <f t="shared" si="124"/>
        <v>#N/A</v>
      </c>
      <c r="Y294" s="182" t="str">
        <f t="shared" si="125"/>
        <v>Jupiter</v>
      </c>
      <c r="Z294" s="236" t="str">
        <f>INDEX(DasaYears,MOD(AB236-6,9)+1,1)</f>
        <v>Mars</v>
      </c>
      <c r="AA294" s="236"/>
      <c r="AB294" s="236"/>
      <c r="AC294" s="230">
        <f t="shared" si="126"/>
        <v>51189.646213007793</v>
      </c>
    </row>
    <row r="295" spans="1:29" s="214" customFormat="1" ht="12.75">
      <c r="A295" s="182" t="str">
        <f t="shared" si="117"/>
        <v>Mercury</v>
      </c>
      <c r="B295" s="236" t="str">
        <f>INDEX(DasaYears,MOD(D236-5,9)+1,1)</f>
        <v>Saturn</v>
      </c>
      <c r="C295" s="236"/>
      <c r="D295" s="236"/>
      <c r="E295" s="230">
        <f t="shared" si="118"/>
        <v>53361.810853285351</v>
      </c>
      <c r="F295" s="232"/>
      <c r="G295" s="182" t="str">
        <f t="shared" si="119"/>
        <v>Moon</v>
      </c>
      <c r="H295" s="236" t="str">
        <f>INDEX(DasaYears,MOD(J236-5,9)+1,1)</f>
        <v>Sun</v>
      </c>
      <c r="I295" s="236"/>
      <c r="J295" s="236"/>
      <c r="K295" s="230">
        <f t="shared" si="120"/>
        <v>48031.246237725834</v>
      </c>
      <c r="M295" s="182" t="str">
        <f t="shared" si="121"/>
        <v>Sun</v>
      </c>
      <c r="N295" s="236" t="str">
        <f>INDEX(DasaYears,MOD(P236-5,9)+1,1)</f>
        <v>Venus</v>
      </c>
      <c r="O295" s="236"/>
      <c r="P295" s="236"/>
      <c r="Q295" s="230">
        <f t="shared" si="122"/>
        <v>51109.828891954254</v>
      </c>
      <c r="S295" s="182" t="e">
        <f t="shared" si="123"/>
        <v>#N/A</v>
      </c>
      <c r="T295" s="236" t="e">
        <f>INDEX(DasaYears,MOD(V236-5,9)+1,1)</f>
        <v>#N/A</v>
      </c>
      <c r="U295" s="236"/>
      <c r="V295" s="236"/>
      <c r="W295" s="230" t="e">
        <f t="shared" si="124"/>
        <v>#N/A</v>
      </c>
      <c r="Y295" s="182" t="str">
        <f t="shared" si="125"/>
        <v>Jupiter</v>
      </c>
      <c r="Z295" s="236" t="str">
        <f>INDEX(DasaYears,MOD(AB236-5,9)+1,1)</f>
        <v>Rahu</v>
      </c>
      <c r="AA295" s="236"/>
      <c r="AB295" s="236"/>
      <c r="AC295" s="230">
        <f t="shared" si="126"/>
        <v>51530.550760847298</v>
      </c>
    </row>
    <row r="296" spans="1:29" s="255" customFormat="1" ht="12.75">
      <c r="A296" s="201" t="str">
        <f>INDEX(DasaYears,MOD(D236+6,9)+1,1)</f>
        <v>Ketu</v>
      </c>
      <c r="C296" s="252"/>
      <c r="D296" s="252"/>
      <c r="E296" s="253">
        <f>E287+DaysInYear*VLOOKUP(A287,DasaYears,2,0)</f>
        <v>54344.95521892963</v>
      </c>
      <c r="F296" s="254"/>
      <c r="G296" s="201" t="str">
        <f>INDEX(DasaYears,MOD(J236+6,9)+1,1)</f>
        <v>Mars</v>
      </c>
      <c r="I296" s="252"/>
      <c r="J296" s="252"/>
      <c r="K296" s="253">
        <f>K287+DaysInYear*VLOOKUP(G287,DasaYears,2,0)</f>
        <v>48213.873674068425</v>
      </c>
      <c r="M296" s="201" t="str">
        <f>INDEX(DasaYears,MOD(P236+6,9)+1,1)</f>
        <v>Moon</v>
      </c>
      <c r="O296" s="252"/>
      <c r="P296" s="252"/>
      <c r="Q296" s="253">
        <f>Q287+DaysInYear*VLOOKUP(M287,DasaYears,2,0)</f>
        <v>51475.083764639436</v>
      </c>
      <c r="S296" s="201" t="e">
        <f>INDEX(DasaYears,MOD(V236+6,9)+1,1)</f>
        <v>#N/A</v>
      </c>
      <c r="U296" s="252"/>
      <c r="V296" s="252"/>
      <c r="W296" s="253" t="e">
        <f>W287+DaysInYear*VLOOKUP(S287,DasaYears,2,0)</f>
        <v>#N/A</v>
      </c>
      <c r="Y296" s="201" t="str">
        <f>INDEX(DasaYears,MOD(AB236+6,9)+1,1)</f>
        <v>Saturn</v>
      </c>
      <c r="AA296" s="252"/>
      <c r="AB296" s="252"/>
      <c r="AC296" s="253">
        <f>AC287+DaysInYear*VLOOKUP(Y287,DasaYears,2,0)</f>
        <v>52407.162455291735</v>
      </c>
    </row>
    <row r="297" spans="1:29" s="255" customFormat="1" ht="12.75">
      <c r="A297" s="201" t="str">
        <f t="shared" ref="A297:A304" si="127">A296</f>
        <v>Ketu</v>
      </c>
      <c r="B297" s="252" t="str">
        <f>INDEX(DasaYears,MOD(D236-2,9)+1,1)</f>
        <v>Venus</v>
      </c>
      <c r="C297" s="252"/>
      <c r="D297" s="252"/>
      <c r="E297" s="253">
        <f t="shared" ref="E297:E304" si="128">E298-(VLOOKUP(A297,DasaYears,2,0)*VLOOKUP(B297,DasaYears,2,0)/VimTotal)*DaysInYear</f>
        <v>54494.100958609408</v>
      </c>
      <c r="F297" s="254"/>
      <c r="G297" s="201" t="str">
        <f t="shared" ref="G297:G304" si="129">G296</f>
        <v>Mars</v>
      </c>
      <c r="H297" s="252" t="str">
        <f>INDEX(DasaYears,MOD(J236-2,9)+1,1)</f>
        <v>Rahu</v>
      </c>
      <c r="I297" s="252"/>
      <c r="J297" s="252"/>
      <c r="K297" s="253">
        <f t="shared" ref="K297:K304" si="130">K298-(VLOOKUP(G297,DasaYears,2,0)*VLOOKUP(H297,DasaYears,2,0)/VimTotal)*DaysInYear</f>
        <v>48363.019413748203</v>
      </c>
      <c r="M297" s="201" t="str">
        <f t="shared" ref="M297:M304" si="131">M296</f>
        <v>Moon</v>
      </c>
      <c r="N297" s="252" t="str">
        <f>INDEX(DasaYears,MOD(P236-2,9)+1,1)</f>
        <v>Mars</v>
      </c>
      <c r="O297" s="252"/>
      <c r="P297" s="252"/>
      <c r="Q297" s="253">
        <f t="shared" ref="Q297:Q304" si="132">Q298-(VLOOKUP(M297,DasaYears,2,0)*VLOOKUP(N297,DasaYears,2,0)/VimTotal)*DaysInYear</f>
        <v>51779.462825210416</v>
      </c>
      <c r="S297" s="201" t="e">
        <f t="shared" ref="S297:S304" si="133">S296</f>
        <v>#N/A</v>
      </c>
      <c r="T297" s="252" t="e">
        <f>INDEX(DasaYears,MOD(V236-2,9)+1,1)</f>
        <v>#N/A</v>
      </c>
      <c r="U297" s="252"/>
      <c r="V297" s="252"/>
      <c r="W297" s="253" t="e">
        <f t="shared" ref="W297:W304" si="134">W298-(VLOOKUP(S297,DasaYears,2,0)*VLOOKUP(T297,DasaYears,2,0)/VimTotal)*DaysInYear</f>
        <v>#N/A</v>
      </c>
      <c r="Y297" s="201" t="str">
        <f t="shared" ref="Y297:Y304" si="135">Y296</f>
        <v>Saturn</v>
      </c>
      <c r="Z297" s="252" t="str">
        <f>INDEX(DasaYears,MOD(AB236-2,9)+1,1)</f>
        <v>Mercury</v>
      </c>
      <c r="AA297" s="252"/>
      <c r="AB297" s="252"/>
      <c r="AC297" s="253">
        <f t="shared" ref="AC297:AC304" si="136">AC298-(VLOOKUP(Y297,DasaYears,2,0)*VLOOKUP(Z297,DasaYears,2,0)/VimTotal)*DaysInYear</f>
        <v>53505.970863952985</v>
      </c>
    </row>
    <row r="298" spans="1:29" s="255" customFormat="1" ht="12.75">
      <c r="A298" s="201" t="str">
        <f t="shared" si="127"/>
        <v>Ketu</v>
      </c>
      <c r="B298" s="255" t="str">
        <f>INDEX(DasaYears,MOD(D236-1,9)+1,1)</f>
        <v>Sun</v>
      </c>
      <c r="C298" s="252"/>
      <c r="D298" s="252"/>
      <c r="E298" s="253">
        <f t="shared" si="128"/>
        <v>54920.231643408784</v>
      </c>
      <c r="F298" s="254"/>
      <c r="G298" s="201" t="str">
        <f t="shared" si="129"/>
        <v>Mars</v>
      </c>
      <c r="H298" s="255" t="str">
        <f>INDEX(DasaYears,MOD(J236-1,9)+1,1)</f>
        <v>Jupiter</v>
      </c>
      <c r="I298" s="252"/>
      <c r="J298" s="252"/>
      <c r="K298" s="253">
        <f t="shared" si="130"/>
        <v>48746.537030067644</v>
      </c>
      <c r="M298" s="201" t="str">
        <f t="shared" si="131"/>
        <v>Moon</v>
      </c>
      <c r="N298" s="255" t="str">
        <f>INDEX(DasaYears,MOD(P236-1,9)+1,1)</f>
        <v>Rahu</v>
      </c>
      <c r="O298" s="252"/>
      <c r="P298" s="252"/>
      <c r="Q298" s="253">
        <f t="shared" si="132"/>
        <v>51992.528167610108</v>
      </c>
      <c r="S298" s="201" t="e">
        <f t="shared" si="133"/>
        <v>#N/A</v>
      </c>
      <c r="T298" s="255" t="e">
        <f>INDEX(DasaYears,MOD(V236-1,9)+1,1)</f>
        <v>#N/A</v>
      </c>
      <c r="U298" s="252"/>
      <c r="V298" s="252"/>
      <c r="W298" s="253" t="e">
        <f t="shared" si="134"/>
        <v>#N/A</v>
      </c>
      <c r="Y298" s="201" t="str">
        <f t="shared" si="135"/>
        <v>Saturn</v>
      </c>
      <c r="Z298" s="255" t="str">
        <f>INDEX(DasaYears,MOD(AB236-1,9)+1,1)</f>
        <v>Ketu</v>
      </c>
      <c r="AA298" s="252"/>
      <c r="AB298" s="252"/>
      <c r="AC298" s="253">
        <f t="shared" si="136"/>
        <v>54489.115229597264</v>
      </c>
    </row>
    <row r="299" spans="1:29" s="255" customFormat="1" ht="12.75">
      <c r="A299" s="201" t="str">
        <f t="shared" si="127"/>
        <v>Ketu</v>
      </c>
      <c r="B299" s="252" t="str">
        <f>INDEX(DasaYears,MOD(D236,9)+1,1)</f>
        <v>Moon</v>
      </c>
      <c r="C299" s="252"/>
      <c r="D299" s="252"/>
      <c r="E299" s="253">
        <f t="shared" si="128"/>
        <v>55048.070848848598</v>
      </c>
      <c r="F299" s="254"/>
      <c r="G299" s="201" t="str">
        <f t="shared" si="129"/>
        <v>Mars</v>
      </c>
      <c r="H299" s="252" t="str">
        <f>INDEX(DasaYears,MOD(J236,9)+1,1)</f>
        <v>Saturn</v>
      </c>
      <c r="I299" s="252"/>
      <c r="J299" s="252"/>
      <c r="K299" s="253">
        <f t="shared" si="130"/>
        <v>49087.44157790715</v>
      </c>
      <c r="M299" s="201" t="str">
        <f t="shared" si="131"/>
        <v>Moon</v>
      </c>
      <c r="N299" s="252" t="str">
        <f>INDEX(DasaYears,MOD(P236,9)+1,1)</f>
        <v>Jupiter</v>
      </c>
      <c r="O299" s="252"/>
      <c r="P299" s="252"/>
      <c r="Q299" s="253">
        <f t="shared" si="132"/>
        <v>52540.41047663788</v>
      </c>
      <c r="S299" s="201" t="e">
        <f t="shared" si="133"/>
        <v>#N/A</v>
      </c>
      <c r="T299" s="252" t="e">
        <f>INDEX(DasaYears,MOD(V236,9)+1,1)</f>
        <v>#N/A</v>
      </c>
      <c r="U299" s="252"/>
      <c r="V299" s="252"/>
      <c r="W299" s="253" t="e">
        <f t="shared" si="134"/>
        <v>#N/A</v>
      </c>
      <c r="Y299" s="201" t="str">
        <f t="shared" si="135"/>
        <v>Saturn</v>
      </c>
      <c r="Z299" s="252" t="str">
        <f>INDEX(DasaYears,MOD(AB236,9)+1,1)</f>
        <v>Venus</v>
      </c>
      <c r="AA299" s="252"/>
      <c r="AB299" s="252"/>
      <c r="AC299" s="253">
        <f t="shared" si="136"/>
        <v>54893.939380156677</v>
      </c>
    </row>
    <row r="300" spans="1:29" s="255" customFormat="1" ht="12.75">
      <c r="A300" s="201" t="str">
        <f t="shared" si="127"/>
        <v>Ketu</v>
      </c>
      <c r="B300" s="252" t="str">
        <f>INDEX(DasaYears,MOD(D236-8,9)+1,1)</f>
        <v>Mars</v>
      </c>
      <c r="C300" s="252"/>
      <c r="D300" s="252"/>
      <c r="E300" s="253">
        <f t="shared" si="128"/>
        <v>55261.13619124829</v>
      </c>
      <c r="F300" s="254"/>
      <c r="G300" s="201" t="str">
        <f t="shared" si="129"/>
        <v>Mars</v>
      </c>
      <c r="H300" s="252" t="str">
        <f>INDEX(DasaYears,MOD(J236-8,9)+1,1)</f>
        <v>Mercury</v>
      </c>
      <c r="I300" s="252"/>
      <c r="J300" s="252"/>
      <c r="K300" s="253">
        <f t="shared" si="130"/>
        <v>49492.265728466562</v>
      </c>
      <c r="M300" s="201" t="str">
        <f t="shared" si="131"/>
        <v>Moon</v>
      </c>
      <c r="N300" s="252" t="str">
        <f>INDEX(DasaYears,MOD(P236-8,9)+1,1)</f>
        <v>Saturn</v>
      </c>
      <c r="O300" s="252"/>
      <c r="P300" s="252"/>
      <c r="Q300" s="253">
        <f t="shared" si="132"/>
        <v>53027.416973551459</v>
      </c>
      <c r="S300" s="201" t="e">
        <f t="shared" si="133"/>
        <v>#N/A</v>
      </c>
      <c r="T300" s="252" t="e">
        <f>INDEX(DasaYears,MOD(V236-8,9)+1,1)</f>
        <v>#N/A</v>
      </c>
      <c r="U300" s="252"/>
      <c r="V300" s="252"/>
      <c r="W300" s="253" t="e">
        <f t="shared" si="134"/>
        <v>#N/A</v>
      </c>
      <c r="Y300" s="201" t="str">
        <f t="shared" si="135"/>
        <v>Saturn</v>
      </c>
      <c r="Z300" s="252" t="str">
        <f>INDEX(DasaYears,MOD(AB236-8,9)+1,1)</f>
        <v>Sun</v>
      </c>
      <c r="AA300" s="252"/>
      <c r="AB300" s="252"/>
      <c r="AC300" s="253">
        <f t="shared" si="136"/>
        <v>56050.579810326417</v>
      </c>
    </row>
    <row r="301" spans="1:29" s="255" customFormat="1" ht="12.75">
      <c r="A301" s="201" t="str">
        <f t="shared" si="127"/>
        <v>Ketu</v>
      </c>
      <c r="B301" s="252" t="str">
        <f>INDEX(DasaYears,MOD(D236-7,9)+1,1)</f>
        <v>Rahu</v>
      </c>
      <c r="C301" s="252"/>
      <c r="D301" s="252"/>
      <c r="E301" s="253">
        <f t="shared" si="128"/>
        <v>55410.281930928075</v>
      </c>
      <c r="F301" s="254"/>
      <c r="G301" s="201" t="str">
        <f t="shared" si="129"/>
        <v>Mars</v>
      </c>
      <c r="H301" s="252" t="str">
        <f>INDEX(DasaYears,MOD(J236-7,9)+1,1)</f>
        <v>Ketu</v>
      </c>
      <c r="I301" s="252"/>
      <c r="J301" s="252"/>
      <c r="K301" s="253">
        <f t="shared" si="130"/>
        <v>49854.476810546032</v>
      </c>
      <c r="M301" s="201" t="str">
        <f t="shared" si="131"/>
        <v>Moon</v>
      </c>
      <c r="N301" s="252" t="str">
        <f>INDEX(DasaYears,MOD(P236-7,9)+1,1)</f>
        <v>Mercury</v>
      </c>
      <c r="O301" s="252"/>
      <c r="P301" s="252"/>
      <c r="Q301" s="253">
        <f t="shared" si="132"/>
        <v>53605.737188636333</v>
      </c>
      <c r="S301" s="201" t="e">
        <f t="shared" si="133"/>
        <v>#N/A</v>
      </c>
      <c r="T301" s="252" t="e">
        <f>INDEX(DasaYears,MOD(V236-7,9)+1,1)</f>
        <v>#N/A</v>
      </c>
      <c r="U301" s="252"/>
      <c r="V301" s="252"/>
      <c r="W301" s="253" t="e">
        <f t="shared" si="134"/>
        <v>#N/A</v>
      </c>
      <c r="Y301" s="201" t="str">
        <f t="shared" si="135"/>
        <v>Saturn</v>
      </c>
      <c r="Z301" s="252" t="str">
        <f>INDEX(DasaYears,MOD(AB236-7,9)+1,1)</f>
        <v>Moon</v>
      </c>
      <c r="AA301" s="252"/>
      <c r="AB301" s="252"/>
      <c r="AC301" s="253">
        <f t="shared" si="136"/>
        <v>56397.57193937734</v>
      </c>
    </row>
    <row r="302" spans="1:29" s="255" customFormat="1" ht="12.75">
      <c r="A302" s="201" t="str">
        <f t="shared" si="127"/>
        <v>Ketu</v>
      </c>
      <c r="B302" s="252" t="str">
        <f>INDEX(DasaYears,MOD(D236-6,9)+1,1)</f>
        <v>Jupiter</v>
      </c>
      <c r="C302" s="252"/>
      <c r="D302" s="252"/>
      <c r="E302" s="253">
        <f t="shared" si="128"/>
        <v>55793.799547247516</v>
      </c>
      <c r="F302" s="254"/>
      <c r="G302" s="201" t="str">
        <f t="shared" si="129"/>
        <v>Mars</v>
      </c>
      <c r="H302" s="252" t="str">
        <f>INDEX(DasaYears,MOD(J236-6,9)+1,1)</f>
        <v>Venus</v>
      </c>
      <c r="I302" s="252"/>
      <c r="J302" s="252"/>
      <c r="K302" s="253">
        <f t="shared" si="130"/>
        <v>50003.622550225817</v>
      </c>
      <c r="M302" s="201" t="str">
        <f t="shared" si="131"/>
        <v>Moon</v>
      </c>
      <c r="N302" s="252" t="str">
        <f>INDEX(DasaYears,MOD(P236-6,9)+1,1)</f>
        <v>Ketu</v>
      </c>
      <c r="O302" s="252"/>
      <c r="P302" s="252"/>
      <c r="Q302" s="253">
        <f t="shared" si="132"/>
        <v>54123.181591607005</v>
      </c>
      <c r="S302" s="201" t="e">
        <f t="shared" si="133"/>
        <v>#N/A</v>
      </c>
      <c r="T302" s="252" t="e">
        <f>INDEX(DasaYears,MOD(V236-6,9)+1,1)</f>
        <v>#N/A</v>
      </c>
      <c r="U302" s="252"/>
      <c r="V302" s="252"/>
      <c r="W302" s="253" t="e">
        <f t="shared" si="134"/>
        <v>#N/A</v>
      </c>
      <c r="Y302" s="201" t="str">
        <f t="shared" si="135"/>
        <v>Saturn</v>
      </c>
      <c r="Z302" s="252" t="str">
        <f>INDEX(DasaYears,MOD(AB236-6,9)+1,1)</f>
        <v>Mars</v>
      </c>
      <c r="AA302" s="252"/>
      <c r="AB302" s="252"/>
      <c r="AC302" s="253">
        <f t="shared" si="136"/>
        <v>56975.892154462214</v>
      </c>
    </row>
    <row r="303" spans="1:29" s="255" customFormat="1" ht="12.75">
      <c r="A303" s="201" t="str">
        <f t="shared" si="127"/>
        <v>Ketu</v>
      </c>
      <c r="B303" s="252" t="str">
        <f>INDEX(DasaYears,MOD(D236-5,9)+1,1)</f>
        <v>Saturn</v>
      </c>
      <c r="C303" s="252"/>
      <c r="D303" s="252"/>
      <c r="E303" s="253">
        <f t="shared" si="128"/>
        <v>56134.704095087021</v>
      </c>
      <c r="F303" s="254"/>
      <c r="G303" s="201" t="str">
        <f t="shared" si="129"/>
        <v>Mars</v>
      </c>
      <c r="H303" s="252" t="str">
        <f>INDEX(DasaYears,MOD(J236-5,9)+1,1)</f>
        <v>Sun</v>
      </c>
      <c r="I303" s="252"/>
      <c r="J303" s="252"/>
      <c r="K303" s="253">
        <f t="shared" si="130"/>
        <v>50429.753235025193</v>
      </c>
      <c r="M303" s="201" t="str">
        <f t="shared" si="131"/>
        <v>Moon</v>
      </c>
      <c r="N303" s="252" t="str">
        <f>INDEX(DasaYears,MOD(P236-5,9)+1,1)</f>
        <v>Venus</v>
      </c>
      <c r="O303" s="252"/>
      <c r="P303" s="252"/>
      <c r="Q303" s="253">
        <f t="shared" si="132"/>
        <v>54336.246934006696</v>
      </c>
      <c r="S303" s="201" t="e">
        <f t="shared" si="133"/>
        <v>#N/A</v>
      </c>
      <c r="T303" s="252" t="e">
        <f>INDEX(DasaYears,MOD(V236-5,9)+1,1)</f>
        <v>#N/A</v>
      </c>
      <c r="U303" s="252"/>
      <c r="V303" s="252"/>
      <c r="W303" s="253" t="e">
        <f t="shared" si="134"/>
        <v>#N/A</v>
      </c>
      <c r="Y303" s="201" t="str">
        <f t="shared" si="135"/>
        <v>Saturn</v>
      </c>
      <c r="Z303" s="252" t="str">
        <f>INDEX(DasaYears,MOD(AB236-5,9)+1,1)</f>
        <v>Rahu</v>
      </c>
      <c r="AA303" s="252"/>
      <c r="AB303" s="252"/>
      <c r="AC303" s="253">
        <f t="shared" si="136"/>
        <v>57380.716305021626</v>
      </c>
    </row>
    <row r="304" spans="1:29" s="255" customFormat="1" ht="12.75">
      <c r="A304" s="201" t="str">
        <f t="shared" si="127"/>
        <v>Ketu</v>
      </c>
      <c r="B304" s="252" t="str">
        <f>INDEX(DasaYears,MOD(D236-4,9)+1,1)</f>
        <v>Mercury</v>
      </c>
      <c r="C304" s="252"/>
      <c r="D304" s="252"/>
      <c r="E304" s="253">
        <f t="shared" si="128"/>
        <v>56539.528245646434</v>
      </c>
      <c r="F304" s="254"/>
      <c r="G304" s="201" t="str">
        <f t="shared" si="129"/>
        <v>Mars</v>
      </c>
      <c r="H304" s="252" t="str">
        <f>INDEX(DasaYears,MOD(J236-4,9)+1,1)</f>
        <v>Moon</v>
      </c>
      <c r="I304" s="252"/>
      <c r="J304" s="252"/>
      <c r="K304" s="253">
        <f t="shared" si="130"/>
        <v>50557.592440465007</v>
      </c>
      <c r="M304" s="201" t="str">
        <f t="shared" si="131"/>
        <v>Moon</v>
      </c>
      <c r="N304" s="252" t="str">
        <f>INDEX(DasaYears,MOD(P236-4,9)+1,1)</f>
        <v>Sun</v>
      </c>
      <c r="O304" s="252"/>
      <c r="P304" s="252"/>
      <c r="Q304" s="253">
        <f t="shared" si="132"/>
        <v>54945.005055148664</v>
      </c>
      <c r="S304" s="201" t="e">
        <f t="shared" si="133"/>
        <v>#N/A</v>
      </c>
      <c r="T304" s="252" t="e">
        <f>INDEX(DasaYears,MOD(V236-4,9)+1,1)</f>
        <v>#N/A</v>
      </c>
      <c r="U304" s="252"/>
      <c r="V304" s="252"/>
      <c r="W304" s="253" t="e">
        <f t="shared" si="134"/>
        <v>#N/A</v>
      </c>
      <c r="Y304" s="201" t="str">
        <f t="shared" si="135"/>
        <v>Saturn</v>
      </c>
      <c r="Z304" s="252" t="str">
        <f>INDEX(DasaYears,MOD(AB236-4,9)+1,1)</f>
        <v>Jupiter</v>
      </c>
      <c r="AA304" s="252"/>
      <c r="AB304" s="252"/>
      <c r="AC304" s="253">
        <f t="shared" si="136"/>
        <v>58421.692692174394</v>
      </c>
    </row>
    <row r="305" spans="1:29" s="214" customFormat="1" ht="12.75">
      <c r="A305" s="182" t="str">
        <f>INDEX(DasaYears,MOD(D236+7,9)+1,1)</f>
        <v>Venus</v>
      </c>
      <c r="C305" s="236"/>
      <c r="D305" s="236"/>
      <c r="E305" s="230">
        <f>E296+DaysInYear*VLOOKUP(A296,DasaYears,2,0)</f>
        <v>56901.739327725903</v>
      </c>
      <c r="F305" s="232"/>
      <c r="G305" s="182" t="str">
        <f>INDEX(DasaYears,MOD(J236+7,9)+1,1)</f>
        <v>Rahu</v>
      </c>
      <c r="I305" s="236"/>
      <c r="J305" s="236"/>
      <c r="K305" s="230">
        <f>K296+DaysInYear*VLOOKUP(G296,DasaYears,2,0)</f>
        <v>50770.657782864699</v>
      </c>
      <c r="M305" s="182" t="str">
        <f>INDEX(DasaYears,MOD(P236+7,9)+1,1)</f>
        <v>Mars</v>
      </c>
      <c r="O305" s="236"/>
      <c r="P305" s="236"/>
      <c r="Q305" s="230">
        <f>Q296+DaysInYear*VLOOKUP(M296,DasaYears,2,0)</f>
        <v>55127.632491491255</v>
      </c>
      <c r="S305" s="182" t="e">
        <f>INDEX(DasaYears,MOD(V236+7,9)+1,1)</f>
        <v>#N/A</v>
      </c>
      <c r="U305" s="236"/>
      <c r="V305" s="236"/>
      <c r="W305" s="230" t="e">
        <f>W296+DaysInYear*VLOOKUP(S296,DasaYears,2,0)</f>
        <v>#N/A</v>
      </c>
      <c r="Y305" s="182" t="str">
        <f>INDEX(DasaYears,MOD(AB236+7,9)+1,1)</f>
        <v>Mercury</v>
      </c>
      <c r="AA305" s="236"/>
      <c r="AB305" s="236"/>
      <c r="AC305" s="230">
        <f>AC296+DaysInYear*VLOOKUP(Y296,DasaYears,2,0)</f>
        <v>59347.005036310191</v>
      </c>
    </row>
    <row r="306" spans="1:29" s="214" customFormat="1" ht="12.75">
      <c r="A306" s="182" t="str">
        <f t="shared" ref="A306:A313" si="137">A305</f>
        <v>Venus</v>
      </c>
      <c r="B306" s="214" t="str">
        <f>INDEX(DasaYears,MOD(D236-1,9)+1,1)</f>
        <v>Sun</v>
      </c>
      <c r="C306" s="236"/>
      <c r="D306" s="236"/>
      <c r="E306" s="230">
        <f t="shared" ref="E306:E313" si="138">E307-(VLOOKUP(A306,DasaYears,2,0)*VLOOKUP(B306,DasaYears,2,0)/VimTotal)*DaysInYear</f>
        <v>58119.255570009853</v>
      </c>
      <c r="F306" s="232"/>
      <c r="G306" s="182" t="str">
        <f t="shared" ref="G306:G313" si="139">G305</f>
        <v>Rahu</v>
      </c>
      <c r="H306" s="214" t="str">
        <f>INDEX(DasaYears,MOD(J236-1,9)+1,1)</f>
        <v>Jupiter</v>
      </c>
      <c r="I306" s="236"/>
      <c r="J306" s="236"/>
      <c r="K306" s="230">
        <f t="shared" ref="K306:K313" si="140">K307-(VLOOKUP(G306,DasaYears,2,0)*VLOOKUP(H306,DasaYears,2,0)/VimTotal)*DaysInYear</f>
        <v>51756.84593911469</v>
      </c>
      <c r="M306" s="182" t="str">
        <f t="shared" ref="M306:M313" si="141">M305</f>
        <v>Mars</v>
      </c>
      <c r="N306" s="214" t="str">
        <f>INDEX(DasaYears,MOD(P236-1,9)+1,1)</f>
        <v>Rahu</v>
      </c>
      <c r="O306" s="236"/>
      <c r="P306" s="236"/>
      <c r="Q306" s="230">
        <f t="shared" ref="Q306:Q313" si="142">Q307-(VLOOKUP(M306,DasaYears,2,0)*VLOOKUP(N306,DasaYears,2,0)/VimTotal)*DaysInYear</f>
        <v>55276.778231171033</v>
      </c>
      <c r="S306" s="182" t="e">
        <f t="shared" ref="S306:S313" si="143">S305</f>
        <v>#N/A</v>
      </c>
      <c r="T306" s="214" t="e">
        <f>INDEX(DasaYears,MOD(V236-1,9)+1,1)</f>
        <v>#N/A</v>
      </c>
      <c r="U306" s="236"/>
      <c r="V306" s="236"/>
      <c r="W306" s="230" t="e">
        <f t="shared" ref="W306:W313" si="144">W307-(VLOOKUP(S306,DasaYears,2,0)*VLOOKUP(T306,DasaYears,2,0)/VimTotal)*DaysInYear</f>
        <v>#N/A</v>
      </c>
      <c r="Y306" s="182" t="str">
        <f t="shared" ref="Y306:Y313" si="145">Y305</f>
        <v>Mercury</v>
      </c>
      <c r="Z306" s="214" t="str">
        <f>INDEX(DasaYears,MOD(AB236-1,9)+1,1)</f>
        <v>Ketu</v>
      </c>
      <c r="AA306" s="236"/>
      <c r="AB306" s="236"/>
      <c r="AC306" s="230">
        <f t="shared" ref="AC306:AC313" si="146">AC307-(VLOOKUP(Y306,DasaYears,2,0)*VLOOKUP(Z306,DasaYears,2,0)/VimTotal)*DaysInYear</f>
        <v>60226.660521360347</v>
      </c>
    </row>
    <row r="307" spans="1:29" s="214" customFormat="1" ht="12.75">
      <c r="A307" s="182" t="str">
        <f t="shared" si="137"/>
        <v>Venus</v>
      </c>
      <c r="B307" s="236" t="str">
        <f>INDEX(DasaYears,MOD(D236,9)+1,1)</f>
        <v>Moon</v>
      </c>
      <c r="C307" s="236"/>
      <c r="D307" s="236"/>
      <c r="E307" s="230">
        <f t="shared" si="138"/>
        <v>58484.510442695035</v>
      </c>
      <c r="F307" s="232"/>
      <c r="G307" s="182" t="str">
        <f t="shared" si="139"/>
        <v>Rahu</v>
      </c>
      <c r="H307" s="236" t="str">
        <f>INDEX(DasaYears,MOD(J236,9)+1,1)</f>
        <v>Saturn</v>
      </c>
      <c r="I307" s="236"/>
      <c r="J307" s="236"/>
      <c r="K307" s="230">
        <f t="shared" si="140"/>
        <v>52633.457633559126</v>
      </c>
      <c r="M307" s="182" t="str">
        <f t="shared" si="141"/>
        <v>Mars</v>
      </c>
      <c r="N307" s="236" t="str">
        <f>INDEX(DasaYears,MOD(P236,9)+1,1)</f>
        <v>Jupiter</v>
      </c>
      <c r="O307" s="236"/>
      <c r="P307" s="236"/>
      <c r="Q307" s="230">
        <f t="shared" si="142"/>
        <v>55660.295847490474</v>
      </c>
      <c r="S307" s="182" t="e">
        <f t="shared" si="143"/>
        <v>#N/A</v>
      </c>
      <c r="T307" s="236" t="e">
        <f>INDEX(DasaYears,MOD(V236,9)+1,1)</f>
        <v>#N/A</v>
      </c>
      <c r="U307" s="236"/>
      <c r="V307" s="236"/>
      <c r="W307" s="230" t="e">
        <f t="shared" si="144"/>
        <v>#N/A</v>
      </c>
      <c r="Y307" s="182" t="str">
        <f t="shared" si="145"/>
        <v>Mercury</v>
      </c>
      <c r="Z307" s="236" t="str">
        <f>INDEX(DasaYears,MOD(AB236,9)+1,1)</f>
        <v>Venus</v>
      </c>
      <c r="AA307" s="236"/>
      <c r="AB307" s="236"/>
      <c r="AC307" s="230">
        <f t="shared" si="146"/>
        <v>60588.871603439817</v>
      </c>
    </row>
    <row r="308" spans="1:29" s="214" customFormat="1" ht="12.75">
      <c r="A308" s="182" t="str">
        <f t="shared" si="137"/>
        <v>Venus</v>
      </c>
      <c r="B308" s="236" t="str">
        <f>INDEX(DasaYears,MOD(D236-8,9)+1,1)</f>
        <v>Mars</v>
      </c>
      <c r="C308" s="236"/>
      <c r="D308" s="236"/>
      <c r="E308" s="230">
        <f t="shared" si="138"/>
        <v>59093.268563837002</v>
      </c>
      <c r="F308" s="232"/>
      <c r="G308" s="182" t="str">
        <f t="shared" si="139"/>
        <v>Rahu</v>
      </c>
      <c r="H308" s="236" t="str">
        <f>INDEX(DasaYears,MOD(J236-8,9)+1,1)</f>
        <v>Mercury</v>
      </c>
      <c r="I308" s="236"/>
      <c r="J308" s="236"/>
      <c r="K308" s="230">
        <f t="shared" si="140"/>
        <v>53674.434020711895</v>
      </c>
      <c r="M308" s="182" t="str">
        <f t="shared" si="141"/>
        <v>Mars</v>
      </c>
      <c r="N308" s="236" t="str">
        <f>INDEX(DasaYears,MOD(P236-8,9)+1,1)</f>
        <v>Saturn</v>
      </c>
      <c r="O308" s="236"/>
      <c r="P308" s="236"/>
      <c r="Q308" s="230">
        <f t="shared" si="142"/>
        <v>56001.200395329979</v>
      </c>
      <c r="S308" s="182" t="e">
        <f t="shared" si="143"/>
        <v>#N/A</v>
      </c>
      <c r="T308" s="236" t="e">
        <f>INDEX(DasaYears,MOD(V236-8,9)+1,1)</f>
        <v>#N/A</v>
      </c>
      <c r="U308" s="236"/>
      <c r="V308" s="236"/>
      <c r="W308" s="230" t="e">
        <f t="shared" si="144"/>
        <v>#N/A</v>
      </c>
      <c r="Y308" s="182" t="str">
        <f t="shared" si="145"/>
        <v>Mercury</v>
      </c>
      <c r="Z308" s="236" t="str">
        <f>INDEX(DasaYears,MOD(AB236-8,9)+1,1)</f>
        <v>Sun</v>
      </c>
      <c r="AA308" s="236"/>
      <c r="AB308" s="236"/>
      <c r="AC308" s="230">
        <f t="shared" si="146"/>
        <v>61623.760409381168</v>
      </c>
    </row>
    <row r="309" spans="1:29" s="214" customFormat="1" ht="12.75">
      <c r="A309" s="182" t="str">
        <f t="shared" si="137"/>
        <v>Venus</v>
      </c>
      <c r="B309" s="236" t="str">
        <f>INDEX(DasaYears,MOD(D236-7,9)+1,1)</f>
        <v>Rahu</v>
      </c>
      <c r="C309" s="236"/>
      <c r="D309" s="236"/>
      <c r="E309" s="230">
        <f t="shared" si="138"/>
        <v>59519.399248636379</v>
      </c>
      <c r="F309" s="232"/>
      <c r="G309" s="182" t="str">
        <f t="shared" si="139"/>
        <v>Rahu</v>
      </c>
      <c r="H309" s="236" t="str">
        <f>INDEX(DasaYears,MOD(J236-7,9)+1,1)</f>
        <v>Ketu</v>
      </c>
      <c r="I309" s="236"/>
      <c r="J309" s="236"/>
      <c r="K309" s="230">
        <f t="shared" si="140"/>
        <v>54605.833946059109</v>
      </c>
      <c r="M309" s="182" t="str">
        <f t="shared" si="141"/>
        <v>Mars</v>
      </c>
      <c r="N309" s="236" t="str">
        <f>INDEX(DasaYears,MOD(P236-7,9)+1,1)</f>
        <v>Mercury</v>
      </c>
      <c r="O309" s="236"/>
      <c r="P309" s="236"/>
      <c r="Q309" s="230">
        <f t="shared" si="142"/>
        <v>56406.024545889391</v>
      </c>
      <c r="S309" s="182" t="e">
        <f t="shared" si="143"/>
        <v>#N/A</v>
      </c>
      <c r="T309" s="236" t="e">
        <f>INDEX(DasaYears,MOD(V236-7,9)+1,1)</f>
        <v>#N/A</v>
      </c>
      <c r="U309" s="236"/>
      <c r="V309" s="236"/>
      <c r="W309" s="230" t="e">
        <f t="shared" si="144"/>
        <v>#N/A</v>
      </c>
      <c r="Y309" s="182" t="str">
        <f t="shared" si="145"/>
        <v>Mercury</v>
      </c>
      <c r="Z309" s="236" t="str">
        <f>INDEX(DasaYears,MOD(AB236-7,9)+1,1)</f>
        <v>Moon</v>
      </c>
      <c r="AA309" s="236"/>
      <c r="AB309" s="236"/>
      <c r="AC309" s="230">
        <f t="shared" si="146"/>
        <v>61934.227051163572</v>
      </c>
    </row>
    <row r="310" spans="1:29" s="214" customFormat="1" ht="12.75">
      <c r="A310" s="182" t="str">
        <f t="shared" si="137"/>
        <v>Venus</v>
      </c>
      <c r="B310" s="236" t="str">
        <f>INDEX(DasaYears,MOD(D236-6,9)+1,1)</f>
        <v>Jupiter</v>
      </c>
      <c r="C310" s="236"/>
      <c r="D310" s="236"/>
      <c r="E310" s="230">
        <f t="shared" si="138"/>
        <v>60615.163866691924</v>
      </c>
      <c r="F310" s="232"/>
      <c r="G310" s="182" t="str">
        <f t="shared" si="139"/>
        <v>Rahu</v>
      </c>
      <c r="H310" s="236" t="str">
        <f>INDEX(DasaYears,MOD(J236-6,9)+1,1)</f>
        <v>Venus</v>
      </c>
      <c r="I310" s="236"/>
      <c r="J310" s="236"/>
      <c r="K310" s="230">
        <f t="shared" si="140"/>
        <v>54989.35156237855</v>
      </c>
      <c r="M310" s="182" t="str">
        <f t="shared" si="141"/>
        <v>Mars</v>
      </c>
      <c r="N310" s="236" t="str">
        <f>INDEX(DasaYears,MOD(P236-6,9)+1,1)</f>
        <v>Ketu</v>
      </c>
      <c r="O310" s="236"/>
      <c r="P310" s="236"/>
      <c r="Q310" s="230">
        <f t="shared" si="142"/>
        <v>56768.235627968861</v>
      </c>
      <c r="S310" s="182" t="e">
        <f t="shared" si="143"/>
        <v>#N/A</v>
      </c>
      <c r="T310" s="236" t="e">
        <f>INDEX(DasaYears,MOD(V236-6,9)+1,1)</f>
        <v>#N/A</v>
      </c>
      <c r="U310" s="236"/>
      <c r="V310" s="236"/>
      <c r="W310" s="230" t="e">
        <f t="shared" si="144"/>
        <v>#N/A</v>
      </c>
      <c r="Y310" s="182" t="str">
        <f t="shared" si="145"/>
        <v>Mercury</v>
      </c>
      <c r="Z310" s="236" t="str">
        <f>INDEX(DasaYears,MOD(AB236-6,9)+1,1)</f>
        <v>Mars</v>
      </c>
      <c r="AA310" s="236"/>
      <c r="AB310" s="236"/>
      <c r="AC310" s="230">
        <f t="shared" si="146"/>
        <v>62451.671454134244</v>
      </c>
    </row>
    <row r="311" spans="1:29" s="214" customFormat="1" ht="12.75">
      <c r="A311" s="182" t="str">
        <f t="shared" si="137"/>
        <v>Venus</v>
      </c>
      <c r="B311" s="236" t="str">
        <f>INDEX(DasaYears,MOD(D236-5,9)+1,1)</f>
        <v>Saturn</v>
      </c>
      <c r="C311" s="236"/>
      <c r="D311" s="236"/>
      <c r="E311" s="230">
        <f t="shared" si="138"/>
        <v>61589.176860519074</v>
      </c>
      <c r="F311" s="232"/>
      <c r="G311" s="182" t="str">
        <f t="shared" si="139"/>
        <v>Rahu</v>
      </c>
      <c r="H311" s="236" t="str">
        <f>INDEX(DasaYears,MOD(J236-5,9)+1,1)</f>
        <v>Sun</v>
      </c>
      <c r="I311" s="236"/>
      <c r="J311" s="236"/>
      <c r="K311" s="230">
        <f t="shared" si="140"/>
        <v>56085.116180434095</v>
      </c>
      <c r="M311" s="182" t="str">
        <f t="shared" si="141"/>
        <v>Mars</v>
      </c>
      <c r="N311" s="236" t="str">
        <f>INDEX(DasaYears,MOD(P236-5,9)+1,1)</f>
        <v>Venus</v>
      </c>
      <c r="O311" s="236"/>
      <c r="P311" s="236"/>
      <c r="Q311" s="230">
        <f t="shared" si="142"/>
        <v>56917.381367648646</v>
      </c>
      <c r="S311" s="182" t="e">
        <f t="shared" si="143"/>
        <v>#N/A</v>
      </c>
      <c r="T311" s="236" t="e">
        <f>INDEX(DasaYears,MOD(V236-5,9)+1,1)</f>
        <v>#N/A</v>
      </c>
      <c r="U311" s="236"/>
      <c r="V311" s="236"/>
      <c r="W311" s="230" t="e">
        <f t="shared" si="144"/>
        <v>#N/A</v>
      </c>
      <c r="Y311" s="182" t="str">
        <f t="shared" si="145"/>
        <v>Mercury</v>
      </c>
      <c r="Z311" s="236" t="str">
        <f>INDEX(DasaYears,MOD(AB236-5,9)+1,1)</f>
        <v>Rahu</v>
      </c>
      <c r="AA311" s="236"/>
      <c r="AB311" s="236"/>
      <c r="AC311" s="230">
        <f t="shared" si="146"/>
        <v>62813.882536213714</v>
      </c>
    </row>
    <row r="312" spans="1:29" s="214" customFormat="1" ht="12.75">
      <c r="A312" s="182" t="str">
        <f t="shared" si="137"/>
        <v>Venus</v>
      </c>
      <c r="B312" s="236" t="str">
        <f>INDEX(DasaYears,MOD(D236-4,9)+1,1)</f>
        <v>Mercury</v>
      </c>
      <c r="C312" s="236"/>
      <c r="D312" s="236"/>
      <c r="E312" s="230">
        <f t="shared" si="138"/>
        <v>62745.817290688814</v>
      </c>
      <c r="F312" s="232"/>
      <c r="G312" s="182" t="str">
        <f t="shared" si="139"/>
        <v>Rahu</v>
      </c>
      <c r="H312" s="236" t="str">
        <f>INDEX(DasaYears,MOD(J236-4,9)+1,1)</f>
        <v>Moon</v>
      </c>
      <c r="I312" s="236"/>
      <c r="J312" s="236"/>
      <c r="K312" s="230">
        <f t="shared" si="140"/>
        <v>56413.845565850759</v>
      </c>
      <c r="M312" s="182" t="str">
        <f t="shared" si="141"/>
        <v>Mars</v>
      </c>
      <c r="N312" s="236" t="str">
        <f>INDEX(DasaYears,MOD(P236-4,9)+1,1)</f>
        <v>Sun</v>
      </c>
      <c r="O312" s="236"/>
      <c r="P312" s="236"/>
      <c r="Q312" s="230">
        <f t="shared" si="142"/>
        <v>57343.512052448023</v>
      </c>
      <c r="S312" s="182" t="e">
        <f t="shared" si="143"/>
        <v>#N/A</v>
      </c>
      <c r="T312" s="236" t="e">
        <f>INDEX(DasaYears,MOD(V236-4,9)+1,1)</f>
        <v>#N/A</v>
      </c>
      <c r="U312" s="236"/>
      <c r="V312" s="236"/>
      <c r="W312" s="230" t="e">
        <f t="shared" si="144"/>
        <v>#N/A</v>
      </c>
      <c r="Y312" s="182" t="str">
        <f t="shared" si="145"/>
        <v>Mercury</v>
      </c>
      <c r="Z312" s="236" t="str">
        <f>INDEX(DasaYears,MOD(AB236-4,9)+1,1)</f>
        <v>Jupiter</v>
      </c>
      <c r="AA312" s="236"/>
      <c r="AB312" s="236"/>
      <c r="AC312" s="230">
        <f t="shared" si="146"/>
        <v>63745.282461560928</v>
      </c>
    </row>
    <row r="313" spans="1:29" s="214" customFormat="1" ht="12.75">
      <c r="A313" s="182" t="str">
        <f t="shared" si="137"/>
        <v>Venus</v>
      </c>
      <c r="B313" s="236" t="str">
        <f>INDEX(DasaYears,MOD(D236-3,9)+1,1)</f>
        <v>Ketu</v>
      </c>
      <c r="C313" s="236"/>
      <c r="D313" s="236"/>
      <c r="E313" s="230">
        <f t="shared" si="138"/>
        <v>63780.706096630165</v>
      </c>
      <c r="F313" s="232"/>
      <c r="G313" s="182" t="str">
        <f t="shared" si="139"/>
        <v>Rahu</v>
      </c>
      <c r="H313" s="236" t="str">
        <f>INDEX(DasaYears,MOD(J236-3,9)+1,1)</f>
        <v>Mars</v>
      </c>
      <c r="I313" s="236"/>
      <c r="J313" s="236"/>
      <c r="K313" s="230">
        <f t="shared" si="140"/>
        <v>56961.727874878532</v>
      </c>
      <c r="M313" s="182" t="str">
        <f t="shared" si="141"/>
        <v>Mars</v>
      </c>
      <c r="N313" s="236" t="str">
        <f>INDEX(DasaYears,MOD(P236-3,9)+1,1)</f>
        <v>Moon</v>
      </c>
      <c r="O313" s="236"/>
      <c r="P313" s="236"/>
      <c r="Q313" s="230">
        <f t="shared" si="142"/>
        <v>57471.351257887836</v>
      </c>
      <c r="S313" s="182" t="e">
        <f t="shared" si="143"/>
        <v>#N/A</v>
      </c>
      <c r="T313" s="236" t="e">
        <f>INDEX(DasaYears,MOD(V236-3,9)+1,1)</f>
        <v>#N/A</v>
      </c>
      <c r="U313" s="236"/>
      <c r="V313" s="236"/>
      <c r="W313" s="230" t="e">
        <f t="shared" si="144"/>
        <v>#N/A</v>
      </c>
      <c r="Y313" s="182" t="str">
        <f t="shared" si="145"/>
        <v>Mercury</v>
      </c>
      <c r="Z313" s="236" t="str">
        <f>INDEX(DasaYears,MOD(AB236-3,9)+1,1)</f>
        <v>Saturn</v>
      </c>
      <c r="AA313" s="236"/>
      <c r="AB313" s="236"/>
      <c r="AC313" s="230">
        <f t="shared" si="146"/>
        <v>64573.193506314004</v>
      </c>
    </row>
    <row r="314" spans="1:29" s="255" customFormat="1" ht="12.75">
      <c r="A314" s="201" t="str">
        <f>INDEX(DasaYears,MOD(D236+8,9)+1,1)</f>
        <v>Sun</v>
      </c>
      <c r="C314" s="252"/>
      <c r="D314" s="252"/>
      <c r="E314" s="253">
        <f>E305+DaysInYear*VLOOKUP(A305,DasaYears,2,0)</f>
        <v>64206.836781429542</v>
      </c>
      <c r="F314" s="254"/>
      <c r="G314" s="201" t="str">
        <f>INDEX(DasaYears,MOD(J236+8,9)+1,1)</f>
        <v>Jupiter</v>
      </c>
      <c r="I314" s="252"/>
      <c r="J314" s="252"/>
      <c r="K314" s="253">
        <f>K305+DaysInYear*VLOOKUP(G305,DasaYears,2,0)</f>
        <v>57345.245491197973</v>
      </c>
      <c r="M314" s="201" t="str">
        <f>INDEX(DasaYears,MOD(P236+8,9)+1,1)</f>
        <v>Rahu</v>
      </c>
      <c r="O314" s="252"/>
      <c r="P314" s="252"/>
      <c r="Q314" s="253">
        <f>Q305+DaysInYear*VLOOKUP(M305,DasaYears,2,0)</f>
        <v>57684.416600287528</v>
      </c>
      <c r="S314" s="201" t="e">
        <f>INDEX(DasaYears,MOD(V236+8,9)+1,1)</f>
        <v>#N/A</v>
      </c>
      <c r="U314" s="252"/>
      <c r="V314" s="252"/>
      <c r="W314" s="253" t="e">
        <f>W305+DaysInYear*VLOOKUP(S305,DasaYears,2,0)</f>
        <v>#N/A</v>
      </c>
      <c r="Y314" s="201" t="str">
        <f>INDEX(DasaYears,MOD(AB236+8,9)+1,1)</f>
        <v>Ketu</v>
      </c>
      <c r="AA314" s="252"/>
      <c r="AB314" s="252"/>
      <c r="AC314" s="253">
        <f>AC305+DaysInYear*VLOOKUP(Y305,DasaYears,2,0)</f>
        <v>65556.337871958283</v>
      </c>
    </row>
    <row r="315" spans="1:29" s="255" customFormat="1" ht="12.75">
      <c r="A315" s="201" t="str">
        <f t="shared" ref="A315:A322" si="147">A314</f>
        <v>Sun</v>
      </c>
      <c r="B315" s="252" t="str">
        <f>INDEX(DasaYears,MOD(D236,9)+1,1)</f>
        <v>Moon</v>
      </c>
      <c r="C315" s="252"/>
      <c r="D315" s="252"/>
      <c r="E315" s="253">
        <f t="shared" ref="E315:E322" si="148">E316-(VLOOKUP(A315,DasaYears,2,0)*VLOOKUP(B315,DasaYears,2,0)/VimTotal)*DaysInYear</f>
        <v>64316.413243235103</v>
      </c>
      <c r="F315" s="254"/>
      <c r="G315" s="201" t="str">
        <f t="shared" ref="G315:G322" si="149">G314</f>
        <v>Jupiter</v>
      </c>
      <c r="H315" s="252" t="str">
        <f>INDEX(DasaYears,MOD(J236,9)+1,1)</f>
        <v>Saturn</v>
      </c>
      <c r="I315" s="252"/>
      <c r="J315" s="252"/>
      <c r="K315" s="253">
        <f t="shared" ref="K315:K322" si="150">K316-(VLOOKUP(G315,DasaYears,2,0)*VLOOKUP(H315,DasaYears,2,0)/VimTotal)*DaysInYear</f>
        <v>58124.45588625969</v>
      </c>
      <c r="M315" s="201" t="str">
        <f t="shared" ref="M315:M322" si="151">M314</f>
        <v>Rahu</v>
      </c>
      <c r="N315" s="252" t="str">
        <f>INDEX(DasaYears,MOD(P236,9)+1,1)</f>
        <v>Jupiter</v>
      </c>
      <c r="O315" s="252"/>
      <c r="P315" s="252"/>
      <c r="Q315" s="253">
        <f t="shared" ref="Q315:Q322" si="152">Q316-(VLOOKUP(M315,DasaYears,2,0)*VLOOKUP(N315,DasaYears,2,0)/VimTotal)*DaysInYear</f>
        <v>58670.604756537519</v>
      </c>
      <c r="S315" s="201" t="e">
        <f t="shared" ref="S315:S322" si="153">S314</f>
        <v>#N/A</v>
      </c>
      <c r="T315" s="252" t="e">
        <f>INDEX(DasaYears,MOD(V236,9)+1,1)</f>
        <v>#N/A</v>
      </c>
      <c r="U315" s="252"/>
      <c r="V315" s="252"/>
      <c r="W315" s="253" t="e">
        <f t="shared" ref="W315:W322" si="154">W316-(VLOOKUP(S315,DasaYears,2,0)*VLOOKUP(T315,DasaYears,2,0)/VimTotal)*DaysInYear</f>
        <v>#N/A</v>
      </c>
      <c r="Y315" s="201" t="str">
        <f t="shared" ref="Y315:Y322" si="155">Y314</f>
        <v>Ketu</v>
      </c>
      <c r="Z315" s="252" t="str">
        <f>INDEX(DasaYears,MOD(AB236,9)+1,1)</f>
        <v>Venus</v>
      </c>
      <c r="AA315" s="252"/>
      <c r="AB315" s="252"/>
      <c r="AC315" s="253">
        <f t="shared" ref="AC315:AC322" si="156">AC316-(VLOOKUP(Y315,DasaYears,2,0)*VLOOKUP(Z315,DasaYears,2,0)/VimTotal)*DaysInYear</f>
        <v>65705.483611638076</v>
      </c>
    </row>
    <row r="316" spans="1:29" s="255" customFormat="1" ht="12.75">
      <c r="A316" s="201" t="str">
        <f t="shared" si="147"/>
        <v>Sun</v>
      </c>
      <c r="B316" s="252" t="str">
        <f>INDEX(DasaYears,MOD(D236-8,9)+1,1)</f>
        <v>Mars</v>
      </c>
      <c r="C316" s="252"/>
      <c r="D316" s="252"/>
      <c r="E316" s="253">
        <f t="shared" si="148"/>
        <v>64499.040679577694</v>
      </c>
      <c r="F316" s="254"/>
      <c r="G316" s="201" t="str">
        <f t="shared" si="149"/>
        <v>Jupiter</v>
      </c>
      <c r="H316" s="252" t="str">
        <f>INDEX(DasaYears,MOD(J236-8,9)+1,1)</f>
        <v>Mercury</v>
      </c>
      <c r="I316" s="252"/>
      <c r="J316" s="252"/>
      <c r="K316" s="253">
        <f t="shared" si="150"/>
        <v>59049.768230395486</v>
      </c>
      <c r="M316" s="201" t="str">
        <f t="shared" si="151"/>
        <v>Rahu</v>
      </c>
      <c r="N316" s="252" t="str">
        <f>INDEX(DasaYears,MOD(P236-8,9)+1,1)</f>
        <v>Saturn</v>
      </c>
      <c r="O316" s="252"/>
      <c r="P316" s="252"/>
      <c r="Q316" s="253">
        <f t="shared" si="152"/>
        <v>59547.216450981956</v>
      </c>
      <c r="S316" s="201" t="e">
        <f t="shared" si="153"/>
        <v>#N/A</v>
      </c>
      <c r="T316" s="252" t="e">
        <f>INDEX(DasaYears,MOD(V236-8,9)+1,1)</f>
        <v>#N/A</v>
      </c>
      <c r="U316" s="252"/>
      <c r="V316" s="252"/>
      <c r="W316" s="253" t="e">
        <f t="shared" si="154"/>
        <v>#N/A</v>
      </c>
      <c r="Y316" s="201" t="str">
        <f t="shared" si="155"/>
        <v>Ketu</v>
      </c>
      <c r="Z316" s="252" t="str">
        <f>INDEX(DasaYears,MOD(AB236-8,9)+1,1)</f>
        <v>Sun</v>
      </c>
      <c r="AA316" s="252"/>
      <c r="AB316" s="252"/>
      <c r="AC316" s="253">
        <f t="shared" si="156"/>
        <v>66131.614296437459</v>
      </c>
    </row>
    <row r="317" spans="1:29" s="255" customFormat="1" ht="12.75">
      <c r="A317" s="201" t="str">
        <f t="shared" si="147"/>
        <v>Sun</v>
      </c>
      <c r="B317" s="252" t="str">
        <f>INDEX(DasaYears,MOD(D236-7,9)+1,1)</f>
        <v>Rahu</v>
      </c>
      <c r="C317" s="252"/>
      <c r="D317" s="252"/>
      <c r="E317" s="253">
        <f t="shared" si="148"/>
        <v>64626.879885017508</v>
      </c>
      <c r="F317" s="254"/>
      <c r="G317" s="201" t="str">
        <f t="shared" si="149"/>
        <v>Jupiter</v>
      </c>
      <c r="H317" s="252" t="str">
        <f>INDEX(DasaYears,MOD(J236-7,9)+1,1)</f>
        <v>Ketu</v>
      </c>
      <c r="I317" s="252"/>
      <c r="J317" s="252"/>
      <c r="K317" s="253">
        <f t="shared" si="150"/>
        <v>59877.679275148563</v>
      </c>
      <c r="M317" s="201" t="str">
        <f t="shared" si="151"/>
        <v>Rahu</v>
      </c>
      <c r="N317" s="252" t="str">
        <f>INDEX(DasaYears,MOD(P236-7,9)+1,1)</f>
        <v>Mercury</v>
      </c>
      <c r="O317" s="252"/>
      <c r="P317" s="252"/>
      <c r="Q317" s="253">
        <f t="shared" si="152"/>
        <v>60588.192838134724</v>
      </c>
      <c r="S317" s="201" t="e">
        <f t="shared" si="153"/>
        <v>#N/A</v>
      </c>
      <c r="T317" s="252" t="e">
        <f>INDEX(DasaYears,MOD(V236-7,9)+1,1)</f>
        <v>#N/A</v>
      </c>
      <c r="U317" s="252"/>
      <c r="V317" s="252"/>
      <c r="W317" s="253" t="e">
        <f t="shared" si="154"/>
        <v>#N/A</v>
      </c>
      <c r="Y317" s="201" t="str">
        <f t="shared" si="155"/>
        <v>Ketu</v>
      </c>
      <c r="Z317" s="252" t="str">
        <f>INDEX(DasaYears,MOD(AB236-7,9)+1,1)</f>
        <v>Moon</v>
      </c>
      <c r="AA317" s="252"/>
      <c r="AB317" s="252"/>
      <c r="AC317" s="253">
        <f t="shared" si="156"/>
        <v>66259.453501877273</v>
      </c>
    </row>
    <row r="318" spans="1:29" s="255" customFormat="1" ht="12.75">
      <c r="A318" s="201" t="str">
        <f t="shared" si="147"/>
        <v>Sun</v>
      </c>
      <c r="B318" s="252" t="str">
        <f>INDEX(DasaYears,MOD(D236-6,9)+1,1)</f>
        <v>Jupiter</v>
      </c>
      <c r="C318" s="252"/>
      <c r="D318" s="252"/>
      <c r="E318" s="253">
        <f t="shared" si="148"/>
        <v>64955.609270434172</v>
      </c>
      <c r="F318" s="254"/>
      <c r="G318" s="201" t="str">
        <f t="shared" si="149"/>
        <v>Jupiter</v>
      </c>
      <c r="H318" s="252" t="str">
        <f>INDEX(DasaYears,MOD(J236-6,9)+1,1)</f>
        <v>Venus</v>
      </c>
      <c r="I318" s="252"/>
      <c r="J318" s="252"/>
      <c r="K318" s="253">
        <f t="shared" si="150"/>
        <v>60218.583822988068</v>
      </c>
      <c r="M318" s="201" t="str">
        <f t="shared" si="151"/>
        <v>Rahu</v>
      </c>
      <c r="N318" s="252" t="str">
        <f>INDEX(DasaYears,MOD(P236-6,9)+1,1)</f>
        <v>Ketu</v>
      </c>
      <c r="O318" s="252"/>
      <c r="P318" s="252"/>
      <c r="Q318" s="253">
        <f t="shared" si="152"/>
        <v>61519.592763481938</v>
      </c>
      <c r="S318" s="201" t="e">
        <f t="shared" si="153"/>
        <v>#N/A</v>
      </c>
      <c r="T318" s="252" t="e">
        <f>INDEX(DasaYears,MOD(V236-6,9)+1,1)</f>
        <v>#N/A</v>
      </c>
      <c r="U318" s="252"/>
      <c r="V318" s="252"/>
      <c r="W318" s="253" t="e">
        <f t="shared" si="154"/>
        <v>#N/A</v>
      </c>
      <c r="Y318" s="201" t="str">
        <f t="shared" si="155"/>
        <v>Ketu</v>
      </c>
      <c r="Z318" s="252" t="str">
        <f>INDEX(DasaYears,MOD(AB236-6,9)+1,1)</f>
        <v>Mars</v>
      </c>
      <c r="AA318" s="252"/>
      <c r="AB318" s="252"/>
      <c r="AC318" s="253">
        <f t="shared" si="156"/>
        <v>66472.518844276958</v>
      </c>
    </row>
    <row r="319" spans="1:29" s="255" customFormat="1" ht="12.75">
      <c r="A319" s="201" t="str">
        <f t="shared" si="147"/>
        <v>Sun</v>
      </c>
      <c r="B319" s="252" t="str">
        <f>INDEX(DasaYears,MOD(D236-5,9)+1,1)</f>
        <v>Saturn</v>
      </c>
      <c r="C319" s="252"/>
      <c r="D319" s="252"/>
      <c r="E319" s="253">
        <f t="shared" si="148"/>
        <v>65247.813168582317</v>
      </c>
      <c r="F319" s="254"/>
      <c r="G319" s="201" t="str">
        <f t="shared" si="149"/>
        <v>Jupiter</v>
      </c>
      <c r="H319" s="252" t="str">
        <f>INDEX(DasaYears,MOD(J236-5,9)+1,1)</f>
        <v>Sun</v>
      </c>
      <c r="I319" s="252"/>
      <c r="J319" s="252"/>
      <c r="K319" s="253">
        <f t="shared" si="150"/>
        <v>61192.596816815218</v>
      </c>
      <c r="M319" s="201" t="str">
        <f t="shared" si="151"/>
        <v>Rahu</v>
      </c>
      <c r="N319" s="252" t="str">
        <f>INDEX(DasaYears,MOD(P236-5,9)+1,1)</f>
        <v>Venus</v>
      </c>
      <c r="O319" s="252"/>
      <c r="P319" s="252"/>
      <c r="Q319" s="253">
        <f t="shared" si="152"/>
        <v>61903.110379801379</v>
      </c>
      <c r="S319" s="201" t="e">
        <f t="shared" si="153"/>
        <v>#N/A</v>
      </c>
      <c r="T319" s="252" t="e">
        <f>INDEX(DasaYears,MOD(V236-5,9)+1,1)</f>
        <v>#N/A</v>
      </c>
      <c r="U319" s="252"/>
      <c r="V319" s="252"/>
      <c r="W319" s="253" t="e">
        <f t="shared" si="154"/>
        <v>#N/A</v>
      </c>
      <c r="Y319" s="201" t="str">
        <f t="shared" si="155"/>
        <v>Ketu</v>
      </c>
      <c r="Z319" s="252" t="str">
        <f>INDEX(DasaYears,MOD(AB236-5,9)+1,1)</f>
        <v>Rahu</v>
      </c>
      <c r="AA319" s="252"/>
      <c r="AB319" s="252"/>
      <c r="AC319" s="253">
        <f t="shared" si="156"/>
        <v>66621.664583956735</v>
      </c>
    </row>
    <row r="320" spans="1:29" s="255" customFormat="1" ht="12.75">
      <c r="A320" s="201" t="str">
        <f t="shared" si="147"/>
        <v>Sun</v>
      </c>
      <c r="B320" s="252" t="str">
        <f>INDEX(DasaYears,MOD(D236-4,9)+1,1)</f>
        <v>Mercury</v>
      </c>
      <c r="C320" s="252"/>
      <c r="D320" s="252"/>
      <c r="E320" s="253">
        <f t="shared" si="148"/>
        <v>65594.80529763324</v>
      </c>
      <c r="F320" s="254"/>
      <c r="G320" s="201" t="str">
        <f t="shared" si="149"/>
        <v>Jupiter</v>
      </c>
      <c r="H320" s="252" t="str">
        <f>INDEX(DasaYears,MOD(J236-4,9)+1,1)</f>
        <v>Moon</v>
      </c>
      <c r="I320" s="252"/>
      <c r="J320" s="252"/>
      <c r="K320" s="253">
        <f t="shared" si="150"/>
        <v>61484.800714963363</v>
      </c>
      <c r="M320" s="201" t="str">
        <f t="shared" si="151"/>
        <v>Rahu</v>
      </c>
      <c r="N320" s="252" t="str">
        <f>INDEX(DasaYears,MOD(P236-4,9)+1,1)</f>
        <v>Sun</v>
      </c>
      <c r="O320" s="252"/>
      <c r="P320" s="252"/>
      <c r="Q320" s="253">
        <f t="shared" si="152"/>
        <v>62998.874997856925</v>
      </c>
      <c r="S320" s="201" t="e">
        <f t="shared" si="153"/>
        <v>#N/A</v>
      </c>
      <c r="T320" s="252" t="e">
        <f>INDEX(DasaYears,MOD(V236-4,9)+1,1)</f>
        <v>#N/A</v>
      </c>
      <c r="U320" s="252"/>
      <c r="V320" s="252"/>
      <c r="W320" s="253" t="e">
        <f t="shared" si="154"/>
        <v>#N/A</v>
      </c>
      <c r="Y320" s="201" t="str">
        <f t="shared" si="155"/>
        <v>Ketu</v>
      </c>
      <c r="Z320" s="252" t="str">
        <f>INDEX(DasaYears,MOD(AB236-4,9)+1,1)</f>
        <v>Jupiter</v>
      </c>
      <c r="AA320" s="252"/>
      <c r="AB320" s="252"/>
      <c r="AC320" s="253">
        <f t="shared" si="156"/>
        <v>67005.182200276176</v>
      </c>
    </row>
    <row r="321" spans="1:29" s="255" customFormat="1" ht="12.75">
      <c r="A321" s="201" t="str">
        <f t="shared" si="147"/>
        <v>Sun</v>
      </c>
      <c r="B321" s="252" t="str">
        <f>INDEX(DasaYears,MOD(D236-3,9)+1,1)</f>
        <v>Ketu</v>
      </c>
      <c r="C321" s="252"/>
      <c r="D321" s="252"/>
      <c r="E321" s="253">
        <f t="shared" si="148"/>
        <v>65905.271939415645</v>
      </c>
      <c r="F321" s="254"/>
      <c r="G321" s="201" t="str">
        <f t="shared" si="149"/>
        <v>Jupiter</v>
      </c>
      <c r="H321" s="252" t="str">
        <f>INDEX(DasaYears,MOD(J236-3,9)+1,1)</f>
        <v>Mars</v>
      </c>
      <c r="I321" s="252"/>
      <c r="J321" s="252"/>
      <c r="K321" s="253">
        <f t="shared" si="150"/>
        <v>61971.807211876941</v>
      </c>
      <c r="M321" s="201" t="str">
        <f t="shared" si="151"/>
        <v>Rahu</v>
      </c>
      <c r="N321" s="252" t="str">
        <f>INDEX(DasaYears,MOD(P236-3,9)+1,1)</f>
        <v>Moon</v>
      </c>
      <c r="O321" s="252"/>
      <c r="P321" s="252"/>
      <c r="Q321" s="253">
        <f t="shared" si="152"/>
        <v>63327.604383273589</v>
      </c>
      <c r="S321" s="201" t="e">
        <f t="shared" si="153"/>
        <v>#N/A</v>
      </c>
      <c r="T321" s="252" t="e">
        <f>INDEX(DasaYears,MOD(V236-3,9)+1,1)</f>
        <v>#N/A</v>
      </c>
      <c r="U321" s="252"/>
      <c r="V321" s="252"/>
      <c r="W321" s="253" t="e">
        <f t="shared" si="154"/>
        <v>#N/A</v>
      </c>
      <c r="Y321" s="201" t="str">
        <f t="shared" si="155"/>
        <v>Ketu</v>
      </c>
      <c r="Z321" s="252" t="str">
        <f>INDEX(DasaYears,MOD(AB236-3,9)+1,1)</f>
        <v>Saturn</v>
      </c>
      <c r="AA321" s="252"/>
      <c r="AB321" s="252"/>
      <c r="AC321" s="253">
        <f t="shared" si="156"/>
        <v>67346.086748115675</v>
      </c>
    </row>
    <row r="322" spans="1:29" s="255" customFormat="1" ht="12.75">
      <c r="A322" s="201" t="str">
        <f t="shared" si="147"/>
        <v>Sun</v>
      </c>
      <c r="B322" s="252" t="str">
        <f>INDEX(DasaYears,MOD(D236-2,9)+1,1)</f>
        <v>Venus</v>
      </c>
      <c r="E322" s="253">
        <f t="shared" si="148"/>
        <v>66033.111144855458</v>
      </c>
      <c r="G322" s="201" t="str">
        <f t="shared" si="149"/>
        <v>Jupiter</v>
      </c>
      <c r="H322" s="252" t="str">
        <f>INDEX(DasaYears,MOD(J236-2,9)+1,1)</f>
        <v>Rahu</v>
      </c>
      <c r="K322" s="253">
        <f t="shared" si="150"/>
        <v>62312.711759716447</v>
      </c>
      <c r="M322" s="201" t="str">
        <f t="shared" si="151"/>
        <v>Rahu</v>
      </c>
      <c r="N322" s="252" t="str">
        <f>INDEX(DasaYears,MOD(P236-2,9)+1,1)</f>
        <v>Mars</v>
      </c>
      <c r="Q322" s="253">
        <f t="shared" si="152"/>
        <v>63875.486692301361</v>
      </c>
      <c r="S322" s="201" t="e">
        <f t="shared" si="153"/>
        <v>#N/A</v>
      </c>
      <c r="T322" s="252" t="e">
        <f>INDEX(DasaYears,MOD(V236-2,9)+1,1)</f>
        <v>#N/A</v>
      </c>
      <c r="W322" s="253" t="e">
        <f t="shared" si="154"/>
        <v>#N/A</v>
      </c>
      <c r="Y322" s="201" t="str">
        <f t="shared" si="155"/>
        <v>Ketu</v>
      </c>
      <c r="Z322" s="252" t="str">
        <f>INDEX(DasaYears,MOD(AB236-2,9)+1,1)</f>
        <v>Mercury</v>
      </c>
      <c r="AC322" s="253">
        <f t="shared" si="156"/>
        <v>67750.91089867508</v>
      </c>
    </row>
    <row r="323" spans="1:29" s="214" customFormat="1" ht="12.75">
      <c r="A323" s="208" t="str">
        <f>INDEX(DasaYears,MOD(D236+9,9)+1,1)</f>
        <v>Moon</v>
      </c>
      <c r="B323" s="256"/>
      <c r="C323" s="256"/>
      <c r="D323" s="256"/>
      <c r="E323" s="257">
        <f>E314+DaysInYear*VLOOKUP(A314,DasaYears,2,0)</f>
        <v>66398.36601754064</v>
      </c>
      <c r="G323" s="208" t="str">
        <f>INDEX(DasaYears,MOD(J236+9,9)+1,1)</f>
        <v>Saturn</v>
      </c>
      <c r="H323" s="256"/>
      <c r="I323" s="256"/>
      <c r="J323" s="256"/>
      <c r="K323" s="257">
        <f>K314+DaysInYear*VLOOKUP(G314,DasaYears,2,0)</f>
        <v>63189.323454160884</v>
      </c>
      <c r="M323" s="208" t="str">
        <f>INDEX(DasaYears,MOD(P236+9,9)+1,1)</f>
        <v>Jupiter</v>
      </c>
      <c r="N323" s="256"/>
      <c r="O323" s="256"/>
      <c r="P323" s="256"/>
      <c r="Q323" s="257">
        <f>Q314+DaysInYear*VLOOKUP(M314,DasaYears,2,0)</f>
        <v>64259.004308620802</v>
      </c>
      <c r="S323" s="208" t="e">
        <f>INDEX(DasaYears,MOD(V236+9,9)+1,1)</f>
        <v>#N/A</v>
      </c>
      <c r="T323" s="256"/>
      <c r="U323" s="256"/>
      <c r="V323" s="256"/>
      <c r="W323" s="257" t="e">
        <f>W314+DaysInYear*VLOOKUP(S314,DasaYears,2,0)</f>
        <v>#N/A</v>
      </c>
      <c r="Y323" s="208" t="str">
        <f>INDEX(DasaYears,MOD(AB236+9,9)+1,1)</f>
        <v>Venus</v>
      </c>
      <c r="Z323" s="256"/>
      <c r="AA323" s="256"/>
      <c r="AB323" s="256"/>
      <c r="AC323" s="257">
        <f>AC314+DaysInYear*VLOOKUP(Y314,DasaYears,2,0)</f>
        <v>68113.121980754557</v>
      </c>
    </row>
  </sheetData>
  <mergeCells count="20">
    <mergeCell ref="B239:E239"/>
    <mergeCell ref="H239:K239"/>
    <mergeCell ref="N239:Q239"/>
    <mergeCell ref="T239:W239"/>
    <mergeCell ref="Z239:AC239"/>
    <mergeCell ref="B237:E237"/>
    <mergeCell ref="H237:K237"/>
    <mergeCell ref="N237:Q237"/>
    <mergeCell ref="T237:W237"/>
    <mergeCell ref="Z237:AC237"/>
    <mergeCell ref="B235:D235"/>
    <mergeCell ref="H235:J235"/>
    <mergeCell ref="N235:P235"/>
    <mergeCell ref="T235:V235"/>
    <mergeCell ref="Z235:AB235"/>
    <mergeCell ref="B14:D14"/>
    <mergeCell ref="B16:E16"/>
    <mergeCell ref="B18:E18"/>
    <mergeCell ref="E231:F231"/>
    <mergeCell ref="G233:J233"/>
  </mergeCells>
  <pageMargins left="0.74791666666666701" right="0.74791666666666701" top="0.98402777777777795" bottom="0.98402777777777795" header="0.511811023622047" footer="0.511811023622047"/>
  <pageSetup paperSize="9" scale="86" orientation="portrait" horizontalDpi="300" verticalDpi="300"/>
  <rowBreaks count="2" manualBreakCount="2">
    <brk id="62" max="16383" man="1"/>
    <brk id="145" max="16383" man="1"/>
  </rowBreaks>
  <colBreaks count="1" manualBreakCount="1">
    <brk id="7" max="1048575" man="1"/>
  </colBreak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O330"/>
  <sheetViews>
    <sheetView zoomScaleNormal="100" workbookViewId="0">
      <selection activeCell="F28" sqref="F28"/>
    </sheetView>
  </sheetViews>
  <sheetFormatPr defaultColWidth="8.5703125" defaultRowHeight="15"/>
  <cols>
    <col min="1" max="1" width="23.5703125" customWidth="1"/>
    <col min="2" max="2" width="18" style="258" customWidth="1"/>
    <col min="3" max="3" width="12.7109375" customWidth="1"/>
    <col min="4" max="4" width="19.140625" customWidth="1"/>
    <col min="5" max="5" width="17" customWidth="1"/>
    <col min="6" max="6" width="17.42578125" customWidth="1"/>
    <col min="7" max="7" width="22" customWidth="1"/>
    <col min="8" max="8" width="13" customWidth="1"/>
    <col min="9" max="9" width="18" style="259" customWidth="1"/>
    <col min="10" max="10" width="89.28515625" customWidth="1"/>
    <col min="11" max="11" width="10.85546875" customWidth="1"/>
  </cols>
  <sheetData>
    <row r="1" spans="1:15">
      <c r="A1" s="214" t="s">
        <v>443</v>
      </c>
      <c r="B1" s="260"/>
      <c r="C1" s="19"/>
      <c r="D1" s="15"/>
      <c r="E1" s="15"/>
      <c r="F1" s="15"/>
      <c r="N1" s="261" t="e">
        <f>JHora!#REF!</f>
        <v>#REF!</v>
      </c>
      <c r="O1" t="e">
        <f>JHora!#REF!</f>
        <v>#REF!</v>
      </c>
    </row>
    <row r="2" spans="1:15">
      <c r="A2" s="262" t="str">
        <f>Basics!A9</f>
        <v>Moon</v>
      </c>
      <c r="E2" s="176"/>
      <c r="F2" s="15"/>
      <c r="N2" s="261" t="e">
        <f>JHora!#REF!</f>
        <v>#REF!</v>
      </c>
      <c r="O2" t="e">
        <f>JHora!#REF!</f>
        <v>#REF!</v>
      </c>
    </row>
    <row r="3" spans="1:15">
      <c r="A3" s="263" t="s">
        <v>375</v>
      </c>
      <c r="B3" s="1330">
        <f>VLOOKUP(A2,ChartInfo,7,0)</f>
        <v>53.015944444444443</v>
      </c>
      <c r="C3" s="1330"/>
      <c r="D3" s="1330"/>
      <c r="E3" s="176"/>
      <c r="F3" s="15"/>
      <c r="N3" s="261">
        <f>JHora!B4</f>
        <v>37926</v>
      </c>
      <c r="O3" s="20" t="str">
        <f>JHora!C4</f>
        <v>Bought Car D16</v>
      </c>
    </row>
    <row r="4" spans="1:15">
      <c r="A4" s="264" t="s">
        <v>376</v>
      </c>
      <c r="B4" s="258" t="str">
        <f>INDEX(DasaYears,D4+1,1)</f>
        <v>Moon</v>
      </c>
      <c r="D4" s="19">
        <f>MOD(FLOOR(B3/StarDeg,1),9)</f>
        <v>3</v>
      </c>
      <c r="E4" s="176">
        <f>INDEX(DasaYears,MOD(FLOOR(B3/StarDeg,1),9)+1,2)</f>
        <v>10</v>
      </c>
      <c r="F4" s="15"/>
      <c r="N4" s="261">
        <f>JHora!B5</f>
        <v>38779</v>
      </c>
      <c r="O4" s="20" t="str">
        <f>JHora!C5</f>
        <v>Marriage D9</v>
      </c>
    </row>
    <row r="5" spans="1:15">
      <c r="A5" s="264" t="s">
        <v>377</v>
      </c>
      <c r="B5" s="1331">
        <f>((StarDeg-MOD(B3,StarDeg))/StarDeg)*E4</f>
        <v>0.23804166666666934</v>
      </c>
      <c r="C5" s="1331"/>
      <c r="D5" s="1331"/>
      <c r="E5" s="1331"/>
      <c r="F5" s="15"/>
      <c r="I5" s="259" t="e">
        <f ca="1">MATCH(C16,ChartInfo,0)</f>
        <v>#N/A</v>
      </c>
      <c r="N5" s="261">
        <f>JHora!B6</f>
        <v>41694</v>
      </c>
      <c r="O5" s="20" t="str">
        <f>JHora!C6</f>
        <v>Bought Car D16</v>
      </c>
    </row>
    <row r="6" spans="1:15">
      <c r="A6" s="264" t="s">
        <v>378</v>
      </c>
      <c r="B6" s="265"/>
      <c r="C6" s="19"/>
      <c r="D6" s="19"/>
      <c r="E6" s="176">
        <f>((MOD(B3,StarDeg))/StarDeg)*E4-F6/DaysInYear</f>
        <v>9.7619583333333306</v>
      </c>
      <c r="F6" s="15">
        <v>0</v>
      </c>
      <c r="G6" s="15" t="str">
        <f>Vimshottari!H18</f>
        <v>&lt;-Corrections Days</v>
      </c>
      <c r="I6" s="259" t="b">
        <f ca="1">VLOOKUP(C16,ChartInfo,11,0)</f>
        <v>0</v>
      </c>
      <c r="N6" s="261">
        <f>JHora!B7</f>
        <v>0</v>
      </c>
      <c r="O6" s="20">
        <f>JHora!C7</f>
        <v>0</v>
      </c>
    </row>
    <row r="7" spans="1:15">
      <c r="A7" s="264" t="s">
        <v>444</v>
      </c>
      <c r="B7" s="1332" t="b">
        <f>TRUE()</f>
        <v>1</v>
      </c>
      <c r="C7" s="1332"/>
      <c r="D7" s="1332"/>
      <c r="E7" s="1332"/>
      <c r="I7" s="259">
        <f ca="1">IF(VLOOKUP(C16,ChartInfo,11,0),1,0)*B17</f>
        <v>0</v>
      </c>
      <c r="N7" s="261">
        <f>JHora!B8</f>
        <v>0</v>
      </c>
      <c r="O7" s="20">
        <f>JHora!C8</f>
        <v>0</v>
      </c>
    </row>
    <row r="8" spans="1:15">
      <c r="A8" s="15" t="s">
        <v>445</v>
      </c>
      <c r="B8" s="266">
        <f>DaysInYear</f>
        <v>365.25487268518202</v>
      </c>
      <c r="C8" s="267"/>
      <c r="D8" s="15"/>
      <c r="E8" s="15"/>
      <c r="F8" s="15"/>
      <c r="N8" s="261">
        <f>JHora!B9</f>
        <v>0</v>
      </c>
      <c r="O8" s="20">
        <f>JHora!C9</f>
        <v>0</v>
      </c>
    </row>
    <row r="9" spans="1:15">
      <c r="A9" s="15"/>
      <c r="B9" s="266"/>
      <c r="C9" s="267"/>
      <c r="D9" s="15"/>
      <c r="E9" s="15"/>
      <c r="H9" s="15"/>
      <c r="N9" s="261">
        <f>JHora!B10</f>
        <v>0</v>
      </c>
      <c r="O9" s="20">
        <f>JHora!C10</f>
        <v>0</v>
      </c>
    </row>
    <row r="10" spans="1:15">
      <c r="A10" s="268"/>
      <c r="B10" s="269" t="s">
        <v>446</v>
      </c>
      <c r="C10" s="270" t="s">
        <v>447</v>
      </c>
      <c r="D10" s="271" t="s">
        <v>448</v>
      </c>
      <c r="E10" s="270" t="s">
        <v>449</v>
      </c>
      <c r="F10" s="270" t="s">
        <v>450</v>
      </c>
      <c r="G10" s="270" t="s">
        <v>384</v>
      </c>
      <c r="H10" s="270" t="s">
        <v>245</v>
      </c>
      <c r="I10" s="272" t="s">
        <v>451</v>
      </c>
      <c r="J10" s="273" t="s">
        <v>452</v>
      </c>
      <c r="K10" s="273" t="s">
        <v>453</v>
      </c>
      <c r="N10" s="261">
        <f>JHora!B11</f>
        <v>0</v>
      </c>
      <c r="O10" s="20">
        <f>JHora!C11</f>
        <v>0</v>
      </c>
    </row>
    <row r="11" spans="1:15">
      <c r="A11" s="274" t="s">
        <v>454</v>
      </c>
      <c r="B11" s="275">
        <f>DoB-$E$6*DaysInYear</f>
        <v>22567.7812953188</v>
      </c>
      <c r="C11" s="276">
        <f ca="1">B11+B13*INDEX(INDEX(VimFrac,,VLOOKUP(B16,PlanetData,3,0)+1),MATCH(B14,INDEX(VimFrac,,VLOOKUP(B16,PlanetData,3,0)+1),1))</f>
        <v>41195.779802263089</v>
      </c>
      <c r="D11" s="276">
        <f ca="1">C11+C13*INDEX(INDEX(VimFrac,0,9*C17+VLOOKUP(C16,PlanetData,3,0)+1),IF(C17,1,0)+MATCH(C14,INDEX(VimFrac,0,9*C17+VLOOKUP(C16,PlanetData,3,0)+1),IF(C17,-1,1)))</f>
        <v>44839.197157297771</v>
      </c>
      <c r="E11" s="276">
        <f ca="1">D11+D13*INDEX(INDEX(VimFrac,0,9*D17+VLOOKUP(D16,PlanetData,3,0)+1),IF(D17,1,0)+MATCH(D14,INDEX(VimFrac,0,9*D17+VLOOKUP(D16,PlanetData,3,0)+1),IF(D17,-1,1)))</f>
        <v>45058.95883903002</v>
      </c>
      <c r="F11" s="276">
        <f ca="1">E11+E13*INDEX(INDEX(VimFrac,0,9*E17+VLOOKUP(E16,PlanetData,3,0)+1),IF(E17,1,0)+MATCH(E14,INDEX(VimFrac,0,9*E17+VLOOKUP(E16,PlanetData,3,0)+1),IF(E17,-1,1)))</f>
        <v>45086.40495257092</v>
      </c>
      <c r="G11" s="276">
        <f ca="1">F11+F13*INDEX(INDEX(VimFrac,0,9*F17+VLOOKUP(F16,PlanetData,3,0)+1),IF(F17,1,0)+MATCH(F14,INDEX(VimFrac,0,9*F17+VLOOKUP(F16,PlanetData,3,0)+1),IF(F17,-1,1)))</f>
        <v>45089.661618282116</v>
      </c>
      <c r="H11" s="276">
        <f ca="1">G11+G13*INDEX(INDEX(VimFrac,0,9*G17+VLOOKUP(G16,PlanetData,3,0)+1),IF(G17,1,0)+MATCH(G14,INDEX(VimFrac,0,9*G17+VLOOKUP(G16,PlanetData,3,0)+1),IF(G17,-1,1)))</f>
        <v>45090.540815613269</v>
      </c>
      <c r="J11" t="str">
        <f>J12</f>
        <v>Now() The current dasa</v>
      </c>
      <c r="K11">
        <v>1</v>
      </c>
      <c r="N11" s="261">
        <f>JHora!B12</f>
        <v>0</v>
      </c>
      <c r="O11" s="20">
        <f>JHora!C12</f>
        <v>0</v>
      </c>
    </row>
    <row r="12" spans="1:15">
      <c r="A12" s="274" t="s">
        <v>455</v>
      </c>
      <c r="B12" s="275">
        <f>B11+B13</f>
        <v>66398.36601754064</v>
      </c>
      <c r="C12" s="276">
        <f ca="1">B11+B13*INDEX(INDEX(VimFrac,,VLOOKUP(B16,PlanetData,3,0)+1),MATCH(B14,INDEX(VimFrac,,VLOOKUP(B16,PlanetData,3,0)+1),1)+1)</f>
        <v>48135.62238328153</v>
      </c>
      <c r="D12" s="276">
        <f ca="1">C11+C13*INDEX(INDEX(VimFrac,0,9*C17+VLOOKUP(C16,PlanetData,3,0)+1),IF(C17,0,1)+MATCH(C14,INDEX(VimFrac,0,9*C17+VLOOKUP(C16,PlanetData,3,0)+1),IF(C17,-1,1)))</f>
        <v>45186.189286348694</v>
      </c>
      <c r="E12" s="276">
        <f ca="1">D11+D13*INDEX(INDEX(VimFrac,0,9*D17+VLOOKUP(D16,PlanetData,3,0)+1),IF(D17,0,1)+MATCH(D14,INDEX(VimFrac,0,9*D17+VLOOKUP(D16,PlanetData,3,0)+1),IF(D17,-1,1)))</f>
        <v>45108.116057312232</v>
      </c>
      <c r="F12" s="276">
        <f ca="1">E11+E13*INDEX(INDEX(VimFrac,0,9*E17+VLOOKUP(E16,PlanetData,3,0)+1),IF(E17,0,1)+MATCH(E14,INDEX(VimFrac,0,9*E17+VLOOKUP(E16,PlanetData,3,0)+1),IF(E17,-1,1)))</f>
        <v>45093.778535313257</v>
      </c>
      <c r="G12" s="276">
        <f ca="1">F11+F13*INDEX(INDEX(VimFrac,0,9*F17+VLOOKUP(F16,PlanetData,3,0)+1),IF(F17,0,1)+MATCH(F14,INDEX(VimFrac,0,9*F17+VLOOKUP(F16,PlanetData,3,0)+1),IF(F17,-1,1)))</f>
        <v>45090.706209170618</v>
      </c>
      <c r="H12" s="276">
        <f ca="1">G11+G13*INDEX(INDEX(VimFrac,0,9*G17+VLOOKUP(G16,PlanetData,3,0)+1),IF(G17,0,1)+MATCH(G14,INDEX(VimFrac,0,9*G17+VLOOKUP(G16,PlanetData,3,0)+1),IF(G17,-1,1)))</f>
        <v>45090.706209170618</v>
      </c>
      <c r="J12" t="str">
        <f>J16</f>
        <v>Now() The current dasa</v>
      </c>
      <c r="K12">
        <v>1</v>
      </c>
      <c r="N12" s="261">
        <f>JHora!B13</f>
        <v>0</v>
      </c>
      <c r="O12" s="20">
        <f>JHora!C13</f>
        <v>0</v>
      </c>
    </row>
    <row r="13" spans="1:15">
      <c r="A13" s="277" t="s">
        <v>456</v>
      </c>
      <c r="B13" s="278">
        <f>120*DaysInYear</f>
        <v>43830.584722221844</v>
      </c>
      <c r="C13" s="279">
        <f t="shared" ref="C13:H13" ca="1" si="0">C12-C11</f>
        <v>6939.8425810184417</v>
      </c>
      <c r="D13" s="279">
        <f t="shared" ca="1" si="0"/>
        <v>346.99212905092281</v>
      </c>
      <c r="E13" s="279">
        <f t="shared" ca="1" si="0"/>
        <v>49.157218282212853</v>
      </c>
      <c r="F13" s="279">
        <f t="shared" ca="1" si="0"/>
        <v>7.373582742337021</v>
      </c>
      <c r="G13" s="279">
        <f t="shared" ca="1" si="0"/>
        <v>1.0445908885012614</v>
      </c>
      <c r="H13" s="279">
        <f t="shared" ca="1" si="0"/>
        <v>0.16539355734857963</v>
      </c>
      <c r="K13">
        <v>0</v>
      </c>
    </row>
    <row r="14" spans="1:15">
      <c r="A14" s="277" t="s">
        <v>457</v>
      </c>
      <c r="B14" s="280">
        <f ca="1">(I16-B11)/(B12-B11)</f>
        <v>0.5138610210973179</v>
      </c>
      <c r="C14" s="281">
        <f ca="1">(I16-C11)/(C12-C11)</f>
        <v>0.56122750166727164</v>
      </c>
      <c r="D14" s="281">
        <f ca="1">(I16-D11)/(D12-D11)</f>
        <v>0.72455003334543011</v>
      </c>
      <c r="E14" s="281">
        <f ca="1">(I16-E11)/(E12-E11)</f>
        <v>0.64388258832074841</v>
      </c>
      <c r="F14" s="281">
        <f ca="1">(I16-F11)/(F12-F11)</f>
        <v>0.57032836658265262</v>
      </c>
      <c r="G14" s="281">
        <f ca="1">(I16-G11)/(G12-G11)</f>
        <v>0.90820023470022559</v>
      </c>
      <c r="H14" s="281">
        <f ca="1">(I16-H11)/(H12-H11)</f>
        <v>0.42021200864193092</v>
      </c>
      <c r="K14">
        <v>0</v>
      </c>
    </row>
    <row r="15" spans="1:15">
      <c r="A15" s="277" t="s">
        <v>458</v>
      </c>
      <c r="B15" s="278"/>
      <c r="C15" s="279">
        <f ca="1">MOD(VLOOKUP(B16,PlanetData,3,0)+MATCH(B14,INDEX(VimFrac,,VLOOKUP(B16,PlanetData,3,0)+1),1)-1,9)</f>
        <v>8</v>
      </c>
      <c r="D15" s="279">
        <f ca="1">MOD(VLOOKUP(C16,PlanetData,3,0)+MATCH(C14,INDEX(VimFrac,0,9*C17+VLOOKUP(C16,PlanetData,3,0)+1),IF(C17,-1,1))-1,9)</f>
        <v>3</v>
      </c>
      <c r="E15" s="279">
        <f ca="1">MOD(VLOOKUP(D16,PlanetData,3,0)+MATCH(D14,INDEX(VimFrac,0,9*D17+VLOOKUP(D16,PlanetData,3,0)+1),IF(D17,-1,1))-1,9)</f>
        <v>0</v>
      </c>
      <c r="F15" s="279">
        <f ca="1">MOD(VLOOKUP(E16,PlanetData,3,0)+MATCH(E14,INDEX(VimFrac,0,9*E17+VLOOKUP(E16,PlanetData,3,0)+1),IF(E17,-1,1))-1,9)</f>
        <v>6</v>
      </c>
      <c r="G15" s="279">
        <f ca="1">MOD(VLOOKUP(F16,PlanetData,3,0)+MATCH(F14,INDEX(VimFrac,0,9*F17+VLOOKUP(F16,PlanetData,3,0)+1),IF(F17,-1,1))-1,9)</f>
        <v>0</v>
      </c>
      <c r="H15" s="279">
        <f ca="1">MOD(VLOOKUP(G16,PlanetData,3,0)+MATCH(G14,INDEX(VimFrac,0,9*G17+VLOOKUP(G16,PlanetData,3,0)+1),IF(G17,-1,1))-1,9)</f>
        <v>8</v>
      </c>
      <c r="I15" s="279">
        <f ca="1">StarDeg*(C15-1)+(D15-1)*POWER(StarDeg,2)/120+(E15-1)*POWER(StarDeg,3)/POWER(120,2)+(F15-1)*POWER(StarDeg,4)/POWER(120,3)+(G15-1)*POWER(StarDeg,5)/POWER(120,4)+(H15-1)*POWER(StarDeg,6)/POWER(120,5)</f>
        <v>96.222685114622337</v>
      </c>
      <c r="J15" s="279"/>
      <c r="K15">
        <v>0</v>
      </c>
    </row>
    <row r="16" spans="1:15">
      <c r="A16" s="277" t="s">
        <v>459</v>
      </c>
      <c r="B16" s="278" t="str">
        <f>$B$4</f>
        <v>Moon</v>
      </c>
      <c r="C16" s="279" t="str">
        <f t="shared" ref="C16:H16" ca="1" si="1">INDEX(DasaYears,IF(C15=0,9,C15),1)</f>
        <v>Saturn</v>
      </c>
      <c r="D16" s="279" t="str">
        <f t="shared" ca="1" si="1"/>
        <v>Sun</v>
      </c>
      <c r="E16" s="279" t="str">
        <f t="shared" ca="1" si="1"/>
        <v>Mercury</v>
      </c>
      <c r="F16" s="279" t="str">
        <f t="shared" ca="1" si="1"/>
        <v>Rahu</v>
      </c>
      <c r="G16" s="279" t="str">
        <f t="shared" ca="1" si="1"/>
        <v>Mercury</v>
      </c>
      <c r="H16" s="279" t="str">
        <f t="shared" ca="1" si="1"/>
        <v>Saturn</v>
      </c>
      <c r="I16" s="261">
        <f ca="1">NOW()</f>
        <v>45090.610315972219</v>
      </c>
      <c r="J16" s="261" t="s">
        <v>460</v>
      </c>
      <c r="K16">
        <v>1</v>
      </c>
      <c r="N16" s="261">
        <f>JHora!B17</f>
        <v>0</v>
      </c>
      <c r="O16" s="20">
        <f>JHora!C17</f>
        <v>0</v>
      </c>
    </row>
    <row r="17" spans="1:15">
      <c r="A17" s="277" t="s">
        <v>444</v>
      </c>
      <c r="B17" s="278" t="b">
        <f>$B$7</f>
        <v>1</v>
      </c>
      <c r="C17" s="279">
        <f ca="1">IF(VLOOKUP(C16,ChartInfo,11,0),1,0)*B17</f>
        <v>0</v>
      </c>
      <c r="D17" s="279">
        <f ca="1">IF(VLOOKUP(D16,ChartInfo,11,0),1,0)*B17</f>
        <v>0</v>
      </c>
      <c r="E17" s="279">
        <f ca="1">IF(VLOOKUP(E16,ChartInfo,11,0),1,0)*B17</f>
        <v>0</v>
      </c>
      <c r="F17" s="279">
        <f ca="1">IF(VLOOKUP(F16,ChartInfo,11,0),1,0)*B17</f>
        <v>0</v>
      </c>
      <c r="G17" s="279">
        <f ca="1">IF(VLOOKUP(G16,ChartInfo,11,0),1,0)*B17</f>
        <v>0</v>
      </c>
      <c r="H17" s="279">
        <f ca="1">IF(VLOOKUP(H16,ChartInfo,11,0),1,0)*B17</f>
        <v>0</v>
      </c>
      <c r="K17">
        <v>0</v>
      </c>
    </row>
    <row r="18" spans="1:15">
      <c r="K18">
        <v>1</v>
      </c>
      <c r="N18" s="261">
        <f>JHora!B19</f>
        <v>0</v>
      </c>
      <c r="O18" s="20">
        <f>JHora!C19</f>
        <v>0</v>
      </c>
    </row>
    <row r="19" spans="1:15" hidden="1">
      <c r="A19" s="274" t="s">
        <v>454</v>
      </c>
      <c r="B19" s="275">
        <f>DoB-$E$6*DaysInYear</f>
        <v>22567.7812953188</v>
      </c>
      <c r="C19" s="276">
        <f ca="1">B19+B21*INDEX(INDEX(VimFrac,,VLOOKUP(B24,PlanetData,3,0)+1),MATCH(B22,INDEX(VimFrac,,VLOOKUP(B24,PlanetData,3,0)+1),1))</f>
        <v>22567.7812953188</v>
      </c>
      <c r="D19" s="276">
        <f ca="1">C19+C21*INDEX(INDEX(VimFrac,0,9*C25+VLOOKUP(C24,PlanetData,3,0)+1),IF(C25,1,0)+MATCH(C22,INDEX(VimFrac,0,9*C25+VLOOKUP(C24,PlanetData,3,0)+1),IF(C25,-1,1)))</f>
        <v>26037.702585828029</v>
      </c>
      <c r="E19" s="276">
        <f ca="1">D19+D21*INDEX(INDEX(VimFrac,0,9*D25+VLOOKUP(D24,PlanetData,3,0)+1),IF(D25,1,0)+MATCH(D22,INDEX(VimFrac,0,9*D25+VLOOKUP(D24,PlanetData,3,0)+1),IF(D25,-1,1)))</f>
        <v>26124.450618090759</v>
      </c>
      <c r="F19" s="276">
        <f ca="1">E19+E21*INDEX(INDEX(VimFrac,0,9*E25+VLOOKUP(E24,PlanetData,3,0)+1),IF(E25,1,0)+MATCH(E22,INDEX(VimFrac,0,9*E25+VLOOKUP(E24,PlanetData,3,0)+1),IF(E25,-1,1)))</f>
        <v>26129.02898646018</v>
      </c>
      <c r="G19" s="276">
        <f ca="1">F19+F21*INDEX(INDEX(VimFrac,0,9*F25+VLOOKUP(F24,PlanetData,3,0)+1),IF(F25,1,0)+MATCH(F22,INDEX(VimFrac,0,9*F25+VLOOKUP(F24,PlanetData,3,0)+1),IF(F25,-1,1)))</f>
        <v>26132.476819131363</v>
      </c>
      <c r="H19" s="276">
        <f ca="1">G19+G21*INDEX(INDEX(VimFrac,0,9*G25+VLOOKUP(G24,PlanetData,3,0)+1),IF(G25,1,0)+MATCH(G22,INDEX(VimFrac,0,9*G25+VLOOKUP(G24,PlanetData,3,0)+1),IF(G25,-1,1)))</f>
        <v>26132.941650697758</v>
      </c>
      <c r="J19" s="259" t="str">
        <f ca="1">J24</f>
        <v>Born in CIM Stores</v>
      </c>
      <c r="K19">
        <f>K11+1</f>
        <v>2</v>
      </c>
      <c r="N19" s="261">
        <f>JHora!B20</f>
        <v>0</v>
      </c>
      <c r="O19" s="20">
        <f>JHora!C20</f>
        <v>0</v>
      </c>
    </row>
    <row r="20" spans="1:15" hidden="1">
      <c r="A20" s="274" t="s">
        <v>455</v>
      </c>
      <c r="B20" s="275">
        <f>B19+B21</f>
        <v>66398.36601754064</v>
      </c>
      <c r="C20" s="276">
        <f ca="1">B19+B21*INDEX(INDEX(VimFrac,,VLOOKUP(B24,PlanetData,3,0)+1),MATCH(B22,INDEX(VimFrac,,VLOOKUP(B24,PlanetData,3,0)+1),1)+1)</f>
        <v>26220.330022170619</v>
      </c>
      <c r="D20" s="276">
        <f ca="1">C19+C21*INDEX(INDEX(VimFrac,0,9*C25+VLOOKUP(C24,PlanetData,3,0)+1),IF(C25,0,1)+MATCH(C22,INDEX(VimFrac,0,9*C25+VLOOKUP(C24,PlanetData,3,0)+1),IF(C25,-1,1)))</f>
        <v>26220.330022170619</v>
      </c>
      <c r="E20" s="276">
        <f ca="1">D19+D21*INDEX(INDEX(VimFrac,0,9*D25+VLOOKUP(D24,PlanetData,3,0)+1),IF(D25,0,1)+MATCH(D22,INDEX(VimFrac,0,9*D25+VLOOKUP(D24,PlanetData,3,0)+1),IF(D25,-1,1)))</f>
        <v>26153.366628845004</v>
      </c>
      <c r="F20" s="276">
        <f ca="1">E19+E21*INDEX(INDEX(VimFrac,0,9*E25+VLOOKUP(E24,PlanetData,3,0)+1),IF(E25,0,1)+MATCH(E22,INDEX(VimFrac,0,9*E25+VLOOKUP(E24,PlanetData,3,0)+1),IF(E25,-1,1)))</f>
        <v>26133.125421317032</v>
      </c>
      <c r="G20" s="276">
        <f ca="1">F19+F21*INDEX(INDEX(VimFrac,0,9*F25+VLOOKUP(F24,PlanetData,3,0)+1),IF(F25,0,1)+MATCH(F22,INDEX(VimFrac,0,9*F25+VLOOKUP(F24,PlanetData,3,0)+1),IF(F25,-1,1)))</f>
        <v>26133.125421317032</v>
      </c>
      <c r="H20" s="276">
        <f ca="1">G19+G21*INDEX(INDEX(VimFrac,0,9*G25+VLOOKUP(G24,PlanetData,3,0)+1),IF(G25,0,1)+MATCH(G22,INDEX(VimFrac,0,9*G25+VLOOKUP(G24,PlanetData,3,0)+1),IF(G25,-1,1)))</f>
        <v>26133.03894102561</v>
      </c>
      <c r="J20" s="259" t="str">
        <f ca="1">J24</f>
        <v>Born in CIM Stores</v>
      </c>
      <c r="K20">
        <f>K12+1</f>
        <v>2</v>
      </c>
      <c r="N20" s="261">
        <f>JHora!B21</f>
        <v>0</v>
      </c>
      <c r="O20" s="20">
        <f>JHora!C21</f>
        <v>0</v>
      </c>
    </row>
    <row r="21" spans="1:15" hidden="1">
      <c r="A21" s="277" t="s">
        <v>456</v>
      </c>
      <c r="B21" s="278">
        <f>120*DaysInYear</f>
        <v>43830.584722221844</v>
      </c>
      <c r="C21" s="279">
        <f t="shared" ref="C21:H21" ca="1" si="2">C20-C19</f>
        <v>3652.5487268518191</v>
      </c>
      <c r="D21" s="279">
        <f t="shared" ca="1" si="2"/>
        <v>182.62743634259095</v>
      </c>
      <c r="E21" s="279">
        <f t="shared" ca="1" si="2"/>
        <v>28.91601075424478</v>
      </c>
      <c r="F21" s="279">
        <f t="shared" ca="1" si="2"/>
        <v>4.0964348568522837</v>
      </c>
      <c r="G21" s="279">
        <f t="shared" ca="1" si="2"/>
        <v>0.64860218566900585</v>
      </c>
      <c r="H21" s="279">
        <f t="shared" ca="1" si="2"/>
        <v>9.7290327852533665E-2</v>
      </c>
      <c r="K21">
        <f>K13</f>
        <v>0</v>
      </c>
    </row>
    <row r="22" spans="1:15" hidden="1">
      <c r="A22" s="277" t="s">
        <v>457</v>
      </c>
      <c r="B22" s="280">
        <f ca="1">(I24-B19)/(B20-B19)</f>
        <v>8.1340888497744707E-2</v>
      </c>
      <c r="C22" s="281">
        <f ca="1">(I24-C19)/(C20-C19)</f>
        <v>0.97609066197293681</v>
      </c>
      <c r="D22" s="281">
        <f ca="1">(I24-D19)/(D20-D19)</f>
        <v>0.52181323945873592</v>
      </c>
      <c r="E22" s="281">
        <f ca="1">(I24-E19)/(E20-E19)</f>
        <v>0.29566256500253035</v>
      </c>
      <c r="F22" s="281">
        <f ca="1">(I24-F19)/(F20-F19)</f>
        <v>0.96938281178266317</v>
      </c>
      <c r="G22" s="281">
        <f ca="1">(I24-G19)/(G20-G19)</f>
        <v>0.80662828494335292</v>
      </c>
      <c r="H22" s="281">
        <f ca="1">(I24-H19)/(H20-H19)</f>
        <v>0.59974412184856918</v>
      </c>
      <c r="K22">
        <f>K14</f>
        <v>0</v>
      </c>
    </row>
    <row r="23" spans="1:15" hidden="1">
      <c r="A23" s="277" t="s">
        <v>458</v>
      </c>
      <c r="B23" s="278"/>
      <c r="C23" s="279">
        <f ca="1">MOD(VLOOKUP(B24,PlanetData,3,0)+MATCH(B22,INDEX(VimFrac,,VLOOKUP(B24,PlanetData,3,0)+1),1)-1,9)</f>
        <v>4</v>
      </c>
      <c r="D23" s="279">
        <f ca="1">MOD(VLOOKUP(C24,PlanetData,3,0)+MATCH(C22,INDEX(VimFrac,0,9*C25+VLOOKUP(C24,PlanetData,3,0)+1),IF(C25,-1,1))-1,9)</f>
        <v>3</v>
      </c>
      <c r="E23" s="279">
        <f ca="1">MOD(VLOOKUP(D24,PlanetData,3,0)+MATCH(D22,INDEX(VimFrac,0,9*D25+VLOOKUP(D24,PlanetData,3,0)+1),IF(D25,-1,1))-1,9)</f>
        <v>8</v>
      </c>
      <c r="F23" s="279">
        <f ca="1">MOD(VLOOKUP(E24,PlanetData,3,0)+MATCH(E22,INDEX(VimFrac,0,9*E25+VLOOKUP(E24,PlanetData,3,0)+1),IF(E25,-1,1))-1,9)</f>
        <v>0</v>
      </c>
      <c r="G23" s="279">
        <f ca="1">MOD(VLOOKUP(F24,PlanetData,3,0)+MATCH(F22,INDEX(VimFrac,0,9*F25+VLOOKUP(F24,PlanetData,3,0)+1),IF(F25,-1,1))-1,9)</f>
        <v>8</v>
      </c>
      <c r="H23" s="279">
        <f ca="1">MOD(VLOOKUP(G24,PlanetData,3,0)+MATCH(G22,INDEX(VimFrac,0,9*G25+VLOOKUP(G24,PlanetData,3,0)+1),IF(G25,-1,1))-1,9)</f>
        <v>6</v>
      </c>
      <c r="K23">
        <f>K15</f>
        <v>0</v>
      </c>
    </row>
    <row r="24" spans="1:15" hidden="1">
      <c r="A24" s="277" t="s">
        <v>459</v>
      </c>
      <c r="B24" s="278" t="str">
        <f>$B$4</f>
        <v>Moon</v>
      </c>
      <c r="C24" s="279" t="str">
        <f t="shared" ref="C24:H24" ca="1" si="3">INDEX(DasaYears,IF(C23=0,9,C23),1)</f>
        <v>Moon</v>
      </c>
      <c r="D24" s="279" t="str">
        <f t="shared" ca="1" si="3"/>
        <v>Sun</v>
      </c>
      <c r="E24" s="279" t="str">
        <f t="shared" ca="1" si="3"/>
        <v>Saturn</v>
      </c>
      <c r="F24" s="279" t="str">
        <f t="shared" ca="1" si="3"/>
        <v>Mercury</v>
      </c>
      <c r="G24" s="279" t="str">
        <f t="shared" ca="1" si="3"/>
        <v>Saturn</v>
      </c>
      <c r="H24" s="279" t="str">
        <f t="shared" ca="1" si="3"/>
        <v>Rahu</v>
      </c>
      <c r="I24" s="261">
        <f ca="1">INDIRECT("'JHora'!$B$"&amp;($K24))</f>
        <v>26133</v>
      </c>
      <c r="J24" s="261" t="str">
        <f ca="1">INDIRECT("'JHora'!$C$"&amp;($K24))</f>
        <v>Born in CIM Stores</v>
      </c>
      <c r="K24">
        <f>K16+1</f>
        <v>2</v>
      </c>
      <c r="N24" s="261">
        <f>JHora!B25</f>
        <v>0</v>
      </c>
      <c r="O24" s="20">
        <f>JHora!C25</f>
        <v>0</v>
      </c>
    </row>
    <row r="25" spans="1:15" hidden="1">
      <c r="A25" s="277" t="s">
        <v>444</v>
      </c>
      <c r="B25" s="278" t="b">
        <f>$B$7</f>
        <v>1</v>
      </c>
      <c r="C25" s="279">
        <f ca="1">IF(VLOOKUP(C24,ChartInfo,11,0),1,0)*B25</f>
        <v>0</v>
      </c>
      <c r="D25" s="279">
        <f ca="1">IF(VLOOKUP(D24,ChartInfo,11,0),1,0)*B25</f>
        <v>0</v>
      </c>
      <c r="E25" s="279">
        <f ca="1">IF(VLOOKUP(E24,ChartInfo,11,0),1,0)*B25</f>
        <v>0</v>
      </c>
      <c r="F25" s="279">
        <f ca="1">IF(VLOOKUP(F24,ChartInfo,11,0),1,0)*B25</f>
        <v>0</v>
      </c>
      <c r="G25" s="279">
        <f ca="1">IF(VLOOKUP(G24,ChartInfo,11,0),1,0)*B25</f>
        <v>0</v>
      </c>
      <c r="H25" s="279">
        <f ca="1">IF(VLOOKUP(H24,ChartInfo,11,0),1,0)*B25</f>
        <v>0</v>
      </c>
      <c r="K25">
        <f>K17</f>
        <v>0</v>
      </c>
    </row>
    <row r="26" spans="1:15" hidden="1">
      <c r="K26">
        <f>K18+1</f>
        <v>2</v>
      </c>
      <c r="N26" s="261">
        <f>JHora!B27</f>
        <v>0</v>
      </c>
      <c r="O26" s="20">
        <f>JHora!C27</f>
        <v>0</v>
      </c>
    </row>
    <row r="27" spans="1:15">
      <c r="A27" s="274" t="s">
        <v>454</v>
      </c>
      <c r="B27" s="275">
        <f>DoB-$E$6*DaysInYear</f>
        <v>22567.7812953188</v>
      </c>
      <c r="C27" s="276">
        <f ca="1">B27+B29*INDEX(INDEX(VimFrac,,VLOOKUP(B32,PlanetData,3,0)+1),MATCH(B30,INDEX(VimFrac,,VLOOKUP(B32,PlanetData,3,0)+1),1))</f>
        <v>35351.701839300185</v>
      </c>
      <c r="D27" s="276">
        <f ca="1">C27+C29*INDEX(INDEX(VimFrac,0,9*C33+VLOOKUP(C32,PlanetData,3,0)+1),IF(C33,1,0)+MATCH(C30,INDEX(VimFrac,0,9*C33+VLOOKUP(C32,PlanetData,3,0)+1),IF(C33,-1,1)))</f>
        <v>36569.21808158412</v>
      </c>
      <c r="E27" s="276">
        <f ca="1">D27+D29*INDEX(INDEX(VimFrac,0,9*D33+VLOOKUP(D32,PlanetData,3,0)+1),IF(D33,1,0)+MATCH(D30,INDEX(VimFrac,0,9*D33+VLOOKUP(D32,PlanetData,3,0)+1),IF(D33,-1,1)))</f>
        <v>36711.261643183912</v>
      </c>
      <c r="F27" s="276">
        <f ca="1">E27+E29*INDEX(INDEX(VimFrac,0,9*E33+VLOOKUP(E32,PlanetData,3,0)+1),IF(E33,1,0)+MATCH(E30,INDEX(VimFrac,0,9*E33+VLOOKUP(E32,PlanetData,3,0)+1),IF(E33,-1,1)))</f>
        <v>36721.001773122181</v>
      </c>
      <c r="G27" s="276">
        <f ca="1">F27+F29*INDEX(INDEX(VimFrac,0,9*F33+VLOOKUP(F32,PlanetData,3,0)+1),IF(F33,1,0)+MATCH(F30,INDEX(VimFrac,0,9*F33+VLOOKUP(F32,PlanetData,3,0)+1),IF(F33,-1,1)))</f>
        <v>36722.895687276847</v>
      </c>
      <c r="H27" s="276">
        <f ca="1">G27+G29*INDEX(INDEX(VimFrac,0,9*G33+VLOOKUP(G32,PlanetData,3,0)+1),IF(G33,1,0)+MATCH(G30,INDEX(VimFrac,0,9*G33+VLOOKUP(G32,PlanetData,3,0)+1),IF(G33,-1,1)))</f>
        <v>36722.990646028215</v>
      </c>
      <c r="J27" s="259" t="str">
        <f ca="1">J32</f>
        <v>Joined SJC/SJVC</v>
      </c>
      <c r="K27">
        <f>K19+1</f>
        <v>3</v>
      </c>
      <c r="N27" s="261">
        <f>JHora!B28</f>
        <v>0</v>
      </c>
      <c r="O27" s="20">
        <f>JHora!C28</f>
        <v>0</v>
      </c>
    </row>
    <row r="28" spans="1:15">
      <c r="A28" s="274" t="s">
        <v>455</v>
      </c>
      <c r="B28" s="275">
        <f>B27+B29</f>
        <v>66398.36601754064</v>
      </c>
      <c r="C28" s="276">
        <f ca="1">B27+B29*INDEX(INDEX(VimFrac,,VLOOKUP(B32,PlanetData,3,0)+1),MATCH(B30,INDEX(VimFrac,,VLOOKUP(B32,PlanetData,3,0)+1),1)+1)</f>
        <v>41195.779802263089</v>
      </c>
      <c r="D28" s="276">
        <f ca="1">C27+C29*INDEX(INDEX(VimFrac,0,9*C33+VLOOKUP(C32,PlanetData,3,0)+1),IF(C33,0,1)+MATCH(C30,INDEX(VimFrac,0,9*C33+VLOOKUP(C32,PlanetData,3,0)+1),IF(C33,-1,1)))</f>
        <v>37056.224578497699</v>
      </c>
      <c r="E28" s="276">
        <f ca="1">D27+D29*INDEX(INDEX(VimFrac,0,9*D33+VLOOKUP(D32,PlanetData,3,0)+1),IF(D33,0,1)+MATCH(D30,INDEX(VimFrac,0,9*D33+VLOOKUP(D32,PlanetData,3,0)+1),IF(D33,-1,1)))</f>
        <v>36776.195842772388</v>
      </c>
      <c r="F28" s="276">
        <f ca="1">E27+E29*INDEX(INDEX(VimFrac,0,9*E33+VLOOKUP(E32,PlanetData,3,0)+1),IF(E33,0,1)+MATCH(E30,INDEX(VimFrac,0,9*E33+VLOOKUP(E32,PlanetData,3,0)+1),IF(E33,-1,1)))</f>
        <v>36724.789601431512</v>
      </c>
      <c r="G28" s="276">
        <f ca="1">F27+F29*INDEX(INDEX(VimFrac,0,9*F33+VLOOKUP(F32,PlanetData,3,0)+1),IF(F33,0,1)+MATCH(F30,INDEX(VimFrac,0,9*F33+VLOOKUP(F32,PlanetData,3,0)+1),IF(F33,-1,1)))</f>
        <v>36723.49542675916</v>
      </c>
      <c r="H28" s="276">
        <f ca="1">G27+G29*INDEX(INDEX(VimFrac,0,9*G33+VLOOKUP(G32,PlanetData,3,0)+1),IF(G33,0,1)+MATCH(G30,INDEX(VimFrac,0,9*G33+VLOOKUP(G32,PlanetData,3,0)+1),IF(G33,-1,1)))</f>
        <v>36723.075609121544</v>
      </c>
      <c r="J28" s="259" t="str">
        <f ca="1">J32</f>
        <v>Joined SJC/SJVC</v>
      </c>
      <c r="K28">
        <f>K20+1</f>
        <v>3</v>
      </c>
      <c r="N28" s="261">
        <f>JHora!B29</f>
        <v>0</v>
      </c>
      <c r="O28" s="20">
        <f>JHora!C29</f>
        <v>0</v>
      </c>
    </row>
    <row r="29" spans="1:15">
      <c r="A29" s="277" t="s">
        <v>456</v>
      </c>
      <c r="B29" s="278">
        <f>120*DaysInYear</f>
        <v>43830.584722221844</v>
      </c>
      <c r="C29" s="279">
        <f t="shared" ref="C29:H29" ca="1" si="4">C28-C27</f>
        <v>5844.0779629629033</v>
      </c>
      <c r="D29" s="279">
        <f t="shared" ca="1" si="4"/>
        <v>487.0064969135783</v>
      </c>
      <c r="E29" s="279">
        <f t="shared" ca="1" si="4"/>
        <v>64.934199588475167</v>
      </c>
      <c r="F29" s="279">
        <f t="shared" ca="1" si="4"/>
        <v>3.7878283093305072</v>
      </c>
      <c r="G29" s="279">
        <f t="shared" ca="1" si="4"/>
        <v>0.59973948231345275</v>
      </c>
      <c r="H29" s="279">
        <f t="shared" ca="1" si="4"/>
        <v>8.4963093329861294E-2</v>
      </c>
      <c r="K29">
        <f>K21</f>
        <v>0</v>
      </c>
    </row>
    <row r="30" spans="1:15">
      <c r="A30" s="277" t="s">
        <v>457</v>
      </c>
      <c r="B30" s="280">
        <f ca="1">(I32-B27)/(B28-B27)</f>
        <v>0.3229529971911278</v>
      </c>
      <c r="C30" s="281">
        <f ca="1">(I32-C27)/(C28-C27)</f>
        <v>0.23464747893345639</v>
      </c>
      <c r="D30" s="281">
        <f ca="1">(I32-D27)/(D28-D27)</f>
        <v>0.31576974720148165</v>
      </c>
      <c r="E30" s="281">
        <f ca="1">(I32-E27)/(E28-E27)</f>
        <v>0.18077310401114111</v>
      </c>
      <c r="F30" s="281">
        <f ca="1">(I32-F27)/(F28-F27)</f>
        <v>0.5275389259054637</v>
      </c>
      <c r="G30" s="281">
        <f ca="1">(I32-G27)/(G28-G27)</f>
        <v>0.17393005834948835</v>
      </c>
      <c r="H30" s="281">
        <f ca="1">(I32-H27)/(H28-H27)</f>
        <v>0.11009452950520936</v>
      </c>
      <c r="K30">
        <f>K22</f>
        <v>0</v>
      </c>
    </row>
    <row r="31" spans="1:15">
      <c r="A31" s="277" t="s">
        <v>458</v>
      </c>
      <c r="B31" s="278"/>
      <c r="C31" s="279">
        <f ca="1">MOD(VLOOKUP(B32,PlanetData,3,0)+MATCH(B30,INDEX(VimFrac,,VLOOKUP(B32,PlanetData,3,0)+1),1)-1,9)</f>
        <v>7</v>
      </c>
      <c r="D31" s="279">
        <f ca="1">MOD(VLOOKUP(C32,PlanetData,3,0)+MATCH(C30,INDEX(VimFrac,0,9*C33+VLOOKUP(C32,PlanetData,3,0)+1),IF(C33,-1,1))-1,9)</f>
        <v>4</v>
      </c>
      <c r="E31" s="279">
        <f ca="1">MOD(VLOOKUP(D32,PlanetData,3,0)+MATCH(D30,INDEX(VimFrac,0,9*D33+VLOOKUP(D32,PlanetData,3,0)+1),IF(D33,-1,1))-1,9)</f>
        <v>7</v>
      </c>
      <c r="F31" s="279">
        <f ca="1">MOD(VLOOKUP(E32,PlanetData,3,0)+MATCH(E30,INDEX(VimFrac,0,9*E33+VLOOKUP(E32,PlanetData,3,0)+1),IF(E33,-1,1))-1,9)</f>
        <v>5</v>
      </c>
      <c r="G31" s="279">
        <f ca="1">MOD(VLOOKUP(F32,PlanetData,3,0)+MATCH(F30,INDEX(VimFrac,0,9*F33+VLOOKUP(F32,PlanetData,3,0)+1),IF(F33,-1,1))-1,9)</f>
        <v>8</v>
      </c>
      <c r="H31" s="279">
        <f ca="1">MOD(VLOOKUP(G32,PlanetData,3,0)+MATCH(G30,INDEX(VimFrac,0,9*G33+VLOOKUP(G32,PlanetData,3,0)+1),IF(G33,-1,1))-1,9)</f>
        <v>0</v>
      </c>
      <c r="K31">
        <f>K23</f>
        <v>0</v>
      </c>
    </row>
    <row r="32" spans="1:15">
      <c r="A32" s="277" t="s">
        <v>459</v>
      </c>
      <c r="B32" s="278" t="str">
        <f>$B$4</f>
        <v>Moon</v>
      </c>
      <c r="C32" s="279" t="str">
        <f t="shared" ref="C32:H32" ca="1" si="5">INDEX(DasaYears,IF(C31=0,9,C31),1)</f>
        <v>Jupiter</v>
      </c>
      <c r="D32" s="279" t="str">
        <f t="shared" ca="1" si="5"/>
        <v>Moon</v>
      </c>
      <c r="E32" s="279" t="str">
        <f t="shared" ca="1" si="5"/>
        <v>Jupiter</v>
      </c>
      <c r="F32" s="279" t="str">
        <f t="shared" ca="1" si="5"/>
        <v>Mars</v>
      </c>
      <c r="G32" s="279" t="str">
        <f t="shared" ca="1" si="5"/>
        <v>Saturn</v>
      </c>
      <c r="H32" s="279" t="str">
        <f t="shared" ca="1" si="5"/>
        <v>Mercury</v>
      </c>
      <c r="I32" s="261">
        <f ca="1">INDIRECT("'JHora'!$B$"&amp;($K32))</f>
        <v>36723</v>
      </c>
      <c r="J32" s="261" t="str">
        <f ca="1">INDIRECT("'JHora'!$C$"&amp;($K32))</f>
        <v>Joined SJC/SJVC</v>
      </c>
      <c r="K32">
        <f>K24+1</f>
        <v>3</v>
      </c>
      <c r="N32" s="261">
        <f>JHora!B33</f>
        <v>0</v>
      </c>
      <c r="O32" s="20">
        <f>JHora!C33</f>
        <v>0</v>
      </c>
    </row>
    <row r="33" spans="1:15">
      <c r="A33" s="277" t="s">
        <v>444</v>
      </c>
      <c r="B33" s="278" t="b">
        <f>$B$7</f>
        <v>1</v>
      </c>
      <c r="C33" s="279">
        <f ca="1">IF(VLOOKUP(C32,ChartInfo,11,0),1,0)*B33</f>
        <v>1</v>
      </c>
      <c r="D33" s="279">
        <f ca="1">IF(VLOOKUP(D32,ChartInfo,11,0),1,0)*B33</f>
        <v>0</v>
      </c>
      <c r="E33" s="279">
        <f ca="1">IF(VLOOKUP(E32,ChartInfo,11,0),1,0)*B33</f>
        <v>1</v>
      </c>
      <c r="F33" s="279">
        <f ca="1">IF(VLOOKUP(F32,ChartInfo,11,0),1,0)*B33</f>
        <v>1</v>
      </c>
      <c r="G33" s="279">
        <f ca="1">IF(VLOOKUP(G32,ChartInfo,11,0),1,0)*B33</f>
        <v>0</v>
      </c>
      <c r="H33" s="279">
        <f ca="1">IF(VLOOKUP(H32,ChartInfo,11,0),1,0)*B33</f>
        <v>0</v>
      </c>
      <c r="K33">
        <f>K25</f>
        <v>0</v>
      </c>
    </row>
    <row r="34" spans="1:15">
      <c r="K34">
        <f>K26+1</f>
        <v>3</v>
      </c>
      <c r="N34" s="261">
        <f>JHora!B35</f>
        <v>0</v>
      </c>
      <c r="O34" s="20">
        <f>JHora!C35</f>
        <v>0</v>
      </c>
    </row>
    <row r="35" spans="1:15">
      <c r="A35" s="274" t="s">
        <v>454</v>
      </c>
      <c r="B35" s="275">
        <f>DoB-$E$6*DaysInYear</f>
        <v>22567.7812953188</v>
      </c>
      <c r="C35" s="276">
        <f ca="1">B35+B37*INDEX(INDEX(VimFrac,,VLOOKUP(B40,PlanetData,3,0)+1),MATCH(B38,INDEX(VimFrac,,VLOOKUP(B40,PlanetData,3,0)+1),1))</f>
        <v>35351.701839300185</v>
      </c>
      <c r="D35" s="276">
        <f ca="1">C35+C37*INDEX(INDEX(VimFrac,0,9*C41+VLOOKUP(C40,PlanetData,3,0)+1),IF(C41,1,0)+MATCH(C38,INDEX(VimFrac,0,9*C41+VLOOKUP(C40,PlanetData,3,0)+1),IF(C41,-1,1)))</f>
        <v>37348.428476645844</v>
      </c>
      <c r="E35" s="276">
        <f ca="1">D35+D37*INDEX(INDEX(VimFrac,0,9*D41+VLOOKUP(D40,PlanetData,3,0)+1),IF(D41,1,0)+MATCH(D38,INDEX(VimFrac,0,9*D41+VLOOKUP(D40,PlanetData,3,0)+1),IF(D41,-1,1)))</f>
        <v>37843.551748507976</v>
      </c>
      <c r="F35" s="276">
        <f ca="1">E35+E37*INDEX(INDEX(VimFrac,0,9*E41+VLOOKUP(E40,PlanetData,3,0)+1),IF(E41,1,0)+MATCH(E38,INDEX(VimFrac,0,9*E41+VLOOKUP(E40,PlanetData,3,0)+1),IF(E41,-1,1)))</f>
        <v>37917.14384137492</v>
      </c>
      <c r="G35" s="276">
        <f ca="1">F35+F37*INDEX(INDEX(VimFrac,0,9*F41+VLOOKUP(F40,PlanetData,3,0)+1),IF(F41,1,0)+MATCH(F38,INDEX(VimFrac,0,9*F41+VLOOKUP(F40,PlanetData,3,0)+1),IF(F41,-1,1)))</f>
        <v>37924.809684381893</v>
      </c>
      <c r="H35" s="276">
        <f ca="1">G35+G37*INDEX(INDEX(VimFrac,0,9*G41+VLOOKUP(G40,PlanetData,3,0)+1),IF(G41,1,0)+MATCH(G38,INDEX(VimFrac,0,9*G41+VLOOKUP(G40,PlanetData,3,0)+1),IF(G41,-1,1)))</f>
        <v>37925.921231617904</v>
      </c>
      <c r="J35" s="259" t="str">
        <f ca="1">J40</f>
        <v>Bought Car D16</v>
      </c>
      <c r="K35">
        <f>K27+1</f>
        <v>4</v>
      </c>
      <c r="N35" s="261">
        <f>JHora!B36</f>
        <v>0</v>
      </c>
      <c r="O35" s="20">
        <f>JHora!C36</f>
        <v>0</v>
      </c>
    </row>
    <row r="36" spans="1:15">
      <c r="A36" s="274" t="s">
        <v>455</v>
      </c>
      <c r="B36" s="275">
        <f>B35+B37</f>
        <v>66398.36601754064</v>
      </c>
      <c r="C36" s="276">
        <f ca="1">B35+B37*INDEX(INDEX(VimFrac,,VLOOKUP(B40,PlanetData,3,0)+1),MATCH(B38,INDEX(VimFrac,,VLOOKUP(B40,PlanetData,3,0)+1),1)+1)</f>
        <v>41195.779802263089</v>
      </c>
      <c r="D36" s="276">
        <f ca="1">C35+C37*INDEX(INDEX(VimFrac,0,9*C41+VLOOKUP(C40,PlanetData,3,0)+1),IF(C41,0,1)+MATCH(C38,INDEX(VimFrac,0,9*C41+VLOOKUP(C40,PlanetData,3,0)+1),IF(C41,-1,1)))</f>
        <v>38322.441470472993</v>
      </c>
      <c r="E36" s="276">
        <f ca="1">D35+D37*INDEX(INDEX(VimFrac,0,9*D41+VLOOKUP(D40,PlanetData,3,0)+1),IF(D41,0,1)+MATCH(D38,INDEX(VimFrac,0,9*D41+VLOOKUP(D40,PlanetData,3,0)+1),IF(D41,-1,1)))</f>
        <v>37973.420147684934</v>
      </c>
      <c r="F36" s="276">
        <f ca="1">E35+E37*INDEX(INDEX(VimFrac,0,9*E41+VLOOKUP(E40,PlanetData,3,0)+1),IF(E41,0,1)+MATCH(E38,INDEX(VimFrac,0,9*E41+VLOOKUP(E40,PlanetData,3,0)+1),IF(E41,-1,1)))</f>
        <v>37935.541864591658</v>
      </c>
      <c r="G36" s="276">
        <f ca="1">F35+F37*INDEX(INDEX(VimFrac,0,9*F41+VLOOKUP(F40,PlanetData,3,0)+1),IF(F41,0,1)+MATCH(F38,INDEX(VimFrac,0,9*F41+VLOOKUP(F40,PlanetData,3,0)+1),IF(F41,-1,1)))</f>
        <v>37926.342852983289</v>
      </c>
      <c r="H36" s="276">
        <f ca="1">G35+G37*INDEX(INDEX(VimFrac,0,9*G41+VLOOKUP(G40,PlanetData,3,0)+1),IF(G41,0,1)+MATCH(G38,INDEX(VimFrac,0,9*G41+VLOOKUP(G40,PlanetData,3,0)+1),IF(G41,-1,1)))</f>
        <v>37926.010666452989</v>
      </c>
      <c r="J36" s="259" t="str">
        <f ca="1">J40</f>
        <v>Bought Car D16</v>
      </c>
      <c r="K36">
        <f>K28+1</f>
        <v>4</v>
      </c>
      <c r="N36" s="261">
        <f>JHora!B37</f>
        <v>0</v>
      </c>
      <c r="O36" s="20">
        <f>JHora!C37</f>
        <v>0</v>
      </c>
    </row>
    <row r="37" spans="1:15">
      <c r="A37" s="277" t="s">
        <v>456</v>
      </c>
      <c r="B37" s="278">
        <f>120*DaysInYear</f>
        <v>43830.584722221844</v>
      </c>
      <c r="C37" s="279">
        <f t="shared" ref="C37:H37" ca="1" si="6">C36-C35</f>
        <v>5844.0779629629033</v>
      </c>
      <c r="D37" s="279">
        <f t="shared" ca="1" si="6"/>
        <v>974.01299382714933</v>
      </c>
      <c r="E37" s="279">
        <f t="shared" ca="1" si="6"/>
        <v>129.86839917695761</v>
      </c>
      <c r="F37" s="279">
        <f t="shared" ca="1" si="6"/>
        <v>18.398023216737784</v>
      </c>
      <c r="G37" s="279">
        <f t="shared" ca="1" si="6"/>
        <v>1.533168601396028</v>
      </c>
      <c r="H37" s="279">
        <f t="shared" ca="1" si="6"/>
        <v>8.9434835084830411E-2</v>
      </c>
      <c r="K37">
        <f>K29</f>
        <v>0</v>
      </c>
    </row>
    <row r="38" spans="1:15">
      <c r="A38" s="277" t="s">
        <v>457</v>
      </c>
      <c r="B38" s="280">
        <f ca="1">(I40-B35)/(B36-B35)</f>
        <v>0.35039958517584352</v>
      </c>
      <c r="C38" s="281">
        <f ca="1">(I40-C35)/(C36-C35)</f>
        <v>0.44049688881882487</v>
      </c>
      <c r="D38" s="281">
        <f ca="1">(I40-D35)/(D36-D35)</f>
        <v>0.59298133291294997</v>
      </c>
      <c r="E38" s="281">
        <f ca="1">(I40-E35)/(E36-E35)</f>
        <v>0.63485999684711902</v>
      </c>
      <c r="F38" s="281">
        <f ca="1">(I40-F35)/(F36-F35)</f>
        <v>0.48136468362660095</v>
      </c>
      <c r="G38" s="281">
        <f ca="1">(I40-G35)/(G36-G35)</f>
        <v>0.77637620351938863</v>
      </c>
      <c r="H38" s="281">
        <f ca="1">(I40-H35)/(H36-H35)</f>
        <v>0.8807349174580662</v>
      </c>
      <c r="K38">
        <f>K30</f>
        <v>0</v>
      </c>
    </row>
    <row r="39" spans="1:15">
      <c r="A39" s="277" t="s">
        <v>458</v>
      </c>
      <c r="B39" s="278"/>
      <c r="C39" s="279">
        <f ca="1">MOD(VLOOKUP(B40,PlanetData,3,0)+MATCH(B38,INDEX(VimFrac,,VLOOKUP(B40,PlanetData,3,0)+1),1)-1,9)</f>
        <v>7</v>
      </c>
      <c r="D39" s="279">
        <f ca="1">MOD(VLOOKUP(C40,PlanetData,3,0)+MATCH(C38,INDEX(VimFrac,0,9*C41+VLOOKUP(C40,PlanetData,3,0)+1),IF(C41,-1,1))-1,9)</f>
        <v>2</v>
      </c>
      <c r="E39" s="279">
        <f ca="1">MOD(VLOOKUP(D40,PlanetData,3,0)+MATCH(D38,INDEX(VimFrac,0,9*D41+VLOOKUP(D40,PlanetData,3,0)+1),IF(D41,-1,1))-1,9)</f>
        <v>7</v>
      </c>
      <c r="F39" s="279">
        <f ca="1">MOD(VLOOKUP(E40,PlanetData,3,0)+MATCH(E38,INDEX(VimFrac,0,9*E41+VLOOKUP(E40,PlanetData,3,0)+1),IF(E41,-1,1))-1,9)</f>
        <v>0</v>
      </c>
      <c r="G39" s="279">
        <f ca="1">MOD(VLOOKUP(F40,PlanetData,3,0)+MATCH(F38,INDEX(VimFrac,0,9*F41+VLOOKUP(F40,PlanetData,3,0)+1),IF(F41,-1,1))-1,9)</f>
        <v>4</v>
      </c>
      <c r="H39" s="279">
        <f ca="1">MOD(VLOOKUP(G40,PlanetData,3,0)+MATCH(G38,INDEX(VimFrac,0,9*G41+VLOOKUP(G40,PlanetData,3,0)+1),IF(G41,-1,1))-1,9)</f>
        <v>1</v>
      </c>
      <c r="K39">
        <f>K31</f>
        <v>0</v>
      </c>
    </row>
    <row r="40" spans="1:15">
      <c r="A40" s="277" t="s">
        <v>459</v>
      </c>
      <c r="B40" s="278" t="str">
        <f>$B$4</f>
        <v>Moon</v>
      </c>
      <c r="C40" s="279" t="str">
        <f t="shared" ref="C40:H40" ca="1" si="7">INDEX(DasaYears,IF(C39=0,9,C39),1)</f>
        <v>Jupiter</v>
      </c>
      <c r="D40" s="279" t="str">
        <f t="shared" ca="1" si="7"/>
        <v>Venus</v>
      </c>
      <c r="E40" s="279" t="str">
        <f t="shared" ca="1" si="7"/>
        <v>Jupiter</v>
      </c>
      <c r="F40" s="279" t="str">
        <f t="shared" ca="1" si="7"/>
        <v>Mercury</v>
      </c>
      <c r="G40" s="279" t="str">
        <f t="shared" ca="1" si="7"/>
        <v>Moon</v>
      </c>
      <c r="H40" s="279" t="str">
        <f t="shared" ca="1" si="7"/>
        <v>Ketu</v>
      </c>
      <c r="I40" s="261">
        <f ca="1">INDIRECT("'JHora'!$B$"&amp;($K40))</f>
        <v>37926</v>
      </c>
      <c r="J40" s="261" t="str">
        <f ca="1">INDIRECT("'JHora'!$C$"&amp;($K40))</f>
        <v>Bought Car D16</v>
      </c>
      <c r="K40">
        <f>K32+1</f>
        <v>4</v>
      </c>
      <c r="N40" s="261">
        <f>JHora!B41</f>
        <v>0</v>
      </c>
      <c r="O40" s="20">
        <f>JHora!C41</f>
        <v>0</v>
      </c>
    </row>
    <row r="41" spans="1:15">
      <c r="A41" s="277" t="s">
        <v>444</v>
      </c>
      <c r="B41" s="278" t="b">
        <f>$B$7</f>
        <v>1</v>
      </c>
      <c r="C41" s="279">
        <f ca="1">IF(VLOOKUP(C40,ChartInfo,11,0),1,0)*B41</f>
        <v>1</v>
      </c>
      <c r="D41" s="279">
        <f ca="1">IF(VLOOKUP(D40,ChartInfo,11,0),1,0)*B41</f>
        <v>0</v>
      </c>
      <c r="E41" s="279">
        <f ca="1">IF(VLOOKUP(E40,ChartInfo,11,0),1,0)*B41</f>
        <v>1</v>
      </c>
      <c r="F41" s="279">
        <f ca="1">IF(VLOOKUP(F40,ChartInfo,11,0),1,0)*B41</f>
        <v>0</v>
      </c>
      <c r="G41" s="279">
        <f ca="1">IF(VLOOKUP(G40,ChartInfo,11,0),1,0)*B41</f>
        <v>0</v>
      </c>
      <c r="H41" s="279">
        <f ca="1">IF(VLOOKUP(H40,ChartInfo,11,0),1,0)*B41</f>
        <v>0</v>
      </c>
      <c r="K41">
        <f>K33</f>
        <v>0</v>
      </c>
    </row>
    <row r="42" spans="1:15">
      <c r="K42">
        <f>K34+1</f>
        <v>4</v>
      </c>
      <c r="N42" s="261">
        <f>JHora!B43</f>
        <v>0</v>
      </c>
      <c r="O42" s="20">
        <f>JHora!C43</f>
        <v>0</v>
      </c>
    </row>
    <row r="43" spans="1:15">
      <c r="A43" s="274" t="s">
        <v>454</v>
      </c>
      <c r="B43" s="275">
        <f>DoB-$E$6*DaysInYear</f>
        <v>22567.7812953188</v>
      </c>
      <c r="C43" s="276">
        <f ca="1">B43+B45*INDEX(INDEX(VimFrac,,VLOOKUP(B48,PlanetData,3,0)+1),MATCH(B46,INDEX(VimFrac,,VLOOKUP(B48,PlanetData,3,0)+1),1))</f>
        <v>35351.701839300185</v>
      </c>
      <c r="D43" s="276">
        <f ca="1">C43+C45*INDEX(INDEX(VimFrac,0,9*C49+VLOOKUP(C48,PlanetData,3,0)+1),IF(C49,1,0)+MATCH(C46,INDEX(VimFrac,0,9*C49+VLOOKUP(C48,PlanetData,3,0)+1),IF(C49,-1,1)))</f>
        <v>38663.346018312499</v>
      </c>
      <c r="E43" s="276">
        <f ca="1">D43+D45*INDEX(INDEX(VimFrac,0,9*D49+VLOOKUP(D48,PlanetData,3,0)+1),IF(D49,1,0)+MATCH(D46,INDEX(VimFrac,0,9*D49+VLOOKUP(D48,PlanetData,3,0)+1),IF(D49,-1,1)))</f>
        <v>38663.346018312499</v>
      </c>
      <c r="F43" s="276">
        <f ca="1">E43+E45*INDEX(INDEX(VimFrac,0,9*E49+VLOOKUP(E48,PlanetData,3,0)+1),IF(E49,1,0)+MATCH(E46,INDEX(VimFrac,0,9*E49+VLOOKUP(E48,PlanetData,3,0)+1),IF(E49,-1,1)))</f>
        <v>38762.062911634792</v>
      </c>
      <c r="G43" s="276">
        <f ca="1">F43+F45*INDEX(INDEX(VimFrac,0,9*F49+VLOOKUP(F48,PlanetData,3,0)+1),IF(F49,1,0)+MATCH(F46,INDEX(VimFrac,0,9*F49+VLOOKUP(F48,PlanetData,3,0)+1),IF(F49,-1,1)))</f>
        <v>38778.157349027933</v>
      </c>
      <c r="H43" s="276">
        <f ca="1">G43+G45*INDEX(INDEX(VimFrac,0,9*G49+VLOOKUP(G48,PlanetData,3,0)+1),IF(G49,1,0)+MATCH(G46,INDEX(VimFrac,0,9*G49+VLOOKUP(G48,PlanetData,3,0)+1),IF(G49,-1,1)))</f>
        <v>38778.879535321219</v>
      </c>
      <c r="J43" s="259" t="str">
        <f ca="1">J48</f>
        <v>Marriage D9</v>
      </c>
      <c r="K43">
        <f>K35+1</f>
        <v>5</v>
      </c>
      <c r="N43" s="261">
        <f>JHora!B44</f>
        <v>0</v>
      </c>
      <c r="O43" s="20">
        <f>JHora!C44</f>
        <v>0</v>
      </c>
    </row>
    <row r="44" spans="1:15">
      <c r="A44" s="274" t="s">
        <v>455</v>
      </c>
      <c r="B44" s="275">
        <f>B43+B45</f>
        <v>66398.36601754064</v>
      </c>
      <c r="C44" s="276">
        <f ca="1">B43+B45*INDEX(INDEX(VimFrac,,VLOOKUP(B48,PlanetData,3,0)+1),MATCH(B46,INDEX(VimFrac,,VLOOKUP(B48,PlanetData,3,0)+1),1)+1)</f>
        <v>41195.779802263089</v>
      </c>
      <c r="D44" s="276">
        <f ca="1">C43+C45*INDEX(INDEX(VimFrac,0,9*C49+VLOOKUP(C48,PlanetData,3,0)+1),IF(C49,0,1)+MATCH(C46,INDEX(VimFrac,0,9*C49+VLOOKUP(C48,PlanetData,3,0)+1),IF(C49,-1,1)))</f>
        <v>39491.257063065575</v>
      </c>
      <c r="E44" s="276">
        <f ca="1">D43+D45*INDEX(INDEX(VimFrac,0,9*D49+VLOOKUP(D48,PlanetData,3,0)+1),IF(D49,0,1)+MATCH(D46,INDEX(VimFrac,0,9*D49+VLOOKUP(D48,PlanetData,3,0)+1),IF(D49,-1,1)))</f>
        <v>38780.633416319186</v>
      </c>
      <c r="F44" s="276">
        <f ca="1">E43+E45*INDEX(INDEX(VimFrac,0,9*E49+VLOOKUP(E48,PlanetData,3,0)+1),IF(E49,0,1)+MATCH(E46,INDEX(VimFrac,0,9*E49+VLOOKUP(E48,PlanetData,3,0)+1),IF(E49,-1,1)))</f>
        <v>38780.633416319186</v>
      </c>
      <c r="G44" s="276">
        <f ca="1">F43+F45*INDEX(INDEX(VimFrac,0,9*F49+VLOOKUP(F48,PlanetData,3,0)+1),IF(F49,0,1)+MATCH(F46,INDEX(VimFrac,0,9*F49+VLOOKUP(F48,PlanetData,3,0)+1),IF(F49,-1,1)))</f>
        <v>38780.633416319186</v>
      </c>
      <c r="H44" s="276">
        <f ca="1">G43+G45*INDEX(INDEX(VimFrac,0,9*G49+VLOOKUP(G48,PlanetData,3,0)+1),IF(G49,0,1)+MATCH(G46,INDEX(VimFrac,0,9*G49+VLOOKUP(G48,PlanetData,3,0)+1),IF(G49,-1,1)))</f>
        <v>38779.003338685776</v>
      </c>
      <c r="J44" s="259" t="str">
        <f ca="1">J48</f>
        <v>Marriage D9</v>
      </c>
      <c r="K44">
        <f>K36+1</f>
        <v>5</v>
      </c>
      <c r="N44" s="261">
        <f>JHora!B45</f>
        <v>0</v>
      </c>
      <c r="O44" s="20">
        <f>JHora!C45</f>
        <v>0</v>
      </c>
    </row>
    <row r="45" spans="1:15">
      <c r="A45" s="277" t="s">
        <v>456</v>
      </c>
      <c r="B45" s="278">
        <f>120*DaysInYear</f>
        <v>43830.584722221844</v>
      </c>
      <c r="C45" s="279">
        <f t="shared" ref="C45:H45" ca="1" si="8">C44-C43</f>
        <v>5844.0779629629033</v>
      </c>
      <c r="D45" s="279">
        <f t="shared" ca="1" si="8"/>
        <v>827.91104475307657</v>
      </c>
      <c r="E45" s="279">
        <f t="shared" ca="1" si="8"/>
        <v>117.287398006687</v>
      </c>
      <c r="F45" s="279">
        <f t="shared" ca="1" si="8"/>
        <v>18.570504684394109</v>
      </c>
      <c r="G45" s="279">
        <f t="shared" ca="1" si="8"/>
        <v>2.4760672912525479</v>
      </c>
      <c r="H45" s="279">
        <f t="shared" ca="1" si="8"/>
        <v>0.12380336455680663</v>
      </c>
      <c r="K45">
        <f>K37</f>
        <v>0</v>
      </c>
    </row>
    <row r="46" spans="1:15">
      <c r="A46" s="277" t="s">
        <v>457</v>
      </c>
      <c r="B46" s="280">
        <f ca="1">(I48-B43)/(B44-B43)</f>
        <v>0.36986088156068359</v>
      </c>
      <c r="C46" s="281">
        <f ca="1">(I48-C43)/(C44-C43)</f>
        <v>0.5864566117051252</v>
      </c>
      <c r="D46" s="281">
        <f ca="1">(I48-D43)/(D44-D43)</f>
        <v>0.13969372968323515</v>
      </c>
      <c r="E46" s="281">
        <f ca="1">(I48-E43)/(E44-E43)</f>
        <v>0.98607338599929717</v>
      </c>
      <c r="F46" s="281">
        <f ca="1">(I48-F43)/(F44-F43)</f>
        <v>0.9120424378903077</v>
      </c>
      <c r="G46" s="281">
        <f ca="1">(I48-G43)/(G44-G43)</f>
        <v>0.34031828417730797</v>
      </c>
      <c r="H46" s="281">
        <f ca="1">(I48-H43)/(H44-H43)</f>
        <v>0.97303235022918921</v>
      </c>
      <c r="K46">
        <f>K38</f>
        <v>0</v>
      </c>
    </row>
    <row r="47" spans="1:15">
      <c r="A47" s="277" t="s">
        <v>458</v>
      </c>
      <c r="B47" s="278"/>
      <c r="C47" s="279">
        <f ca="1">MOD(VLOOKUP(B48,PlanetData,3,0)+MATCH(B46,INDEX(VimFrac,,VLOOKUP(B48,PlanetData,3,0)+1),1)-1,9)</f>
        <v>7</v>
      </c>
      <c r="D47" s="279">
        <f ca="1">MOD(VLOOKUP(C48,PlanetData,3,0)+MATCH(C46,INDEX(VimFrac,0,9*C49+VLOOKUP(C48,PlanetData,3,0)+1),IF(C49,-1,1))-1,9)</f>
        <v>0</v>
      </c>
      <c r="E47" s="279">
        <f ca="1">MOD(VLOOKUP(D48,PlanetData,3,0)+MATCH(D46,INDEX(VimFrac,0,9*D49+VLOOKUP(D48,PlanetData,3,0)+1),IF(D49,-1,1))-1,9)</f>
        <v>0</v>
      </c>
      <c r="F47" s="279">
        <f ca="1">MOD(VLOOKUP(E48,PlanetData,3,0)+MATCH(E46,INDEX(VimFrac,0,9*E49+VLOOKUP(E48,PlanetData,3,0)+1),IF(E49,-1,1))-1,9)</f>
        <v>8</v>
      </c>
      <c r="G47" s="279">
        <f ca="1">MOD(VLOOKUP(F48,PlanetData,3,0)+MATCH(F46,INDEX(VimFrac,0,9*F49+VLOOKUP(F48,PlanetData,3,0)+1),IF(F49,-1,1))-1,9)</f>
        <v>7</v>
      </c>
      <c r="H47" s="279">
        <f ca="1">MOD(VLOOKUP(G48,PlanetData,3,0)+MATCH(G46,INDEX(VimFrac,0,9*G49+VLOOKUP(G48,PlanetData,3,0)+1),IF(G49,-1,1))-1,9)</f>
        <v>3</v>
      </c>
      <c r="K47">
        <f>K39</f>
        <v>0</v>
      </c>
    </row>
    <row r="48" spans="1:15">
      <c r="A48" s="277" t="s">
        <v>459</v>
      </c>
      <c r="B48" s="278" t="str">
        <f>$B$4</f>
        <v>Moon</v>
      </c>
      <c r="C48" s="279" t="str">
        <f t="shared" ref="C48:H48" ca="1" si="9">INDEX(DasaYears,IF(C47=0,9,C47),1)</f>
        <v>Jupiter</v>
      </c>
      <c r="D48" s="279" t="str">
        <f t="shared" ca="1" si="9"/>
        <v>Mercury</v>
      </c>
      <c r="E48" s="279" t="str">
        <f t="shared" ca="1" si="9"/>
        <v>Mercury</v>
      </c>
      <c r="F48" s="279" t="str">
        <f t="shared" ca="1" si="9"/>
        <v>Saturn</v>
      </c>
      <c r="G48" s="279" t="str">
        <f t="shared" ca="1" si="9"/>
        <v>Jupiter</v>
      </c>
      <c r="H48" s="279" t="str">
        <f t="shared" ca="1" si="9"/>
        <v>Sun</v>
      </c>
      <c r="I48" s="261">
        <f ca="1">INDIRECT("'JHora'!$B$"&amp;($K48))</f>
        <v>38779</v>
      </c>
      <c r="J48" s="261" t="str">
        <f ca="1">INDIRECT("'JHora'!$C$"&amp;($K48))</f>
        <v>Marriage D9</v>
      </c>
      <c r="K48">
        <f>K40+1</f>
        <v>5</v>
      </c>
      <c r="N48" s="261">
        <f>JHora!B49</f>
        <v>0</v>
      </c>
      <c r="O48" s="20">
        <f>JHora!C49</f>
        <v>0</v>
      </c>
    </row>
    <row r="49" spans="1:15">
      <c r="A49" s="277" t="s">
        <v>444</v>
      </c>
      <c r="B49" s="278" t="b">
        <f>$B$7</f>
        <v>1</v>
      </c>
      <c r="C49" s="279">
        <f ca="1">IF(VLOOKUP(C48,ChartInfo,11,0),1,0)*B49</f>
        <v>1</v>
      </c>
      <c r="D49" s="279">
        <f ca="1">IF(VLOOKUP(D48,ChartInfo,11,0),1,0)*B49</f>
        <v>0</v>
      </c>
      <c r="E49" s="279">
        <f ca="1">IF(VLOOKUP(E48,ChartInfo,11,0),1,0)*B49</f>
        <v>0</v>
      </c>
      <c r="F49" s="279">
        <f ca="1">IF(VLOOKUP(F48,ChartInfo,11,0),1,0)*B49</f>
        <v>0</v>
      </c>
      <c r="G49" s="279">
        <f ca="1">IF(VLOOKUP(G48,ChartInfo,11,0),1,0)*B49</f>
        <v>1</v>
      </c>
      <c r="H49" s="279">
        <f ca="1">IF(VLOOKUP(H48,ChartInfo,11,0),1,0)*B49</f>
        <v>0</v>
      </c>
      <c r="K49">
        <f>K41</f>
        <v>0</v>
      </c>
    </row>
    <row r="50" spans="1:15">
      <c r="K50">
        <f>K42+1</f>
        <v>5</v>
      </c>
      <c r="N50" s="261">
        <f>JHora!B51</f>
        <v>0</v>
      </c>
      <c r="O50" s="20">
        <f>JHora!C51</f>
        <v>0</v>
      </c>
    </row>
    <row r="51" spans="1:15">
      <c r="A51" s="274" t="s">
        <v>454</v>
      </c>
      <c r="B51" s="275">
        <f>DoB-$E$6*DaysInYear</f>
        <v>22567.7812953188</v>
      </c>
      <c r="C51" s="276">
        <f ca="1">B51+B53*INDEX(INDEX(VimFrac,,VLOOKUP(B56,PlanetData,3,0)+1),MATCH(B54,INDEX(VimFrac,,VLOOKUP(B56,PlanetData,3,0)+1),1))</f>
        <v>41195.779802263089</v>
      </c>
      <c r="D51" s="276">
        <f ca="1">C51+C53*INDEX(INDEX(VimFrac,0,9*C57+VLOOKUP(C56,PlanetData,3,0)+1),IF(C57,1,0)+MATCH(C54,INDEX(VimFrac,0,9*C57+VLOOKUP(C56,PlanetData,3,0)+1),IF(C57,-1,1)))</f>
        <v>41195.779802263089</v>
      </c>
      <c r="E51" s="276">
        <f ca="1">D51+D53*INDEX(INDEX(VimFrac,0,9*D57+VLOOKUP(D56,PlanetData,3,0)+1),IF(D57,1,0)+MATCH(D54,INDEX(VimFrac,0,9*D57+VLOOKUP(D56,PlanetData,3,0)+1),IF(D57,-1,1)))</f>
        <v>41589.519482033371</v>
      </c>
      <c r="F51" s="276">
        <f ca="1">E51+E53*INDEX(INDEX(VimFrac,0,9*E57+VLOOKUP(E56,PlanetData,3,0)+1),IF(E57,1,0)+MATCH(E54,INDEX(VimFrac,0,9*E57+VLOOKUP(E56,PlanetData,3,0)+1),IF(E57,-1,1)))</f>
        <v>41682.612972211617</v>
      </c>
      <c r="G51" s="276">
        <f ca="1">F51+F53*INDEX(INDEX(VimFrac,0,9*F57+VLOOKUP(F56,PlanetData,3,0)+1),IF(F57,1,0)+MATCH(F54,INDEX(VimFrac,0,9*F57+VLOOKUP(F56,PlanetData,3,0)+1),IF(F57,-1,1)))</f>
        <v>41690.955776795898</v>
      </c>
      <c r="H51" s="276">
        <f ca="1">G51+G53*INDEX(INDEX(VimFrac,0,9*G57+VLOOKUP(G56,PlanetData,3,0)+1),IF(G57,1,0)+MATCH(G54,INDEX(VimFrac,0,9*G57+VLOOKUP(G56,PlanetData,3,0)+1),IF(G57,-1,1)))</f>
        <v>41693.567142458458</v>
      </c>
      <c r="J51" s="259" t="str">
        <f ca="1">J56</f>
        <v>Bought Car D16</v>
      </c>
      <c r="K51">
        <f>K43+1</f>
        <v>6</v>
      </c>
      <c r="N51" s="261">
        <f>JHora!B52</f>
        <v>0</v>
      </c>
      <c r="O51" s="20">
        <f>JHora!C52</f>
        <v>0</v>
      </c>
    </row>
    <row r="52" spans="1:15">
      <c r="A52" s="274" t="s">
        <v>455</v>
      </c>
      <c r="B52" s="275">
        <f>B51+B53</f>
        <v>66398.36601754064</v>
      </c>
      <c r="C52" s="276">
        <f ca="1">B51+B53*INDEX(INDEX(VimFrac,,VLOOKUP(B56,PlanetData,3,0)+1),MATCH(B54,INDEX(VimFrac,,VLOOKUP(B56,PlanetData,3,0)+1),1)+1)</f>
        <v>48135.62238328153</v>
      </c>
      <c r="D52" s="276">
        <f ca="1">C51+C53*INDEX(INDEX(VimFrac,0,9*C57+VLOOKUP(C56,PlanetData,3,0)+1),IF(C57,0,1)+MATCH(C54,INDEX(VimFrac,0,9*C57+VLOOKUP(C56,PlanetData,3,0)+1),IF(C57,-1,1)))</f>
        <v>42294.588210924339</v>
      </c>
      <c r="E52" s="276">
        <f ca="1">D51+D53*INDEX(INDEX(VimFrac,0,9*D57+VLOOKUP(D56,PlanetData,3,0)+1),IF(D57,0,1)+MATCH(D54,INDEX(VimFrac,0,9*D57+VLOOKUP(D56,PlanetData,3,0)+1),IF(D57,-1,1)))</f>
        <v>41772.654216810246</v>
      </c>
      <c r="F52" s="276">
        <f ca="1">E51+E53*INDEX(INDEX(VimFrac,0,9*E57+VLOOKUP(E56,PlanetData,3,0)+1),IF(E57,0,1)+MATCH(E54,INDEX(VimFrac,0,9*E57+VLOOKUP(E56,PlanetData,3,0)+1),IF(E57,-1,1)))</f>
        <v>41707.030936848532</v>
      </c>
      <c r="G52" s="276">
        <f ca="1">F51+F53*INDEX(INDEX(VimFrac,0,9*F57+VLOOKUP(F56,PlanetData,3,0)+1),IF(F57,0,1)+MATCH(F54,INDEX(VimFrac,0,9*F57+VLOOKUP(F56,PlanetData,3,0)+1),IF(F57,-1,1)))</f>
        <v>41695.025437568715</v>
      </c>
      <c r="H52" s="276">
        <f ca="1">G51+G53*INDEX(INDEX(VimFrac,0,9*G57+VLOOKUP(G56,PlanetData,3,0)+1),IF(G57,0,1)+MATCH(G54,INDEX(VimFrac,0,9*G57+VLOOKUP(G56,PlanetData,3,0)+1),IF(G57,-1,1)))</f>
        <v>41694.211505414154</v>
      </c>
      <c r="J52" s="259" t="str">
        <f ca="1">J56</f>
        <v>Bought Car D16</v>
      </c>
      <c r="K52">
        <f>K44+1</f>
        <v>6</v>
      </c>
      <c r="N52" s="261">
        <f>JHora!B53</f>
        <v>0</v>
      </c>
      <c r="O52" s="20">
        <f>JHora!C53</f>
        <v>0</v>
      </c>
    </row>
    <row r="53" spans="1:15">
      <c r="A53" s="277" t="s">
        <v>456</v>
      </c>
      <c r="B53" s="278">
        <f>120*DaysInYear</f>
        <v>43830.584722221844</v>
      </c>
      <c r="C53" s="279">
        <f t="shared" ref="C53:H53" ca="1" si="10">C52-C51</f>
        <v>6939.8425810184417</v>
      </c>
      <c r="D53" s="279">
        <f t="shared" ca="1" si="10"/>
        <v>1098.8084086612507</v>
      </c>
      <c r="E53" s="279">
        <f t="shared" ca="1" si="10"/>
        <v>183.13473477687512</v>
      </c>
      <c r="F53" s="279">
        <f t="shared" ca="1" si="10"/>
        <v>24.417964636915713</v>
      </c>
      <c r="G53" s="279">
        <f t="shared" ca="1" si="10"/>
        <v>4.0696607728168601</v>
      </c>
      <c r="H53" s="279">
        <f t="shared" ca="1" si="10"/>
        <v>0.64436295569612412</v>
      </c>
      <c r="K53">
        <f>K45</f>
        <v>0</v>
      </c>
    </row>
    <row r="54" spans="1:15">
      <c r="A54" s="277" t="s">
        <v>457</v>
      </c>
      <c r="B54" s="280">
        <f ca="1">(I56-B51)/(B52-B51)</f>
        <v>0.43636695302822009</v>
      </c>
      <c r="C54" s="281">
        <f ca="1">(I56-C51)/(C52-C51)</f>
        <v>7.1791282283494698E-2</v>
      </c>
      <c r="D54" s="281">
        <f ca="1">(I56-D51)/(D52-D51)</f>
        <v>0.45341862494838858</v>
      </c>
      <c r="E54" s="281">
        <f ca="1">(I56-E51)/(E52-E51)</f>
        <v>0.5705117496903277</v>
      </c>
      <c r="F54" s="281">
        <f ca="1">(I56-F51)/(F52-F51)</f>
        <v>0.46633812267744118</v>
      </c>
      <c r="G54" s="281">
        <f ca="1">(I56-G51)/(G52-G51)</f>
        <v>0.74802873606470566</v>
      </c>
      <c r="H54" s="281">
        <f ca="1">(I56-H51)/(H52-H51)</f>
        <v>0.67176043829894905</v>
      </c>
      <c r="K54">
        <f>K46</f>
        <v>0</v>
      </c>
    </row>
    <row r="55" spans="1:15">
      <c r="A55" s="277" t="s">
        <v>458</v>
      </c>
      <c r="B55" s="278"/>
      <c r="C55" s="279">
        <f ca="1">MOD(VLOOKUP(B56,PlanetData,3,0)+MATCH(B54,INDEX(VimFrac,,VLOOKUP(B56,PlanetData,3,0)+1),1)-1,9)</f>
        <v>8</v>
      </c>
      <c r="D55" s="279">
        <f ca="1">MOD(VLOOKUP(C56,PlanetData,3,0)+MATCH(C54,INDEX(VimFrac,0,9*C57+VLOOKUP(C56,PlanetData,3,0)+1),IF(C57,-1,1))-1,9)</f>
        <v>8</v>
      </c>
      <c r="E55" s="279">
        <f ca="1">MOD(VLOOKUP(D56,PlanetData,3,0)+MATCH(D54,INDEX(VimFrac,0,9*D57+VLOOKUP(D56,PlanetData,3,0)+1),IF(D57,-1,1))-1,9)</f>
        <v>2</v>
      </c>
      <c r="F55" s="279">
        <f ca="1">MOD(VLOOKUP(E56,PlanetData,3,0)+MATCH(E54,INDEX(VimFrac,0,9*E57+VLOOKUP(E56,PlanetData,3,0)+1),IF(E57,-1,1))-1,9)</f>
        <v>7</v>
      </c>
      <c r="G55" s="279">
        <f ca="1">MOD(VLOOKUP(F56,PlanetData,3,0)+MATCH(F54,INDEX(VimFrac,0,9*F57+VLOOKUP(F56,PlanetData,3,0)+1),IF(F57,-1,1))-1,9)</f>
        <v>2</v>
      </c>
      <c r="H55" s="279">
        <f ca="1">MOD(VLOOKUP(G56,PlanetData,3,0)+MATCH(G54,INDEX(VimFrac,0,9*G57+VLOOKUP(G56,PlanetData,3,0)+1),IF(G57,-1,1))-1,9)</f>
        <v>8</v>
      </c>
      <c r="K55">
        <f>K47</f>
        <v>0</v>
      </c>
    </row>
    <row r="56" spans="1:15">
      <c r="A56" s="277" t="s">
        <v>459</v>
      </c>
      <c r="B56" s="278" t="str">
        <f>$B$4</f>
        <v>Moon</v>
      </c>
      <c r="C56" s="279" t="str">
        <f t="shared" ref="C56:H56" ca="1" si="11">INDEX(DasaYears,IF(C55=0,9,C55),1)</f>
        <v>Saturn</v>
      </c>
      <c r="D56" s="279" t="str">
        <f t="shared" ca="1" si="11"/>
        <v>Saturn</v>
      </c>
      <c r="E56" s="279" t="str">
        <f t="shared" ca="1" si="11"/>
        <v>Venus</v>
      </c>
      <c r="F56" s="279" t="str">
        <f t="shared" ca="1" si="11"/>
        <v>Jupiter</v>
      </c>
      <c r="G56" s="279" t="str">
        <f t="shared" ca="1" si="11"/>
        <v>Venus</v>
      </c>
      <c r="H56" s="279" t="str">
        <f t="shared" ca="1" si="11"/>
        <v>Saturn</v>
      </c>
      <c r="I56" s="261">
        <f ca="1">INDIRECT("'JHora'!$B$"&amp;($K56))</f>
        <v>41694</v>
      </c>
      <c r="J56" s="261" t="str">
        <f ca="1">INDIRECT("'JHora'!$C$"&amp;($K56))</f>
        <v>Bought Car D16</v>
      </c>
      <c r="K56">
        <f>K48+1</f>
        <v>6</v>
      </c>
      <c r="N56" s="261">
        <f>JHora!B57</f>
        <v>0</v>
      </c>
      <c r="O56" s="20">
        <f>JHora!C57</f>
        <v>0</v>
      </c>
    </row>
    <row r="57" spans="1:15">
      <c r="A57" s="277" t="s">
        <v>444</v>
      </c>
      <c r="B57" s="278" t="b">
        <f>$B$7</f>
        <v>1</v>
      </c>
      <c r="C57" s="279">
        <f ca="1">IF(VLOOKUP(C56,ChartInfo,11,0),1,0)*B57</f>
        <v>0</v>
      </c>
      <c r="D57" s="279">
        <f ca="1">IF(VLOOKUP(D56,ChartInfo,11,0),1,0)*B57</f>
        <v>0</v>
      </c>
      <c r="E57" s="279">
        <f ca="1">IF(VLOOKUP(E56,ChartInfo,11,0),1,0)*B57</f>
        <v>0</v>
      </c>
      <c r="F57" s="279">
        <f ca="1">IF(VLOOKUP(F56,ChartInfo,11,0),1,0)*B57</f>
        <v>1</v>
      </c>
      <c r="G57" s="279">
        <f ca="1">IF(VLOOKUP(G56,ChartInfo,11,0),1,0)*B57</f>
        <v>0</v>
      </c>
      <c r="H57" s="279">
        <f ca="1">IF(VLOOKUP(H56,ChartInfo,11,0),1,0)*B57</f>
        <v>0</v>
      </c>
      <c r="K57">
        <f>K49</f>
        <v>0</v>
      </c>
    </row>
    <row r="58" spans="1:15">
      <c r="K58">
        <f>K50+1</f>
        <v>6</v>
      </c>
      <c r="N58" s="261">
        <f>JHora!B59</f>
        <v>0</v>
      </c>
      <c r="O58" s="20">
        <f>JHora!C59</f>
        <v>0</v>
      </c>
    </row>
    <row r="59" spans="1:15">
      <c r="A59" s="274" t="s">
        <v>454</v>
      </c>
      <c r="B59" s="275">
        <f>DoB-$E$6*DaysInYear</f>
        <v>22567.7812953188</v>
      </c>
      <c r="C59" s="276" t="e">
        <f ca="1">B59+B61*INDEX(INDEX(VimFrac,,VLOOKUP(B64,PlanetData,3,0)+1),MATCH(B62,INDEX(VimFrac,,VLOOKUP(B64,PlanetData,3,0)+1),1))</f>
        <v>#N/A</v>
      </c>
      <c r="D59" s="276" t="e">
        <f ca="1">C59+C61*INDEX(INDEX(VimFrac,0,9*C65+VLOOKUP(C64,PlanetData,3,0)+1),IF(C65,1,0)+MATCH(C62,INDEX(VimFrac,0,9*C65+VLOOKUP(C64,PlanetData,3,0)+1),IF(C65,-1,1)))</f>
        <v>#N/A</v>
      </c>
      <c r="E59" s="276" t="e">
        <f ca="1">D59+D61*INDEX(INDEX(VimFrac,0,9*D65+VLOOKUP(D64,PlanetData,3,0)+1),IF(D65,1,0)+MATCH(D62,INDEX(VimFrac,0,9*D65+VLOOKUP(D64,PlanetData,3,0)+1),IF(D65,-1,1)))</f>
        <v>#N/A</v>
      </c>
      <c r="F59" s="276" t="e">
        <f ca="1">E59+E61*INDEX(INDEX(VimFrac,0,9*E65+VLOOKUP(E64,PlanetData,3,0)+1),IF(E65,1,0)+MATCH(E62,INDEX(VimFrac,0,9*E65+VLOOKUP(E64,PlanetData,3,0)+1),IF(E65,-1,1)))</f>
        <v>#N/A</v>
      </c>
      <c r="G59" s="276" t="e">
        <f ca="1">F59+F61*INDEX(INDEX(VimFrac,0,9*F65+VLOOKUP(F64,PlanetData,3,0)+1),IF(F65,1,0)+MATCH(F62,INDEX(VimFrac,0,9*F65+VLOOKUP(F64,PlanetData,3,0)+1),IF(F65,-1,1)))</f>
        <v>#N/A</v>
      </c>
      <c r="H59" s="276" t="e">
        <f ca="1">G59+G61*INDEX(INDEX(VimFrac,0,9*G65+VLOOKUP(G64,PlanetData,3,0)+1),IF(G65,1,0)+MATCH(G62,INDEX(VimFrac,0,9*G65+VLOOKUP(G64,PlanetData,3,0)+1),IF(G65,-1,1)))</f>
        <v>#N/A</v>
      </c>
      <c r="J59" s="259">
        <f ca="1">J64</f>
        <v>0</v>
      </c>
      <c r="K59">
        <f>K51+1</f>
        <v>7</v>
      </c>
      <c r="N59" s="261">
        <f>JHora!B60</f>
        <v>0</v>
      </c>
      <c r="O59" s="20">
        <f>JHora!C60</f>
        <v>0</v>
      </c>
    </row>
    <row r="60" spans="1:15">
      <c r="A60" s="274" t="s">
        <v>455</v>
      </c>
      <c r="B60" s="275">
        <f>B59+B61</f>
        <v>66398.36601754064</v>
      </c>
      <c r="C60" s="276" t="e">
        <f ca="1">B59+B61*INDEX(INDEX(VimFrac,,VLOOKUP(B64,PlanetData,3,0)+1),MATCH(B62,INDEX(VimFrac,,VLOOKUP(B64,PlanetData,3,0)+1),1)+1)</f>
        <v>#N/A</v>
      </c>
      <c r="D60" s="276" t="e">
        <f ca="1">C59+C61*INDEX(INDEX(VimFrac,0,9*C65+VLOOKUP(C64,PlanetData,3,0)+1),IF(C65,0,1)+MATCH(C62,INDEX(VimFrac,0,9*C65+VLOOKUP(C64,PlanetData,3,0)+1),IF(C65,-1,1)))</f>
        <v>#N/A</v>
      </c>
      <c r="E60" s="276" t="e">
        <f ca="1">D59+D61*INDEX(INDEX(VimFrac,0,9*D65+VLOOKUP(D64,PlanetData,3,0)+1),IF(D65,0,1)+MATCH(D62,INDEX(VimFrac,0,9*D65+VLOOKUP(D64,PlanetData,3,0)+1),IF(D65,-1,1)))</f>
        <v>#N/A</v>
      </c>
      <c r="F60" s="276" t="e">
        <f ca="1">E59+E61*INDEX(INDEX(VimFrac,0,9*E65+VLOOKUP(E64,PlanetData,3,0)+1),IF(E65,0,1)+MATCH(E62,INDEX(VimFrac,0,9*E65+VLOOKUP(E64,PlanetData,3,0)+1),IF(E65,-1,1)))</f>
        <v>#N/A</v>
      </c>
      <c r="G60" s="276" t="e">
        <f ca="1">F59+F61*INDEX(INDEX(VimFrac,0,9*F65+VLOOKUP(F64,PlanetData,3,0)+1),IF(F65,0,1)+MATCH(F62,INDEX(VimFrac,0,9*F65+VLOOKUP(F64,PlanetData,3,0)+1),IF(F65,-1,1)))</f>
        <v>#N/A</v>
      </c>
      <c r="H60" s="276" t="e">
        <f ca="1">G59+G61*INDEX(INDEX(VimFrac,0,9*G65+VLOOKUP(G64,PlanetData,3,0)+1),IF(G65,0,1)+MATCH(G62,INDEX(VimFrac,0,9*G65+VLOOKUP(G64,PlanetData,3,0)+1),IF(G65,-1,1)))</f>
        <v>#N/A</v>
      </c>
      <c r="J60" s="259">
        <f ca="1">J64</f>
        <v>0</v>
      </c>
      <c r="K60">
        <f>K52+1</f>
        <v>7</v>
      </c>
      <c r="N60" s="261">
        <f>JHora!B61</f>
        <v>0</v>
      </c>
      <c r="O60" s="20">
        <f>JHora!C61</f>
        <v>0</v>
      </c>
    </row>
    <row r="61" spans="1:15">
      <c r="A61" s="277" t="s">
        <v>456</v>
      </c>
      <c r="B61" s="278">
        <f>120*DaysInYear</f>
        <v>43830.584722221844</v>
      </c>
      <c r="C61" s="279" t="e">
        <f t="shared" ref="C61:H61" ca="1" si="12">C60-C59</f>
        <v>#N/A</v>
      </c>
      <c r="D61" s="279" t="e">
        <f t="shared" ca="1" si="12"/>
        <v>#N/A</v>
      </c>
      <c r="E61" s="279" t="e">
        <f t="shared" ca="1" si="12"/>
        <v>#N/A</v>
      </c>
      <c r="F61" s="279" t="e">
        <f t="shared" ca="1" si="12"/>
        <v>#N/A</v>
      </c>
      <c r="G61" s="279" t="e">
        <f t="shared" ca="1" si="12"/>
        <v>#N/A</v>
      </c>
      <c r="H61" s="279" t="e">
        <f t="shared" ca="1" si="12"/>
        <v>#N/A</v>
      </c>
      <c r="K61">
        <f>K53</f>
        <v>0</v>
      </c>
    </row>
    <row r="62" spans="1:15">
      <c r="A62" s="277" t="s">
        <v>457</v>
      </c>
      <c r="B62" s="280">
        <f ca="1">(I64-B59)/(B60-B59)</f>
        <v>-0.51488661258669155</v>
      </c>
      <c r="C62" s="281" t="e">
        <f ca="1">(I64-C59)/(C60-C59)</f>
        <v>#N/A</v>
      </c>
      <c r="D62" s="281" t="e">
        <f ca="1">(I64-D59)/(D60-D59)</f>
        <v>#N/A</v>
      </c>
      <c r="E62" s="281" t="e">
        <f ca="1">(I64-E59)/(E60-E59)</f>
        <v>#N/A</v>
      </c>
      <c r="F62" s="281" t="e">
        <f ca="1">(I64-F59)/(F60-F59)</f>
        <v>#N/A</v>
      </c>
      <c r="G62" s="281" t="e">
        <f ca="1">(I64-G59)/(G60-G59)</f>
        <v>#N/A</v>
      </c>
      <c r="H62" s="281" t="e">
        <f ca="1">(I64-H59)/(H60-H59)</f>
        <v>#N/A</v>
      </c>
      <c r="K62">
        <f>K54</f>
        <v>0</v>
      </c>
    </row>
    <row r="63" spans="1:15">
      <c r="A63" s="277" t="s">
        <v>458</v>
      </c>
      <c r="B63" s="278"/>
      <c r="C63" s="279" t="e">
        <f ca="1">MOD(VLOOKUP(B64,PlanetData,3,0)+MATCH(B62,INDEX(VimFrac,,VLOOKUP(B64,PlanetData,3,0)+1),1)-1,9)</f>
        <v>#N/A</v>
      </c>
      <c r="D63" s="279" t="e">
        <f ca="1">MOD(VLOOKUP(C64,PlanetData,3,0)+MATCH(C62,INDEX(VimFrac,0,9*C65+VLOOKUP(C64,PlanetData,3,0)+1),IF(C65,-1,1))-1,9)</f>
        <v>#N/A</v>
      </c>
      <c r="E63" s="279" t="e">
        <f ca="1">MOD(VLOOKUP(D64,PlanetData,3,0)+MATCH(D62,INDEX(VimFrac,0,9*D65+VLOOKUP(D64,PlanetData,3,0)+1),IF(D65,-1,1))-1,9)</f>
        <v>#N/A</v>
      </c>
      <c r="F63" s="279" t="e">
        <f ca="1">MOD(VLOOKUP(E64,PlanetData,3,0)+MATCH(E62,INDEX(VimFrac,0,9*E65+VLOOKUP(E64,PlanetData,3,0)+1),IF(E65,-1,1))-1,9)</f>
        <v>#N/A</v>
      </c>
      <c r="G63" s="279" t="e">
        <f ca="1">MOD(VLOOKUP(F64,PlanetData,3,0)+MATCH(F62,INDEX(VimFrac,0,9*F65+VLOOKUP(F64,PlanetData,3,0)+1),IF(F65,-1,1))-1,9)</f>
        <v>#N/A</v>
      </c>
      <c r="H63" s="279" t="e">
        <f ca="1">MOD(VLOOKUP(G64,PlanetData,3,0)+MATCH(G62,INDEX(VimFrac,0,9*G65+VLOOKUP(G64,PlanetData,3,0)+1),IF(G65,-1,1))-1,9)</f>
        <v>#N/A</v>
      </c>
      <c r="K63">
        <f>K55</f>
        <v>0</v>
      </c>
    </row>
    <row r="64" spans="1:15">
      <c r="A64" s="277" t="s">
        <v>459</v>
      </c>
      <c r="B64" s="278" t="str">
        <f>$B$4</f>
        <v>Moon</v>
      </c>
      <c r="C64" s="279" t="e">
        <f t="shared" ref="C64:H64" ca="1" si="13">INDEX(DasaYears,IF(C63=0,9,C63),1)</f>
        <v>#N/A</v>
      </c>
      <c r="D64" s="279" t="e">
        <f t="shared" ca="1" si="13"/>
        <v>#N/A</v>
      </c>
      <c r="E64" s="279" t="e">
        <f t="shared" ca="1" si="13"/>
        <v>#N/A</v>
      </c>
      <c r="F64" s="279" t="e">
        <f t="shared" ca="1" si="13"/>
        <v>#N/A</v>
      </c>
      <c r="G64" s="279" t="e">
        <f t="shared" ca="1" si="13"/>
        <v>#N/A</v>
      </c>
      <c r="H64" s="279" t="e">
        <f t="shared" ca="1" si="13"/>
        <v>#N/A</v>
      </c>
      <c r="I64" s="261">
        <f ca="1">INDIRECT("'JHora'!$B$"&amp;($K64))</f>
        <v>0</v>
      </c>
      <c r="J64" s="261">
        <f ca="1">INDIRECT("'JHora'!$C$"&amp;($K64))</f>
        <v>0</v>
      </c>
      <c r="K64">
        <f>K56+1</f>
        <v>7</v>
      </c>
      <c r="N64" s="261">
        <f>JHora!B65</f>
        <v>0</v>
      </c>
      <c r="O64" s="20">
        <f>JHora!C65</f>
        <v>0</v>
      </c>
    </row>
    <row r="65" spans="1:15">
      <c r="A65" s="277" t="s">
        <v>444</v>
      </c>
      <c r="B65" s="278" t="b">
        <f>$B$7</f>
        <v>1</v>
      </c>
      <c r="C65" s="279" t="e">
        <f ca="1">IF(VLOOKUP(C64,ChartInfo,11,0),1,0)*B65</f>
        <v>#N/A</v>
      </c>
      <c r="D65" s="279" t="e">
        <f ca="1">IF(VLOOKUP(D64,ChartInfo,11,0),1,0)*B65</f>
        <v>#N/A</v>
      </c>
      <c r="E65" s="279" t="e">
        <f ca="1">IF(VLOOKUP(E64,ChartInfo,11,0),1,0)*B65</f>
        <v>#N/A</v>
      </c>
      <c r="F65" s="279" t="e">
        <f ca="1">IF(VLOOKUP(F64,ChartInfo,11,0),1,0)*B65</f>
        <v>#N/A</v>
      </c>
      <c r="G65" s="279" t="e">
        <f ca="1">IF(VLOOKUP(G64,ChartInfo,11,0),1,0)*B65</f>
        <v>#N/A</v>
      </c>
      <c r="H65" s="279" t="e">
        <f ca="1">IF(VLOOKUP(H64,ChartInfo,11,0),1,0)*B65</f>
        <v>#N/A</v>
      </c>
      <c r="K65">
        <f>K57</f>
        <v>0</v>
      </c>
    </row>
    <row r="66" spans="1:15">
      <c r="K66">
        <f>K58+1</f>
        <v>7</v>
      </c>
      <c r="N66" s="261">
        <f>JHora!B67</f>
        <v>0</v>
      </c>
      <c r="O66" s="20">
        <f>JHora!C67</f>
        <v>0</v>
      </c>
    </row>
    <row r="67" spans="1:15">
      <c r="A67" s="274" t="s">
        <v>454</v>
      </c>
      <c r="B67" s="275">
        <f>DoB-$E$6*DaysInYear</f>
        <v>22567.7812953188</v>
      </c>
      <c r="C67" s="276" t="e">
        <f ca="1">B67+B69*INDEX(INDEX(VimFrac,,VLOOKUP(B72,PlanetData,3,0)+1),MATCH(B70,INDEX(VimFrac,,VLOOKUP(B72,PlanetData,3,0)+1),1))</f>
        <v>#N/A</v>
      </c>
      <c r="D67" s="276" t="e">
        <f ca="1">C67+C69*INDEX(INDEX(VimFrac,0,9*C73+VLOOKUP(C72,PlanetData,3,0)+1),IF(C73,1,0)+MATCH(C70,INDEX(VimFrac,0,9*C73+VLOOKUP(C72,PlanetData,3,0)+1),IF(C73,-1,1)))</f>
        <v>#N/A</v>
      </c>
      <c r="E67" s="276" t="e">
        <f ca="1">D67+D69*INDEX(INDEX(VimFrac,0,9*D73+VLOOKUP(D72,PlanetData,3,0)+1),IF(D73,1,0)+MATCH(D70,INDEX(VimFrac,0,9*D73+VLOOKUP(D72,PlanetData,3,0)+1),IF(D73,-1,1)))</f>
        <v>#N/A</v>
      </c>
      <c r="F67" s="276" t="e">
        <f ca="1">E67+E69*INDEX(INDEX(VimFrac,0,9*E73+VLOOKUP(E72,PlanetData,3,0)+1),IF(E73,1,0)+MATCH(E70,INDEX(VimFrac,0,9*E73+VLOOKUP(E72,PlanetData,3,0)+1),IF(E73,-1,1)))</f>
        <v>#N/A</v>
      </c>
      <c r="G67" s="276" t="e">
        <f ca="1">F67+F69*INDEX(INDEX(VimFrac,0,9*F73+VLOOKUP(F72,PlanetData,3,0)+1),IF(F73,1,0)+MATCH(F70,INDEX(VimFrac,0,9*F73+VLOOKUP(F72,PlanetData,3,0)+1),IF(F73,-1,1)))</f>
        <v>#N/A</v>
      </c>
      <c r="H67" s="276" t="e">
        <f ca="1">G67+G69*INDEX(INDEX(VimFrac,0,9*G73+VLOOKUP(G72,PlanetData,3,0)+1),IF(G73,1,0)+MATCH(G70,INDEX(VimFrac,0,9*G73+VLOOKUP(G72,PlanetData,3,0)+1),IF(G73,-1,1)))</f>
        <v>#N/A</v>
      </c>
      <c r="J67" s="259">
        <f ca="1">J72</f>
        <v>0</v>
      </c>
      <c r="K67">
        <f>K59+1</f>
        <v>8</v>
      </c>
      <c r="N67" s="261">
        <f>JHora!B68</f>
        <v>0</v>
      </c>
      <c r="O67" s="20">
        <f>JHora!C68</f>
        <v>0</v>
      </c>
    </row>
    <row r="68" spans="1:15">
      <c r="A68" s="274" t="s">
        <v>455</v>
      </c>
      <c r="B68" s="275">
        <f>B67+B69</f>
        <v>66398.36601754064</v>
      </c>
      <c r="C68" s="276" t="e">
        <f ca="1">B67+B69*INDEX(INDEX(VimFrac,,VLOOKUP(B72,PlanetData,3,0)+1),MATCH(B70,INDEX(VimFrac,,VLOOKUP(B72,PlanetData,3,0)+1),1)+1)</f>
        <v>#N/A</v>
      </c>
      <c r="D68" s="276" t="e">
        <f ca="1">C67+C69*INDEX(INDEX(VimFrac,0,9*C73+VLOOKUP(C72,PlanetData,3,0)+1),IF(C73,0,1)+MATCH(C70,INDEX(VimFrac,0,9*C73+VLOOKUP(C72,PlanetData,3,0)+1),IF(C73,-1,1)))</f>
        <v>#N/A</v>
      </c>
      <c r="E68" s="276" t="e">
        <f ca="1">D67+D69*INDEX(INDEX(VimFrac,0,9*D73+VLOOKUP(D72,PlanetData,3,0)+1),IF(D73,0,1)+MATCH(D70,INDEX(VimFrac,0,9*D73+VLOOKUP(D72,PlanetData,3,0)+1),IF(D73,-1,1)))</f>
        <v>#N/A</v>
      </c>
      <c r="F68" s="276" t="e">
        <f ca="1">E67+E69*INDEX(INDEX(VimFrac,0,9*E73+VLOOKUP(E72,PlanetData,3,0)+1),IF(E73,0,1)+MATCH(E70,INDEX(VimFrac,0,9*E73+VLOOKUP(E72,PlanetData,3,0)+1),IF(E73,-1,1)))</f>
        <v>#N/A</v>
      </c>
      <c r="G68" s="276" t="e">
        <f ca="1">F67+F69*INDEX(INDEX(VimFrac,0,9*F73+VLOOKUP(F72,PlanetData,3,0)+1),IF(F73,0,1)+MATCH(F70,INDEX(VimFrac,0,9*F73+VLOOKUP(F72,PlanetData,3,0)+1),IF(F73,-1,1)))</f>
        <v>#N/A</v>
      </c>
      <c r="H68" s="276" t="e">
        <f ca="1">G67+G69*INDEX(INDEX(VimFrac,0,9*G73+VLOOKUP(G72,PlanetData,3,0)+1),IF(G73,0,1)+MATCH(G70,INDEX(VimFrac,0,9*G73+VLOOKUP(G72,PlanetData,3,0)+1),IF(G73,-1,1)))</f>
        <v>#N/A</v>
      </c>
      <c r="J68" s="259">
        <f ca="1">J72</f>
        <v>0</v>
      </c>
      <c r="K68">
        <f>K60+1</f>
        <v>8</v>
      </c>
      <c r="N68" s="261">
        <f>JHora!B69</f>
        <v>0</v>
      </c>
      <c r="O68" s="20">
        <f>JHora!C69</f>
        <v>0</v>
      </c>
    </row>
    <row r="69" spans="1:15">
      <c r="A69" s="277" t="s">
        <v>456</v>
      </c>
      <c r="B69" s="278">
        <f>120*DaysInYear</f>
        <v>43830.584722221844</v>
      </c>
      <c r="C69" s="279" t="e">
        <f t="shared" ref="C69:H69" ca="1" si="14">C68-C67</f>
        <v>#N/A</v>
      </c>
      <c r="D69" s="279" t="e">
        <f t="shared" ca="1" si="14"/>
        <v>#N/A</v>
      </c>
      <c r="E69" s="279" t="e">
        <f t="shared" ca="1" si="14"/>
        <v>#N/A</v>
      </c>
      <c r="F69" s="279" t="e">
        <f t="shared" ca="1" si="14"/>
        <v>#N/A</v>
      </c>
      <c r="G69" s="279" t="e">
        <f t="shared" ca="1" si="14"/>
        <v>#N/A</v>
      </c>
      <c r="H69" s="279" t="e">
        <f t="shared" ca="1" si="14"/>
        <v>#N/A</v>
      </c>
      <c r="K69">
        <f>K61</f>
        <v>0</v>
      </c>
    </row>
    <row r="70" spans="1:15">
      <c r="A70" s="277" t="s">
        <v>457</v>
      </c>
      <c r="B70" s="280">
        <f ca="1">(I72-B67)/(B68-B67)</f>
        <v>-0.51488661258669155</v>
      </c>
      <c r="C70" s="281" t="e">
        <f ca="1">(I72-C67)/(C68-C67)</f>
        <v>#N/A</v>
      </c>
      <c r="D70" s="281" t="e">
        <f ca="1">(I72-D67)/(D68-D67)</f>
        <v>#N/A</v>
      </c>
      <c r="E70" s="281" t="e">
        <f ca="1">(I72-E67)/(E68-E67)</f>
        <v>#N/A</v>
      </c>
      <c r="F70" s="281" t="e">
        <f ca="1">(I72-F67)/(F68-F67)</f>
        <v>#N/A</v>
      </c>
      <c r="G70" s="281" t="e">
        <f ca="1">(I72-G67)/(G68-G67)</f>
        <v>#N/A</v>
      </c>
      <c r="H70" s="281" t="e">
        <f ca="1">(I72-H67)/(H68-H67)</f>
        <v>#N/A</v>
      </c>
      <c r="K70">
        <f>K62</f>
        <v>0</v>
      </c>
    </row>
    <row r="71" spans="1:15">
      <c r="A71" s="277" t="s">
        <v>458</v>
      </c>
      <c r="B71" s="278"/>
      <c r="C71" s="279" t="e">
        <f ca="1">MOD(VLOOKUP(B72,PlanetData,3,0)+MATCH(B70,INDEX(VimFrac,,VLOOKUP(B72,PlanetData,3,0)+1),1)-1,9)</f>
        <v>#N/A</v>
      </c>
      <c r="D71" s="279" t="e">
        <f ca="1">MOD(VLOOKUP(C72,PlanetData,3,0)+MATCH(C70,INDEX(VimFrac,0,9*C73+VLOOKUP(C72,PlanetData,3,0)+1),IF(C73,-1,1))-1,9)</f>
        <v>#N/A</v>
      </c>
      <c r="E71" s="279" t="e">
        <f ca="1">MOD(VLOOKUP(D72,PlanetData,3,0)+MATCH(D70,INDEX(VimFrac,0,9*D73+VLOOKUP(D72,PlanetData,3,0)+1),IF(D73,-1,1))-1,9)</f>
        <v>#N/A</v>
      </c>
      <c r="F71" s="279" t="e">
        <f ca="1">MOD(VLOOKUP(E72,PlanetData,3,0)+MATCH(E70,INDEX(VimFrac,0,9*E73+VLOOKUP(E72,PlanetData,3,0)+1),IF(E73,-1,1))-1,9)</f>
        <v>#N/A</v>
      </c>
      <c r="G71" s="279" t="e">
        <f ca="1">MOD(VLOOKUP(F72,PlanetData,3,0)+MATCH(F70,INDEX(VimFrac,0,9*F73+VLOOKUP(F72,PlanetData,3,0)+1),IF(F73,-1,1))-1,9)</f>
        <v>#N/A</v>
      </c>
      <c r="H71" s="279" t="e">
        <f ca="1">MOD(VLOOKUP(G72,PlanetData,3,0)+MATCH(G70,INDEX(VimFrac,0,9*G73+VLOOKUP(G72,PlanetData,3,0)+1),IF(G73,-1,1))-1,9)</f>
        <v>#N/A</v>
      </c>
      <c r="K71">
        <f>K63</f>
        <v>0</v>
      </c>
    </row>
    <row r="72" spans="1:15">
      <c r="A72" s="277" t="s">
        <v>459</v>
      </c>
      <c r="B72" s="278" t="str">
        <f>$B$4</f>
        <v>Moon</v>
      </c>
      <c r="C72" s="279" t="e">
        <f t="shared" ref="C72:H72" ca="1" si="15">INDEX(DasaYears,IF(C71=0,9,C71),1)</f>
        <v>#N/A</v>
      </c>
      <c r="D72" s="279" t="e">
        <f t="shared" ca="1" si="15"/>
        <v>#N/A</v>
      </c>
      <c r="E72" s="279" t="e">
        <f t="shared" ca="1" si="15"/>
        <v>#N/A</v>
      </c>
      <c r="F72" s="279" t="e">
        <f t="shared" ca="1" si="15"/>
        <v>#N/A</v>
      </c>
      <c r="G72" s="279" t="e">
        <f t="shared" ca="1" si="15"/>
        <v>#N/A</v>
      </c>
      <c r="H72" s="279" t="e">
        <f t="shared" ca="1" si="15"/>
        <v>#N/A</v>
      </c>
      <c r="I72" s="261">
        <f ca="1">INDIRECT("'JHora'!$B$"&amp;($K72))</f>
        <v>0</v>
      </c>
      <c r="J72" s="261">
        <f ca="1">INDIRECT("'JHora'!$C$"&amp;($K72))</f>
        <v>0</v>
      </c>
      <c r="K72">
        <f>K64+1</f>
        <v>8</v>
      </c>
      <c r="N72" s="261">
        <f>JHora!B73</f>
        <v>0</v>
      </c>
      <c r="O72" s="20">
        <f>JHora!C73</f>
        <v>0</v>
      </c>
    </row>
    <row r="73" spans="1:15">
      <c r="A73" s="277" t="s">
        <v>444</v>
      </c>
      <c r="B73" s="278" t="b">
        <f>$B$7</f>
        <v>1</v>
      </c>
      <c r="C73" s="279" t="e">
        <f ca="1">IF(VLOOKUP(C72,ChartInfo,11,0),1,0)*B73</f>
        <v>#N/A</v>
      </c>
      <c r="D73" s="279" t="e">
        <f ca="1">IF(VLOOKUP(D72,ChartInfo,11,0),1,0)*B73</f>
        <v>#N/A</v>
      </c>
      <c r="E73" s="279" t="e">
        <f ca="1">IF(VLOOKUP(E72,ChartInfo,11,0),1,0)*B73</f>
        <v>#N/A</v>
      </c>
      <c r="F73" s="279" t="e">
        <f ca="1">IF(VLOOKUP(F72,ChartInfo,11,0),1,0)*B73</f>
        <v>#N/A</v>
      </c>
      <c r="G73" s="279" t="e">
        <f ca="1">IF(VLOOKUP(G72,ChartInfo,11,0),1,0)*B73</f>
        <v>#N/A</v>
      </c>
      <c r="H73" s="279" t="e">
        <f ca="1">IF(VLOOKUP(H72,ChartInfo,11,0),1,0)*B73</f>
        <v>#N/A</v>
      </c>
      <c r="K73">
        <f>K65</f>
        <v>0</v>
      </c>
    </row>
    <row r="74" spans="1:15">
      <c r="K74">
        <f>K66+1</f>
        <v>8</v>
      </c>
      <c r="N74" s="261">
        <f>JHora!B75</f>
        <v>0</v>
      </c>
      <c r="O74" s="20">
        <f>JHora!C75</f>
        <v>0</v>
      </c>
    </row>
    <row r="75" spans="1:15">
      <c r="A75" s="274" t="s">
        <v>454</v>
      </c>
      <c r="B75" s="275">
        <f>DoB-$E$6*DaysInYear</f>
        <v>22567.7812953188</v>
      </c>
      <c r="C75" s="276" t="e">
        <f ca="1">B75+B77*INDEX(INDEX(VimFrac,,VLOOKUP(B80,PlanetData,3,0)+1),MATCH(B78,INDEX(VimFrac,,VLOOKUP(B80,PlanetData,3,0)+1),1))</f>
        <v>#N/A</v>
      </c>
      <c r="D75" s="276" t="e">
        <f ca="1">C75+C77*INDEX(INDEX(VimFrac,0,9*C81+VLOOKUP(C80,PlanetData,3,0)+1),IF(C81,1,0)+MATCH(C78,INDEX(VimFrac,0,9*C81+VLOOKUP(C80,PlanetData,3,0)+1),IF(C81,-1,1)))</f>
        <v>#N/A</v>
      </c>
      <c r="E75" s="276" t="e">
        <f ca="1">D75+D77*INDEX(INDEX(VimFrac,0,9*D81+VLOOKUP(D80,PlanetData,3,0)+1),IF(D81,1,0)+MATCH(D78,INDEX(VimFrac,0,9*D81+VLOOKUP(D80,PlanetData,3,0)+1),IF(D81,-1,1)))</f>
        <v>#N/A</v>
      </c>
      <c r="F75" s="276" t="e">
        <f ca="1">E75+E77*INDEX(INDEX(VimFrac,0,9*E81+VLOOKUP(E80,PlanetData,3,0)+1),IF(E81,1,0)+MATCH(E78,INDEX(VimFrac,0,9*E81+VLOOKUP(E80,PlanetData,3,0)+1),IF(E81,-1,1)))</f>
        <v>#N/A</v>
      </c>
      <c r="G75" s="276" t="e">
        <f ca="1">F75+F77*INDEX(INDEX(VimFrac,0,9*F81+VLOOKUP(F80,PlanetData,3,0)+1),IF(F81,1,0)+MATCH(F78,INDEX(VimFrac,0,9*F81+VLOOKUP(F80,PlanetData,3,0)+1),IF(F81,-1,1)))</f>
        <v>#N/A</v>
      </c>
      <c r="H75" s="276" t="e">
        <f ca="1">G75+G77*INDEX(INDEX(VimFrac,0,9*G81+VLOOKUP(G80,PlanetData,3,0)+1),IF(G81,1,0)+MATCH(G78,INDEX(VimFrac,0,9*G81+VLOOKUP(G80,PlanetData,3,0)+1),IF(G81,-1,1)))</f>
        <v>#N/A</v>
      </c>
      <c r="J75" s="282">
        <f ca="1">J80</f>
        <v>0</v>
      </c>
      <c r="K75">
        <f>K67+1</f>
        <v>9</v>
      </c>
      <c r="N75" s="261">
        <f>JHora!B76</f>
        <v>0</v>
      </c>
      <c r="O75" s="20">
        <f>JHora!C76</f>
        <v>0</v>
      </c>
    </row>
    <row r="76" spans="1:15">
      <c r="A76" s="274" t="s">
        <v>455</v>
      </c>
      <c r="B76" s="275">
        <f>B75+B77</f>
        <v>66398.36601754064</v>
      </c>
      <c r="C76" s="276" t="e">
        <f ca="1">B75+B77*INDEX(INDEX(VimFrac,,VLOOKUP(B80,PlanetData,3,0)+1),MATCH(B78,INDEX(VimFrac,,VLOOKUP(B80,PlanetData,3,0)+1),1)+1)</f>
        <v>#N/A</v>
      </c>
      <c r="D76" s="276" t="e">
        <f ca="1">C75+C77*INDEX(INDEX(VimFrac,0,9*C81+VLOOKUP(C80,PlanetData,3,0)+1),IF(C81,0,1)+MATCH(C78,INDEX(VimFrac,0,9*C81+VLOOKUP(C80,PlanetData,3,0)+1),IF(C81,-1,1)))</f>
        <v>#N/A</v>
      </c>
      <c r="E76" s="276" t="e">
        <f ca="1">D75+D77*INDEX(INDEX(VimFrac,0,9*D81+VLOOKUP(D80,PlanetData,3,0)+1),IF(D81,0,1)+MATCH(D78,INDEX(VimFrac,0,9*D81+VLOOKUP(D80,PlanetData,3,0)+1),IF(D81,-1,1)))</f>
        <v>#N/A</v>
      </c>
      <c r="F76" s="276" t="e">
        <f ca="1">E75+E77*INDEX(INDEX(VimFrac,0,9*E81+VLOOKUP(E80,PlanetData,3,0)+1),IF(E81,0,1)+MATCH(E78,INDEX(VimFrac,0,9*E81+VLOOKUP(E80,PlanetData,3,0)+1),IF(E81,-1,1)))</f>
        <v>#N/A</v>
      </c>
      <c r="G76" s="276" t="e">
        <f ca="1">F75+F77*INDEX(INDEX(VimFrac,0,9*F81+VLOOKUP(F80,PlanetData,3,0)+1),IF(F81,0,1)+MATCH(F78,INDEX(VimFrac,0,9*F81+VLOOKUP(F80,PlanetData,3,0)+1),IF(F81,-1,1)))</f>
        <v>#N/A</v>
      </c>
      <c r="H76" s="276" t="e">
        <f ca="1">G75+G77*INDEX(INDEX(VimFrac,0,9*G81+VLOOKUP(G80,PlanetData,3,0)+1),IF(G81,0,1)+MATCH(G78,INDEX(VimFrac,0,9*G81+VLOOKUP(G80,PlanetData,3,0)+1),IF(G81,-1,1)))</f>
        <v>#N/A</v>
      </c>
      <c r="J76" s="282">
        <f ca="1">J80</f>
        <v>0</v>
      </c>
      <c r="K76">
        <f>K68+1</f>
        <v>9</v>
      </c>
      <c r="N76" s="261">
        <f>JHora!B77</f>
        <v>0</v>
      </c>
      <c r="O76" s="20">
        <f>JHora!C77</f>
        <v>0</v>
      </c>
    </row>
    <row r="77" spans="1:15">
      <c r="A77" s="277" t="s">
        <v>456</v>
      </c>
      <c r="B77" s="278">
        <f>120*DaysInYear</f>
        <v>43830.584722221844</v>
      </c>
      <c r="C77" s="279" t="e">
        <f t="shared" ref="C77:H77" ca="1" si="16">C76-C75</f>
        <v>#N/A</v>
      </c>
      <c r="D77" s="279" t="e">
        <f t="shared" ca="1" si="16"/>
        <v>#N/A</v>
      </c>
      <c r="E77" s="279" t="e">
        <f t="shared" ca="1" si="16"/>
        <v>#N/A</v>
      </c>
      <c r="F77" s="279" t="e">
        <f t="shared" ca="1" si="16"/>
        <v>#N/A</v>
      </c>
      <c r="G77" s="279" t="e">
        <f t="shared" ca="1" si="16"/>
        <v>#N/A</v>
      </c>
      <c r="H77" s="279" t="e">
        <f t="shared" ca="1" si="16"/>
        <v>#N/A</v>
      </c>
      <c r="K77">
        <f>K69</f>
        <v>0</v>
      </c>
    </row>
    <row r="78" spans="1:15">
      <c r="A78" s="277" t="s">
        <v>457</v>
      </c>
      <c r="B78" s="280">
        <f ca="1">(I80-B75)/(B76-B75)</f>
        <v>-0.51488661258669155</v>
      </c>
      <c r="C78" s="281" t="e">
        <f ca="1">(I80-C75)/(C76-C75)</f>
        <v>#N/A</v>
      </c>
      <c r="D78" s="281" t="e">
        <f ca="1">(I80-D75)/(D76-D75)</f>
        <v>#N/A</v>
      </c>
      <c r="E78" s="281" t="e">
        <f ca="1">(I80-E75)/(E76-E75)</f>
        <v>#N/A</v>
      </c>
      <c r="F78" s="281" t="e">
        <f ca="1">(I80-F75)/(F76-F75)</f>
        <v>#N/A</v>
      </c>
      <c r="G78" s="281" t="e">
        <f ca="1">(I80-G75)/(G76-G75)</f>
        <v>#N/A</v>
      </c>
      <c r="H78" s="281" t="e">
        <f ca="1">(I80-H75)/(H76-H75)</f>
        <v>#N/A</v>
      </c>
      <c r="K78">
        <f>K70</f>
        <v>0</v>
      </c>
    </row>
    <row r="79" spans="1:15">
      <c r="A79" s="277" t="s">
        <v>458</v>
      </c>
      <c r="B79" s="278"/>
      <c r="C79" s="279" t="e">
        <f ca="1">MOD(VLOOKUP(B80,PlanetData,3,0)+MATCH(B78,INDEX(VimFrac,,VLOOKUP(B80,PlanetData,3,0)+1),1)-1,9)</f>
        <v>#N/A</v>
      </c>
      <c r="D79" s="279" t="e">
        <f ca="1">MOD(VLOOKUP(C80,PlanetData,3,0)+MATCH(C78,INDEX(VimFrac,0,9*C81+VLOOKUP(C80,PlanetData,3,0)+1),IF(C81,-1,1))-1,9)</f>
        <v>#N/A</v>
      </c>
      <c r="E79" s="279" t="e">
        <f ca="1">MOD(VLOOKUP(D80,PlanetData,3,0)+MATCH(D78,INDEX(VimFrac,0,9*D81+VLOOKUP(D80,PlanetData,3,0)+1),IF(D81,-1,1))-1,9)</f>
        <v>#N/A</v>
      </c>
      <c r="F79" s="279" t="e">
        <f ca="1">MOD(VLOOKUP(E80,PlanetData,3,0)+MATCH(E78,INDEX(VimFrac,0,9*E81+VLOOKUP(E80,PlanetData,3,0)+1),IF(E81,-1,1))-1,9)</f>
        <v>#N/A</v>
      </c>
      <c r="G79" s="279" t="e">
        <f ca="1">MOD(VLOOKUP(F80,PlanetData,3,0)+MATCH(F78,INDEX(VimFrac,0,9*F81+VLOOKUP(F80,PlanetData,3,0)+1),IF(F81,-1,1))-1,9)</f>
        <v>#N/A</v>
      </c>
      <c r="H79" s="279" t="e">
        <f ca="1">MOD(VLOOKUP(G80,PlanetData,3,0)+MATCH(G78,INDEX(VimFrac,0,9*G81+VLOOKUP(G80,PlanetData,3,0)+1),IF(G81,-1,1))-1,9)</f>
        <v>#N/A</v>
      </c>
      <c r="K79">
        <f>K71</f>
        <v>0</v>
      </c>
    </row>
    <row r="80" spans="1:15">
      <c r="A80" s="277" t="s">
        <v>459</v>
      </c>
      <c r="B80" s="278" t="str">
        <f>$B$4</f>
        <v>Moon</v>
      </c>
      <c r="C80" s="279" t="e">
        <f t="shared" ref="C80:H80" ca="1" si="17">INDEX(DasaYears,IF(C79=0,9,C79),1)</f>
        <v>#N/A</v>
      </c>
      <c r="D80" s="279" t="e">
        <f t="shared" ca="1" si="17"/>
        <v>#N/A</v>
      </c>
      <c r="E80" s="279" t="e">
        <f t="shared" ca="1" si="17"/>
        <v>#N/A</v>
      </c>
      <c r="F80" s="279" t="e">
        <f t="shared" ca="1" si="17"/>
        <v>#N/A</v>
      </c>
      <c r="G80" s="279" t="e">
        <f t="shared" ca="1" si="17"/>
        <v>#N/A</v>
      </c>
      <c r="H80" s="279" t="e">
        <f t="shared" ca="1" si="17"/>
        <v>#N/A</v>
      </c>
      <c r="I80" s="261">
        <f ca="1">INDIRECT("'JHora'!$B$"&amp;($K80))</f>
        <v>0</v>
      </c>
      <c r="J80" s="261">
        <f ca="1">INDIRECT("'JHora'!$C$"&amp;($K80))</f>
        <v>0</v>
      </c>
      <c r="K80">
        <f>K72+1</f>
        <v>9</v>
      </c>
      <c r="N80" s="261">
        <f>JHora!B81</f>
        <v>0</v>
      </c>
      <c r="O80" s="20">
        <f>JHora!C81</f>
        <v>0</v>
      </c>
    </row>
    <row r="81" spans="1:15">
      <c r="A81" s="277" t="s">
        <v>444</v>
      </c>
      <c r="B81" s="278" t="b">
        <f>$B$7</f>
        <v>1</v>
      </c>
      <c r="C81" s="279" t="e">
        <f ca="1">IF(VLOOKUP(C80,ChartInfo,11,0),1,0)*B81</f>
        <v>#N/A</v>
      </c>
      <c r="D81" s="279" t="e">
        <f ca="1">IF(VLOOKUP(D80,ChartInfo,11,0),1,0)*B81</f>
        <v>#N/A</v>
      </c>
      <c r="E81" s="279" t="e">
        <f ca="1">IF(VLOOKUP(E80,ChartInfo,11,0),1,0)*B81</f>
        <v>#N/A</v>
      </c>
      <c r="F81" s="279" t="e">
        <f ca="1">IF(VLOOKUP(F80,ChartInfo,11,0),1,0)*B81</f>
        <v>#N/A</v>
      </c>
      <c r="G81" s="279" t="e">
        <f ca="1">IF(VLOOKUP(G80,ChartInfo,11,0),1,0)*B81</f>
        <v>#N/A</v>
      </c>
      <c r="H81" s="279" t="e">
        <f ca="1">IF(VLOOKUP(H80,ChartInfo,11,0),1,0)*B81</f>
        <v>#N/A</v>
      </c>
      <c r="K81">
        <f>K73</f>
        <v>0</v>
      </c>
    </row>
    <row r="82" spans="1:15">
      <c r="K82">
        <f>K74+1</f>
        <v>9</v>
      </c>
      <c r="N82" s="261">
        <f>JHora!B83</f>
        <v>0</v>
      </c>
      <c r="O82" s="20">
        <f>JHora!C83</f>
        <v>0</v>
      </c>
    </row>
    <row r="83" spans="1:15">
      <c r="A83" s="274" t="s">
        <v>454</v>
      </c>
      <c r="B83" s="275">
        <f>DoB-$E$6*DaysInYear</f>
        <v>22567.7812953188</v>
      </c>
      <c r="C83" s="276" t="e">
        <f ca="1">B83+B85*INDEX(INDEX(VimFrac,,VLOOKUP(B88,PlanetData,3,0)+1),MATCH(B86,INDEX(VimFrac,,VLOOKUP(B88,PlanetData,3,0)+1),1))</f>
        <v>#N/A</v>
      </c>
      <c r="D83" s="276" t="e">
        <f ca="1">C83+C85*INDEX(INDEX(VimFrac,0,9*C89+VLOOKUP(C88,PlanetData,3,0)+1),IF(C89,1,0)+MATCH(C86,INDEX(VimFrac,0,9*C89+VLOOKUP(C88,PlanetData,3,0)+1),IF(C89,-1,1)))</f>
        <v>#N/A</v>
      </c>
      <c r="E83" s="276" t="e">
        <f ca="1">D83+D85*INDEX(INDEX(VimFrac,0,9*D89+VLOOKUP(D88,PlanetData,3,0)+1),IF(D89,1,0)+MATCH(D86,INDEX(VimFrac,0,9*D89+VLOOKUP(D88,PlanetData,3,0)+1),IF(D89,-1,1)))</f>
        <v>#N/A</v>
      </c>
      <c r="F83" s="276" t="e">
        <f ca="1">E83+E85*INDEX(INDEX(VimFrac,0,9*E89+VLOOKUP(E88,PlanetData,3,0)+1),IF(E89,1,0)+MATCH(E86,INDEX(VimFrac,0,9*E89+VLOOKUP(E88,PlanetData,3,0)+1),IF(E89,-1,1)))</f>
        <v>#N/A</v>
      </c>
      <c r="G83" s="276" t="e">
        <f ca="1">F83+F85*INDEX(INDEX(VimFrac,0,9*F89+VLOOKUP(F88,PlanetData,3,0)+1),IF(F89,1,0)+MATCH(F86,INDEX(VimFrac,0,9*F89+VLOOKUP(F88,PlanetData,3,0)+1),IF(F89,-1,1)))</f>
        <v>#N/A</v>
      </c>
      <c r="H83" s="276" t="e">
        <f ca="1">G83+G85*INDEX(INDEX(VimFrac,0,9*G89+VLOOKUP(G88,PlanetData,3,0)+1),IF(G89,1,0)+MATCH(G86,INDEX(VimFrac,0,9*G89+VLOOKUP(G88,PlanetData,3,0)+1),IF(G89,-1,1)))</f>
        <v>#N/A</v>
      </c>
      <c r="J83" s="259">
        <f ca="1">J88</f>
        <v>0</v>
      </c>
      <c r="K83">
        <f>K75+1</f>
        <v>10</v>
      </c>
      <c r="N83" s="261">
        <f>JHora!B84</f>
        <v>0</v>
      </c>
      <c r="O83" s="20">
        <f>JHora!C84</f>
        <v>0</v>
      </c>
    </row>
    <row r="84" spans="1:15">
      <c r="A84" s="274" t="s">
        <v>455</v>
      </c>
      <c r="B84" s="275">
        <f>B83+B85</f>
        <v>66398.36601754064</v>
      </c>
      <c r="C84" s="276" t="e">
        <f ca="1">B83+B85*INDEX(INDEX(VimFrac,,VLOOKUP(B88,PlanetData,3,0)+1),MATCH(B86,INDEX(VimFrac,,VLOOKUP(B88,PlanetData,3,0)+1),1)+1)</f>
        <v>#N/A</v>
      </c>
      <c r="D84" s="276" t="e">
        <f ca="1">C83+C85*INDEX(INDEX(VimFrac,0,9*C89+VLOOKUP(C88,PlanetData,3,0)+1),IF(C89,0,1)+MATCH(C86,INDEX(VimFrac,0,9*C89+VLOOKUP(C88,PlanetData,3,0)+1),IF(C89,-1,1)))</f>
        <v>#N/A</v>
      </c>
      <c r="E84" s="276" t="e">
        <f ca="1">D83+D85*INDEX(INDEX(VimFrac,0,9*D89+VLOOKUP(D88,PlanetData,3,0)+1),IF(D89,0,1)+MATCH(D86,INDEX(VimFrac,0,9*D89+VLOOKUP(D88,PlanetData,3,0)+1),IF(D89,-1,1)))</f>
        <v>#N/A</v>
      </c>
      <c r="F84" s="276" t="e">
        <f ca="1">E83+E85*INDEX(INDEX(VimFrac,0,9*E89+VLOOKUP(E88,PlanetData,3,0)+1),IF(E89,0,1)+MATCH(E86,INDEX(VimFrac,0,9*E89+VLOOKUP(E88,PlanetData,3,0)+1),IF(E89,-1,1)))</f>
        <v>#N/A</v>
      </c>
      <c r="G84" s="276" t="e">
        <f ca="1">F83+F85*INDEX(INDEX(VimFrac,0,9*F89+VLOOKUP(F88,PlanetData,3,0)+1),IF(F89,0,1)+MATCH(F86,INDEX(VimFrac,0,9*F89+VLOOKUP(F88,PlanetData,3,0)+1),IF(F89,-1,1)))</f>
        <v>#N/A</v>
      </c>
      <c r="H84" s="276" t="e">
        <f ca="1">G83+G85*INDEX(INDEX(VimFrac,0,9*G89+VLOOKUP(G88,PlanetData,3,0)+1),IF(G89,0,1)+MATCH(G86,INDEX(VimFrac,0,9*G89+VLOOKUP(G88,PlanetData,3,0)+1),IF(G89,-1,1)))</f>
        <v>#N/A</v>
      </c>
      <c r="J84" s="259">
        <f ca="1">J88</f>
        <v>0</v>
      </c>
      <c r="K84">
        <f>K76+1</f>
        <v>10</v>
      </c>
      <c r="N84" s="261">
        <f>JHora!B85</f>
        <v>0</v>
      </c>
      <c r="O84" s="20">
        <f>JHora!C85</f>
        <v>0</v>
      </c>
    </row>
    <row r="85" spans="1:15">
      <c r="A85" s="277" t="s">
        <v>456</v>
      </c>
      <c r="B85" s="278">
        <f>120*DaysInYear</f>
        <v>43830.584722221844</v>
      </c>
      <c r="C85" s="279" t="e">
        <f t="shared" ref="C85:H85" ca="1" si="18">C84-C83</f>
        <v>#N/A</v>
      </c>
      <c r="D85" s="279" t="e">
        <f t="shared" ca="1" si="18"/>
        <v>#N/A</v>
      </c>
      <c r="E85" s="279" t="e">
        <f t="shared" ca="1" si="18"/>
        <v>#N/A</v>
      </c>
      <c r="F85" s="279" t="e">
        <f t="shared" ca="1" si="18"/>
        <v>#N/A</v>
      </c>
      <c r="G85" s="279" t="e">
        <f t="shared" ca="1" si="18"/>
        <v>#N/A</v>
      </c>
      <c r="H85" s="279" t="e">
        <f t="shared" ca="1" si="18"/>
        <v>#N/A</v>
      </c>
      <c r="K85">
        <f>K77</f>
        <v>0</v>
      </c>
    </row>
    <row r="86" spans="1:15">
      <c r="A86" s="277" t="s">
        <v>457</v>
      </c>
      <c r="B86" s="280">
        <f ca="1">(I88-B83)/(B84-B83)</f>
        <v>-0.51488661258669155</v>
      </c>
      <c r="C86" s="281" t="e">
        <f ca="1">(I88-C83)/(C84-C83)</f>
        <v>#N/A</v>
      </c>
      <c r="D86" s="281" t="e">
        <f ca="1">(I88-D83)/(D84-D83)</f>
        <v>#N/A</v>
      </c>
      <c r="E86" s="281" t="e">
        <f ca="1">(I88-E83)/(E84-E83)</f>
        <v>#N/A</v>
      </c>
      <c r="F86" s="281" t="e">
        <f ca="1">(I88-F83)/(F84-F83)</f>
        <v>#N/A</v>
      </c>
      <c r="G86" s="281" t="e">
        <f ca="1">(I88-G83)/(G84-G83)</f>
        <v>#N/A</v>
      </c>
      <c r="H86" s="281" t="e">
        <f ca="1">(I88-H83)/(H84-H83)</f>
        <v>#N/A</v>
      </c>
      <c r="K86">
        <f>K78</f>
        <v>0</v>
      </c>
    </row>
    <row r="87" spans="1:15">
      <c r="A87" s="277" t="s">
        <v>458</v>
      </c>
      <c r="B87" s="278"/>
      <c r="C87" s="279" t="e">
        <f ca="1">MOD(VLOOKUP(B88,PlanetData,3,0)+MATCH(B86,INDEX(VimFrac,,VLOOKUP(B88,PlanetData,3,0)+1),1)-1,9)</f>
        <v>#N/A</v>
      </c>
      <c r="D87" s="279" t="e">
        <f ca="1">MOD(VLOOKUP(C88,PlanetData,3,0)+MATCH(C86,INDEX(VimFrac,0,9*C89+VLOOKUP(C88,PlanetData,3,0)+1),IF(C89,-1,1))-1,9)</f>
        <v>#N/A</v>
      </c>
      <c r="E87" s="279" t="e">
        <f ca="1">MOD(VLOOKUP(D88,PlanetData,3,0)+MATCH(D86,INDEX(VimFrac,0,9*D89+VLOOKUP(D88,PlanetData,3,0)+1),IF(D89,-1,1))-1,9)</f>
        <v>#N/A</v>
      </c>
      <c r="F87" s="279" t="e">
        <f ca="1">MOD(VLOOKUP(E88,PlanetData,3,0)+MATCH(E86,INDEX(VimFrac,0,9*E89+VLOOKUP(E88,PlanetData,3,0)+1),IF(E89,-1,1))-1,9)</f>
        <v>#N/A</v>
      </c>
      <c r="G87" s="279" t="e">
        <f ca="1">MOD(VLOOKUP(F88,PlanetData,3,0)+MATCH(F86,INDEX(VimFrac,0,9*F89+VLOOKUP(F88,PlanetData,3,0)+1),IF(F89,-1,1))-1,9)</f>
        <v>#N/A</v>
      </c>
      <c r="H87" s="279" t="e">
        <f ca="1">MOD(VLOOKUP(G88,PlanetData,3,0)+MATCH(G86,INDEX(VimFrac,0,9*G89+VLOOKUP(G88,PlanetData,3,0)+1),IF(G89,-1,1))-1,9)</f>
        <v>#N/A</v>
      </c>
      <c r="K87">
        <f>K79</f>
        <v>0</v>
      </c>
    </row>
    <row r="88" spans="1:15">
      <c r="A88" s="277" t="s">
        <v>459</v>
      </c>
      <c r="B88" s="278" t="str">
        <f>$B$4</f>
        <v>Moon</v>
      </c>
      <c r="C88" s="279" t="e">
        <f t="shared" ref="C88:H88" ca="1" si="19">INDEX(DasaYears,IF(C87=0,9,C87),1)</f>
        <v>#N/A</v>
      </c>
      <c r="D88" s="279" t="e">
        <f t="shared" ca="1" si="19"/>
        <v>#N/A</v>
      </c>
      <c r="E88" s="279" t="e">
        <f t="shared" ca="1" si="19"/>
        <v>#N/A</v>
      </c>
      <c r="F88" s="279" t="e">
        <f t="shared" ca="1" si="19"/>
        <v>#N/A</v>
      </c>
      <c r="G88" s="279" t="e">
        <f t="shared" ca="1" si="19"/>
        <v>#N/A</v>
      </c>
      <c r="H88" s="279" t="e">
        <f t="shared" ca="1" si="19"/>
        <v>#N/A</v>
      </c>
      <c r="I88" s="261">
        <f ca="1">INDIRECT("'JHora'!$B$"&amp;($K88))</f>
        <v>0</v>
      </c>
      <c r="J88" s="261">
        <f ca="1">INDIRECT("'JHora'!$C$"&amp;($K88))</f>
        <v>0</v>
      </c>
      <c r="K88">
        <f>K80+1</f>
        <v>10</v>
      </c>
      <c r="N88" s="261">
        <f>JHora!B89</f>
        <v>0</v>
      </c>
      <c r="O88" s="20">
        <f>JHora!C89</f>
        <v>0</v>
      </c>
    </row>
    <row r="89" spans="1:15">
      <c r="A89" s="277" t="s">
        <v>444</v>
      </c>
      <c r="B89" s="278" t="b">
        <f>$B$7</f>
        <v>1</v>
      </c>
      <c r="C89" s="279" t="e">
        <f ca="1">IF(VLOOKUP(C88,ChartInfo,11,0),1,0)*B89</f>
        <v>#N/A</v>
      </c>
      <c r="D89" s="279" t="e">
        <f ca="1">IF(VLOOKUP(D88,ChartInfo,11,0),1,0)*B89</f>
        <v>#N/A</v>
      </c>
      <c r="E89" s="279" t="e">
        <f ca="1">IF(VLOOKUP(E88,ChartInfo,11,0),1,0)*B89</f>
        <v>#N/A</v>
      </c>
      <c r="F89" s="279" t="e">
        <f ca="1">IF(VLOOKUP(F88,ChartInfo,11,0),1,0)*B89</f>
        <v>#N/A</v>
      </c>
      <c r="G89" s="279" t="e">
        <f ca="1">IF(VLOOKUP(G88,ChartInfo,11,0),1,0)*B89</f>
        <v>#N/A</v>
      </c>
      <c r="H89" s="279" t="e">
        <f ca="1">IF(VLOOKUP(H88,ChartInfo,11,0),1,0)*B89</f>
        <v>#N/A</v>
      </c>
      <c r="K89">
        <f>K81</f>
        <v>0</v>
      </c>
    </row>
    <row r="90" spans="1:15">
      <c r="K90">
        <f>K82+1</f>
        <v>10</v>
      </c>
      <c r="N90" s="261">
        <f>JHora!B91</f>
        <v>0</v>
      </c>
      <c r="O90" s="20">
        <f>JHora!C91</f>
        <v>0</v>
      </c>
    </row>
    <row r="91" spans="1:15">
      <c r="A91" s="274" t="s">
        <v>454</v>
      </c>
      <c r="B91" s="275">
        <f>DoB-$E$6*DaysInYear</f>
        <v>22567.7812953188</v>
      </c>
      <c r="C91" s="276" t="e">
        <f ca="1">B91+B93*INDEX(INDEX(VimFrac,,VLOOKUP(B96,PlanetData,3,0)+1),MATCH(B94,INDEX(VimFrac,,VLOOKUP(B96,PlanetData,3,0)+1),1))</f>
        <v>#N/A</v>
      </c>
      <c r="D91" s="276" t="e">
        <f ca="1">C91+C93*INDEX(INDEX(VimFrac,0,9*C97+VLOOKUP(C96,PlanetData,3,0)+1),IF(C97,1,0)+MATCH(C94,INDEX(VimFrac,0,9*C97+VLOOKUP(C96,PlanetData,3,0)+1),IF(C97,-1,1)))</f>
        <v>#N/A</v>
      </c>
      <c r="E91" s="276" t="e">
        <f ca="1">D91+D93*INDEX(INDEX(VimFrac,0,9*D97+VLOOKUP(D96,PlanetData,3,0)+1),IF(D97,1,0)+MATCH(D94,INDEX(VimFrac,0,9*D97+VLOOKUP(D96,PlanetData,3,0)+1),IF(D97,-1,1)))</f>
        <v>#N/A</v>
      </c>
      <c r="F91" s="276" t="e">
        <f ca="1">E91+E93*INDEX(INDEX(VimFrac,0,9*E97+VLOOKUP(E96,PlanetData,3,0)+1),IF(E97,1,0)+MATCH(E94,INDEX(VimFrac,0,9*E97+VLOOKUP(E96,PlanetData,3,0)+1),IF(E97,-1,1)))</f>
        <v>#N/A</v>
      </c>
      <c r="G91" s="276" t="e">
        <f ca="1">F91+F93*INDEX(INDEX(VimFrac,0,9*F97+VLOOKUP(F96,PlanetData,3,0)+1),IF(F97,1,0)+MATCH(F94,INDEX(VimFrac,0,9*F97+VLOOKUP(F96,PlanetData,3,0)+1),IF(F97,-1,1)))</f>
        <v>#N/A</v>
      </c>
      <c r="H91" s="276" t="e">
        <f ca="1">G91+G93*INDEX(INDEX(VimFrac,0,9*G97+VLOOKUP(G96,PlanetData,3,0)+1),IF(G97,1,0)+MATCH(G94,INDEX(VimFrac,0,9*G97+VLOOKUP(G96,PlanetData,3,0)+1),IF(G97,-1,1)))</f>
        <v>#N/A</v>
      </c>
      <c r="J91" s="259">
        <f ca="1">J96</f>
        <v>0</v>
      </c>
      <c r="K91">
        <f>K83+1</f>
        <v>11</v>
      </c>
      <c r="N91" s="261">
        <f>JHora!B92</f>
        <v>0</v>
      </c>
      <c r="O91" s="20">
        <f>JHora!C92</f>
        <v>0</v>
      </c>
    </row>
    <row r="92" spans="1:15">
      <c r="A92" s="274" t="s">
        <v>455</v>
      </c>
      <c r="B92" s="275">
        <f>B91+B93</f>
        <v>66398.36601754064</v>
      </c>
      <c r="C92" s="276" t="e">
        <f ca="1">B91+B93*INDEX(INDEX(VimFrac,,VLOOKUP(B96,PlanetData,3,0)+1),MATCH(B94,INDEX(VimFrac,,VLOOKUP(B96,PlanetData,3,0)+1),1)+1)</f>
        <v>#N/A</v>
      </c>
      <c r="D92" s="276" t="e">
        <f ca="1">C91+C93*INDEX(INDEX(VimFrac,0,9*C97+VLOOKUP(C96,PlanetData,3,0)+1),IF(C97,0,1)+MATCH(C94,INDEX(VimFrac,0,9*C97+VLOOKUP(C96,PlanetData,3,0)+1),IF(C97,-1,1)))</f>
        <v>#N/A</v>
      </c>
      <c r="E92" s="276" t="e">
        <f ca="1">D91+D93*INDEX(INDEX(VimFrac,0,9*D97+VLOOKUP(D96,PlanetData,3,0)+1),IF(D97,0,1)+MATCH(D94,INDEX(VimFrac,0,9*D97+VLOOKUP(D96,PlanetData,3,0)+1),IF(D97,-1,1)))</f>
        <v>#N/A</v>
      </c>
      <c r="F92" s="276" t="e">
        <f ca="1">E91+E93*INDEX(INDEX(VimFrac,0,9*E97+VLOOKUP(E96,PlanetData,3,0)+1),IF(E97,0,1)+MATCH(E94,INDEX(VimFrac,0,9*E97+VLOOKUP(E96,PlanetData,3,0)+1),IF(E97,-1,1)))</f>
        <v>#N/A</v>
      </c>
      <c r="G92" s="276" t="e">
        <f ca="1">F91+F93*INDEX(INDEX(VimFrac,0,9*F97+VLOOKUP(F96,PlanetData,3,0)+1),IF(F97,0,1)+MATCH(F94,INDEX(VimFrac,0,9*F97+VLOOKUP(F96,PlanetData,3,0)+1),IF(F97,-1,1)))</f>
        <v>#N/A</v>
      </c>
      <c r="H92" s="276" t="e">
        <f ca="1">G91+G93*INDEX(INDEX(VimFrac,0,9*G97+VLOOKUP(G96,PlanetData,3,0)+1),IF(G97,0,1)+MATCH(G94,INDEX(VimFrac,0,9*G97+VLOOKUP(G96,PlanetData,3,0)+1),IF(G97,-1,1)))</f>
        <v>#N/A</v>
      </c>
      <c r="J92" s="259">
        <f ca="1">J96</f>
        <v>0</v>
      </c>
      <c r="K92">
        <f>K84+1</f>
        <v>11</v>
      </c>
      <c r="N92" s="261">
        <f>JHora!B93</f>
        <v>0</v>
      </c>
      <c r="O92" s="20">
        <f>JHora!C93</f>
        <v>0</v>
      </c>
    </row>
    <row r="93" spans="1:15">
      <c r="A93" s="277" t="s">
        <v>456</v>
      </c>
      <c r="B93" s="278">
        <f>120*DaysInYear</f>
        <v>43830.584722221844</v>
      </c>
      <c r="C93" s="279" t="e">
        <f t="shared" ref="C93:H93" ca="1" si="20">C92-C91</f>
        <v>#N/A</v>
      </c>
      <c r="D93" s="279" t="e">
        <f t="shared" ca="1" si="20"/>
        <v>#N/A</v>
      </c>
      <c r="E93" s="279" t="e">
        <f t="shared" ca="1" si="20"/>
        <v>#N/A</v>
      </c>
      <c r="F93" s="279" t="e">
        <f t="shared" ca="1" si="20"/>
        <v>#N/A</v>
      </c>
      <c r="G93" s="279" t="e">
        <f t="shared" ca="1" si="20"/>
        <v>#N/A</v>
      </c>
      <c r="H93" s="279" t="e">
        <f t="shared" ca="1" si="20"/>
        <v>#N/A</v>
      </c>
      <c r="K93">
        <f>K85</f>
        <v>0</v>
      </c>
    </row>
    <row r="94" spans="1:15">
      <c r="A94" s="277" t="s">
        <v>457</v>
      </c>
      <c r="B94" s="280">
        <f ca="1">(I96-B91)/(B92-B91)</f>
        <v>-0.51488661258669155</v>
      </c>
      <c r="C94" s="281" t="e">
        <f ca="1">(I96-C91)/(C92-C91)</f>
        <v>#N/A</v>
      </c>
      <c r="D94" s="281" t="e">
        <f ca="1">(I96-D91)/(D92-D91)</f>
        <v>#N/A</v>
      </c>
      <c r="E94" s="281" t="e">
        <f ca="1">(I96-E91)/(E92-E91)</f>
        <v>#N/A</v>
      </c>
      <c r="F94" s="281" t="e">
        <f ca="1">(I96-F91)/(F92-F91)</f>
        <v>#N/A</v>
      </c>
      <c r="G94" s="281" t="e">
        <f ca="1">(I96-G91)/(G92-G91)</f>
        <v>#N/A</v>
      </c>
      <c r="H94" s="281" t="e">
        <f ca="1">(I96-H91)/(H92-H91)</f>
        <v>#N/A</v>
      </c>
      <c r="K94">
        <f>K86</f>
        <v>0</v>
      </c>
    </row>
    <row r="95" spans="1:15">
      <c r="A95" s="277" t="s">
        <v>458</v>
      </c>
      <c r="B95" s="278"/>
      <c r="C95" s="279" t="e">
        <f ca="1">MOD(VLOOKUP(B96,PlanetData,3,0)+MATCH(B94,INDEX(VimFrac,,VLOOKUP(B96,PlanetData,3,0)+1),1)-1,9)</f>
        <v>#N/A</v>
      </c>
      <c r="D95" s="279" t="e">
        <f ca="1">MOD(VLOOKUP(C96,PlanetData,3,0)+MATCH(C94,INDEX(VimFrac,0,9*C97+VLOOKUP(C96,PlanetData,3,0)+1),IF(C97,-1,1))-1,9)</f>
        <v>#N/A</v>
      </c>
      <c r="E95" s="279" t="e">
        <f ca="1">MOD(VLOOKUP(D96,PlanetData,3,0)+MATCH(D94,INDEX(VimFrac,0,9*D97+VLOOKUP(D96,PlanetData,3,0)+1),IF(D97,-1,1))-1,9)</f>
        <v>#N/A</v>
      </c>
      <c r="F95" s="279" t="e">
        <f ca="1">MOD(VLOOKUP(E96,PlanetData,3,0)+MATCH(E94,INDEX(VimFrac,0,9*E97+VLOOKUP(E96,PlanetData,3,0)+1),IF(E97,-1,1))-1,9)</f>
        <v>#N/A</v>
      </c>
      <c r="G95" s="279" t="e">
        <f ca="1">MOD(VLOOKUP(F96,PlanetData,3,0)+MATCH(F94,INDEX(VimFrac,0,9*F97+VLOOKUP(F96,PlanetData,3,0)+1),IF(F97,-1,1))-1,9)</f>
        <v>#N/A</v>
      </c>
      <c r="H95" s="279" t="e">
        <f ca="1">MOD(VLOOKUP(G96,PlanetData,3,0)+MATCH(G94,INDEX(VimFrac,0,9*G97+VLOOKUP(G96,PlanetData,3,0)+1),IF(G97,-1,1))-1,9)</f>
        <v>#N/A</v>
      </c>
      <c r="K95">
        <f>K87</f>
        <v>0</v>
      </c>
    </row>
    <row r="96" spans="1:15">
      <c r="A96" s="277" t="s">
        <v>459</v>
      </c>
      <c r="B96" s="278" t="str">
        <f>$B$4</f>
        <v>Moon</v>
      </c>
      <c r="C96" s="279" t="e">
        <f t="shared" ref="C96:H96" ca="1" si="21">INDEX(DasaYears,IF(C95=0,9,C95),1)</f>
        <v>#N/A</v>
      </c>
      <c r="D96" s="279" t="e">
        <f t="shared" ca="1" si="21"/>
        <v>#N/A</v>
      </c>
      <c r="E96" s="279" t="e">
        <f t="shared" ca="1" si="21"/>
        <v>#N/A</v>
      </c>
      <c r="F96" s="279" t="e">
        <f t="shared" ca="1" si="21"/>
        <v>#N/A</v>
      </c>
      <c r="G96" s="279" t="e">
        <f t="shared" ca="1" si="21"/>
        <v>#N/A</v>
      </c>
      <c r="H96" s="279" t="e">
        <f t="shared" ca="1" si="21"/>
        <v>#N/A</v>
      </c>
      <c r="I96" s="261">
        <f ca="1">INDIRECT("'JHora'!$B$"&amp;($K96))</f>
        <v>0</v>
      </c>
      <c r="J96" s="261">
        <f ca="1">INDIRECT("'JHora'!$C$"&amp;($K96))</f>
        <v>0</v>
      </c>
      <c r="K96">
        <f>K88+1</f>
        <v>11</v>
      </c>
      <c r="N96" s="261">
        <f>JHora!B97</f>
        <v>0</v>
      </c>
      <c r="O96" s="20">
        <f>JHora!C97</f>
        <v>0</v>
      </c>
    </row>
    <row r="97" spans="1:15">
      <c r="A97" s="277" t="s">
        <v>444</v>
      </c>
      <c r="B97" s="278" t="b">
        <f>$B$7</f>
        <v>1</v>
      </c>
      <c r="C97" s="279" t="e">
        <f ca="1">IF(VLOOKUP(C96,ChartInfo,11,0),1,0)*B97</f>
        <v>#N/A</v>
      </c>
      <c r="D97" s="279" t="e">
        <f ca="1">IF(VLOOKUP(D96,ChartInfo,11,0),1,0)*B97</f>
        <v>#N/A</v>
      </c>
      <c r="E97" s="279" t="e">
        <f ca="1">IF(VLOOKUP(E96,ChartInfo,11,0),1,0)*B97</f>
        <v>#N/A</v>
      </c>
      <c r="F97" s="279" t="e">
        <f ca="1">IF(VLOOKUP(F96,ChartInfo,11,0),1,0)*B97</f>
        <v>#N/A</v>
      </c>
      <c r="G97" s="279" t="e">
        <f ca="1">IF(VLOOKUP(G96,ChartInfo,11,0),1,0)*B97</f>
        <v>#N/A</v>
      </c>
      <c r="H97" s="279" t="e">
        <f ca="1">IF(VLOOKUP(H96,ChartInfo,11,0),1,0)*B97</f>
        <v>#N/A</v>
      </c>
      <c r="K97">
        <f>K89</f>
        <v>0</v>
      </c>
    </row>
    <row r="98" spans="1:15">
      <c r="K98">
        <f>K90+1</f>
        <v>11</v>
      </c>
      <c r="N98" s="261">
        <f>JHora!B99</f>
        <v>0</v>
      </c>
      <c r="O98" s="20">
        <f>JHora!C99</f>
        <v>0</v>
      </c>
    </row>
    <row r="99" spans="1:15">
      <c r="A99" s="274" t="s">
        <v>454</v>
      </c>
      <c r="B99" s="275">
        <f>DoB-$E$6*DaysInYear</f>
        <v>22567.7812953188</v>
      </c>
      <c r="C99" s="276" t="e">
        <f ca="1">B99+B101*INDEX(INDEX(VimFrac,,VLOOKUP(B104,PlanetData,3,0)+1),MATCH(B102,INDEX(VimFrac,,VLOOKUP(B104,PlanetData,3,0)+1),1))</f>
        <v>#N/A</v>
      </c>
      <c r="D99" s="276" t="e">
        <f ca="1">C99+C101*INDEX(INDEX(VimFrac,0,9*C105+VLOOKUP(C104,PlanetData,3,0)+1),IF(C105,1,0)+MATCH(C102,INDEX(VimFrac,0,9*C105+VLOOKUP(C104,PlanetData,3,0)+1),IF(C105,-1,1)))</f>
        <v>#N/A</v>
      </c>
      <c r="E99" s="276" t="e">
        <f ca="1">D99+D101*INDEX(INDEX(VimFrac,0,9*D105+VLOOKUP(D104,PlanetData,3,0)+1),IF(D105,1,0)+MATCH(D102,INDEX(VimFrac,0,9*D105+VLOOKUP(D104,PlanetData,3,0)+1),IF(D105,-1,1)))</f>
        <v>#N/A</v>
      </c>
      <c r="F99" s="276" t="e">
        <f ca="1">E99+E101*INDEX(INDEX(VimFrac,0,9*E105+VLOOKUP(E104,PlanetData,3,0)+1),IF(E105,1,0)+MATCH(E102,INDEX(VimFrac,0,9*E105+VLOOKUP(E104,PlanetData,3,0)+1),IF(E105,-1,1)))</f>
        <v>#N/A</v>
      </c>
      <c r="G99" s="276" t="e">
        <f ca="1">F99+F101*INDEX(INDEX(VimFrac,0,9*F105+VLOOKUP(F104,PlanetData,3,0)+1),IF(F105,1,0)+MATCH(F102,INDEX(VimFrac,0,9*F105+VLOOKUP(F104,PlanetData,3,0)+1),IF(F105,-1,1)))</f>
        <v>#N/A</v>
      </c>
      <c r="H99" s="276" t="e">
        <f ca="1">G99+G101*INDEX(INDEX(VimFrac,0,9*G105+VLOOKUP(G104,PlanetData,3,0)+1),IF(G105,1,0)+MATCH(G102,INDEX(VimFrac,0,9*G105+VLOOKUP(G104,PlanetData,3,0)+1),IF(G105,-1,1)))</f>
        <v>#N/A</v>
      </c>
      <c r="J99" s="259">
        <f ca="1">J104</f>
        <v>0</v>
      </c>
      <c r="K99">
        <f>K91+1</f>
        <v>12</v>
      </c>
      <c r="N99" s="261">
        <f>JHora!B100</f>
        <v>0</v>
      </c>
      <c r="O99" s="20">
        <f>JHora!C100</f>
        <v>0</v>
      </c>
    </row>
    <row r="100" spans="1:15">
      <c r="A100" s="274" t="s">
        <v>455</v>
      </c>
      <c r="B100" s="275">
        <f>B99+B101</f>
        <v>66398.36601754064</v>
      </c>
      <c r="C100" s="276" t="e">
        <f ca="1">B99+B101*INDEX(INDEX(VimFrac,,VLOOKUP(B104,PlanetData,3,0)+1),MATCH(B102,INDEX(VimFrac,,VLOOKUP(B104,PlanetData,3,0)+1),1)+1)</f>
        <v>#N/A</v>
      </c>
      <c r="D100" s="276" t="e">
        <f ca="1">C99+C101*INDEX(INDEX(VimFrac,0,9*C105+VLOOKUP(C104,PlanetData,3,0)+1),IF(C105,0,1)+MATCH(C102,INDEX(VimFrac,0,9*C105+VLOOKUP(C104,PlanetData,3,0)+1),IF(C105,-1,1)))</f>
        <v>#N/A</v>
      </c>
      <c r="E100" s="276" t="e">
        <f ca="1">D99+D101*INDEX(INDEX(VimFrac,0,9*D105+VLOOKUP(D104,PlanetData,3,0)+1),IF(D105,0,1)+MATCH(D102,INDEX(VimFrac,0,9*D105+VLOOKUP(D104,PlanetData,3,0)+1),IF(D105,-1,1)))</f>
        <v>#N/A</v>
      </c>
      <c r="F100" s="276" t="e">
        <f ca="1">E99+E101*INDEX(INDEX(VimFrac,0,9*E105+VLOOKUP(E104,PlanetData,3,0)+1),IF(E105,0,1)+MATCH(E102,INDEX(VimFrac,0,9*E105+VLOOKUP(E104,PlanetData,3,0)+1),IF(E105,-1,1)))</f>
        <v>#N/A</v>
      </c>
      <c r="G100" s="276" t="e">
        <f ca="1">F99+F101*INDEX(INDEX(VimFrac,0,9*F105+VLOOKUP(F104,PlanetData,3,0)+1),IF(F105,0,1)+MATCH(F102,INDEX(VimFrac,0,9*F105+VLOOKUP(F104,PlanetData,3,0)+1),IF(F105,-1,1)))</f>
        <v>#N/A</v>
      </c>
      <c r="H100" s="276" t="e">
        <f ca="1">G99+G101*INDEX(INDEX(VimFrac,0,9*G105+VLOOKUP(G104,PlanetData,3,0)+1),IF(G105,0,1)+MATCH(G102,INDEX(VimFrac,0,9*G105+VLOOKUP(G104,PlanetData,3,0)+1),IF(G105,-1,1)))</f>
        <v>#N/A</v>
      </c>
      <c r="J100" s="259">
        <f ca="1">J104</f>
        <v>0</v>
      </c>
      <c r="K100">
        <f>K92+1</f>
        <v>12</v>
      </c>
      <c r="N100" s="261">
        <f>JHora!B101</f>
        <v>0</v>
      </c>
      <c r="O100" s="20">
        <f>JHora!C101</f>
        <v>0</v>
      </c>
    </row>
    <row r="101" spans="1:15">
      <c r="A101" s="277" t="s">
        <v>456</v>
      </c>
      <c r="B101" s="278">
        <f>120*DaysInYear</f>
        <v>43830.584722221844</v>
      </c>
      <c r="C101" s="279" t="e">
        <f t="shared" ref="C101:H101" ca="1" si="22">C100-C99</f>
        <v>#N/A</v>
      </c>
      <c r="D101" s="279" t="e">
        <f t="shared" ca="1" si="22"/>
        <v>#N/A</v>
      </c>
      <c r="E101" s="279" t="e">
        <f t="shared" ca="1" si="22"/>
        <v>#N/A</v>
      </c>
      <c r="F101" s="279" t="e">
        <f t="shared" ca="1" si="22"/>
        <v>#N/A</v>
      </c>
      <c r="G101" s="279" t="e">
        <f t="shared" ca="1" si="22"/>
        <v>#N/A</v>
      </c>
      <c r="H101" s="279" t="e">
        <f t="shared" ca="1" si="22"/>
        <v>#N/A</v>
      </c>
      <c r="K101">
        <f>K93</f>
        <v>0</v>
      </c>
    </row>
    <row r="102" spans="1:15">
      <c r="A102" s="277" t="s">
        <v>457</v>
      </c>
      <c r="B102" s="280">
        <f ca="1">(I104-B99)/(B100-B99)</f>
        <v>-0.51488661258669155</v>
      </c>
      <c r="C102" s="281" t="e">
        <f ca="1">(I104-C99)/(C100-C99)</f>
        <v>#N/A</v>
      </c>
      <c r="D102" s="281" t="e">
        <f ca="1">(I104-D99)/(D100-D99)</f>
        <v>#N/A</v>
      </c>
      <c r="E102" s="281" t="e">
        <f ca="1">(I104-E99)/(E100-E99)</f>
        <v>#N/A</v>
      </c>
      <c r="F102" s="281" t="e">
        <f ca="1">(I104-F99)/(F100-F99)</f>
        <v>#N/A</v>
      </c>
      <c r="G102" s="281" t="e">
        <f ca="1">(I104-G99)/(G100-G99)</f>
        <v>#N/A</v>
      </c>
      <c r="H102" s="281" t="e">
        <f ca="1">(I104-H99)/(H100-H99)</f>
        <v>#N/A</v>
      </c>
      <c r="K102">
        <f>K94</f>
        <v>0</v>
      </c>
    </row>
    <row r="103" spans="1:15">
      <c r="A103" s="277" t="s">
        <v>458</v>
      </c>
      <c r="B103" s="278"/>
      <c r="C103" s="279" t="e">
        <f ca="1">MOD(VLOOKUP(B104,PlanetData,3,0)+MATCH(B102,INDEX(VimFrac,,VLOOKUP(B104,PlanetData,3,0)+1),1)-1,9)</f>
        <v>#N/A</v>
      </c>
      <c r="D103" s="279" t="e">
        <f ca="1">MOD(VLOOKUP(C104,PlanetData,3,0)+MATCH(C102,INDEX(VimFrac,0,9*C105+VLOOKUP(C104,PlanetData,3,0)+1),IF(C105,-1,1))-1,9)</f>
        <v>#N/A</v>
      </c>
      <c r="E103" s="279" t="e">
        <f ca="1">MOD(VLOOKUP(D104,PlanetData,3,0)+MATCH(D102,INDEX(VimFrac,0,9*D105+VLOOKUP(D104,PlanetData,3,0)+1),IF(D105,-1,1))-1,9)</f>
        <v>#N/A</v>
      </c>
      <c r="F103" s="279" t="e">
        <f ca="1">MOD(VLOOKUP(E104,PlanetData,3,0)+MATCH(E102,INDEX(VimFrac,0,9*E105+VLOOKUP(E104,PlanetData,3,0)+1),IF(E105,-1,1))-1,9)</f>
        <v>#N/A</v>
      </c>
      <c r="G103" s="279" t="e">
        <f ca="1">MOD(VLOOKUP(F104,PlanetData,3,0)+MATCH(F102,INDEX(VimFrac,0,9*F105+VLOOKUP(F104,PlanetData,3,0)+1),IF(F105,-1,1))-1,9)</f>
        <v>#N/A</v>
      </c>
      <c r="H103" s="279" t="e">
        <f ca="1">MOD(VLOOKUP(G104,PlanetData,3,0)+MATCH(G102,INDEX(VimFrac,0,9*G105+VLOOKUP(G104,PlanetData,3,0)+1),IF(G105,-1,1))-1,9)</f>
        <v>#N/A</v>
      </c>
      <c r="K103">
        <f>K95</f>
        <v>0</v>
      </c>
    </row>
    <row r="104" spans="1:15">
      <c r="A104" s="277" t="s">
        <v>459</v>
      </c>
      <c r="B104" s="278" t="str">
        <f>$B$4</f>
        <v>Moon</v>
      </c>
      <c r="C104" s="279" t="e">
        <f t="shared" ref="C104:H104" ca="1" si="23">INDEX(DasaYears,IF(C103=0,9,C103),1)</f>
        <v>#N/A</v>
      </c>
      <c r="D104" s="279" t="e">
        <f t="shared" ca="1" si="23"/>
        <v>#N/A</v>
      </c>
      <c r="E104" s="279" t="e">
        <f t="shared" ca="1" si="23"/>
        <v>#N/A</v>
      </c>
      <c r="F104" s="279" t="e">
        <f t="shared" ca="1" si="23"/>
        <v>#N/A</v>
      </c>
      <c r="G104" s="279" t="e">
        <f t="shared" ca="1" si="23"/>
        <v>#N/A</v>
      </c>
      <c r="H104" s="279" t="e">
        <f t="shared" ca="1" si="23"/>
        <v>#N/A</v>
      </c>
      <c r="I104" s="261">
        <f ca="1">INDIRECT("'JHora'!$B$"&amp;($K104))</f>
        <v>0</v>
      </c>
      <c r="J104" s="261">
        <f ca="1">INDIRECT("'JHora'!$C$"&amp;($K104))</f>
        <v>0</v>
      </c>
      <c r="K104">
        <f>K96+1</f>
        <v>12</v>
      </c>
      <c r="N104" s="261">
        <f>JHora!B105</f>
        <v>0</v>
      </c>
      <c r="O104" s="20">
        <f>JHora!C105</f>
        <v>0</v>
      </c>
    </row>
    <row r="105" spans="1:15">
      <c r="A105" s="277" t="s">
        <v>444</v>
      </c>
      <c r="B105" s="278" t="b">
        <f>$B$7</f>
        <v>1</v>
      </c>
      <c r="C105" s="279" t="e">
        <f ca="1">IF(VLOOKUP(C104,ChartInfo,11,0),1,0)*B105</f>
        <v>#N/A</v>
      </c>
      <c r="D105" s="279" t="e">
        <f ca="1">IF(VLOOKUP(D104,ChartInfo,11,0),1,0)*B105</f>
        <v>#N/A</v>
      </c>
      <c r="E105" s="279" t="e">
        <f ca="1">IF(VLOOKUP(E104,ChartInfo,11,0),1,0)*B105</f>
        <v>#N/A</v>
      </c>
      <c r="F105" s="279" t="e">
        <f ca="1">IF(VLOOKUP(F104,ChartInfo,11,0),1,0)*B105</f>
        <v>#N/A</v>
      </c>
      <c r="G105" s="279" t="e">
        <f ca="1">IF(VLOOKUP(G104,ChartInfo,11,0),1,0)*B105</f>
        <v>#N/A</v>
      </c>
      <c r="H105" s="279" t="e">
        <f ca="1">IF(VLOOKUP(H104,ChartInfo,11,0),1,0)*B105</f>
        <v>#N/A</v>
      </c>
      <c r="K105">
        <f>K97</f>
        <v>0</v>
      </c>
    </row>
    <row r="106" spans="1:15">
      <c r="K106">
        <f>K98+1</f>
        <v>12</v>
      </c>
      <c r="N106" s="261">
        <f>JHora!B107</f>
        <v>0</v>
      </c>
      <c r="O106" s="20">
        <f>JHora!C107</f>
        <v>0</v>
      </c>
    </row>
    <row r="107" spans="1:15">
      <c r="A107" s="274" t="s">
        <v>454</v>
      </c>
      <c r="B107" s="275">
        <f>DoB-$E$6*DaysInYear</f>
        <v>22567.7812953188</v>
      </c>
      <c r="C107" s="276" t="e">
        <f ca="1">B107+B109*INDEX(INDEX(VimFrac,,VLOOKUP(B112,PlanetData,3,0)+1),MATCH(B110,INDEX(VimFrac,,VLOOKUP(B112,PlanetData,3,0)+1),1))</f>
        <v>#N/A</v>
      </c>
      <c r="D107" s="276" t="e">
        <f ca="1">C107+C109*INDEX(INDEX(VimFrac,0,9*C113+VLOOKUP(C112,PlanetData,3,0)+1),IF(C113,1,0)+MATCH(C110,INDEX(VimFrac,0,9*C113+VLOOKUP(C112,PlanetData,3,0)+1),IF(C113,-1,1)))</f>
        <v>#N/A</v>
      </c>
      <c r="E107" s="276" t="e">
        <f ca="1">D107+D109*INDEX(INDEX(VimFrac,0,9*D113+VLOOKUP(D112,PlanetData,3,0)+1),IF(D113,1,0)+MATCH(D110,INDEX(VimFrac,0,9*D113+VLOOKUP(D112,PlanetData,3,0)+1),IF(D113,-1,1)))</f>
        <v>#N/A</v>
      </c>
      <c r="F107" s="276" t="e">
        <f ca="1">E107+E109*INDEX(INDEX(VimFrac,0,9*E113+VLOOKUP(E112,PlanetData,3,0)+1),IF(E113,1,0)+MATCH(E110,INDEX(VimFrac,0,9*E113+VLOOKUP(E112,PlanetData,3,0)+1),IF(E113,-1,1)))</f>
        <v>#N/A</v>
      </c>
      <c r="G107" s="276" t="e">
        <f ca="1">F107+F109*INDEX(INDEX(VimFrac,0,9*F113+VLOOKUP(F112,PlanetData,3,0)+1),IF(F113,1,0)+MATCH(F110,INDEX(VimFrac,0,9*F113+VLOOKUP(F112,PlanetData,3,0)+1),IF(F113,-1,1)))</f>
        <v>#N/A</v>
      </c>
      <c r="H107" s="276" t="e">
        <f ca="1">G107+G109*INDEX(INDEX(VimFrac,0,9*G113+VLOOKUP(G112,PlanetData,3,0)+1),IF(G113,1,0)+MATCH(G110,INDEX(VimFrac,0,9*G113+VLOOKUP(G112,PlanetData,3,0)+1),IF(G113,-1,1)))</f>
        <v>#N/A</v>
      </c>
      <c r="J107" s="259">
        <f ca="1">J112</f>
        <v>0</v>
      </c>
      <c r="K107">
        <f>K99+1</f>
        <v>13</v>
      </c>
      <c r="N107" s="261">
        <f>JHora!B108</f>
        <v>0</v>
      </c>
      <c r="O107" s="20">
        <f>JHora!C108</f>
        <v>0</v>
      </c>
    </row>
    <row r="108" spans="1:15">
      <c r="A108" s="274" t="s">
        <v>455</v>
      </c>
      <c r="B108" s="275">
        <f>B107+B109</f>
        <v>66398.36601754064</v>
      </c>
      <c r="C108" s="276" t="e">
        <f ca="1">B107+B109*INDEX(INDEX(VimFrac,,VLOOKUP(B112,PlanetData,3,0)+1),MATCH(B110,INDEX(VimFrac,,VLOOKUP(B112,PlanetData,3,0)+1),1)+1)</f>
        <v>#N/A</v>
      </c>
      <c r="D108" s="276" t="e">
        <f ca="1">C107+C109*INDEX(INDEX(VimFrac,0,9*C113+VLOOKUP(C112,PlanetData,3,0)+1),IF(C113,0,1)+MATCH(C110,INDEX(VimFrac,0,9*C113+VLOOKUP(C112,PlanetData,3,0)+1),IF(C113,-1,1)))</f>
        <v>#N/A</v>
      </c>
      <c r="E108" s="276" t="e">
        <f ca="1">D107+D109*INDEX(INDEX(VimFrac,0,9*D113+VLOOKUP(D112,PlanetData,3,0)+1),IF(D113,0,1)+MATCH(D110,INDEX(VimFrac,0,9*D113+VLOOKUP(D112,PlanetData,3,0)+1),IF(D113,-1,1)))</f>
        <v>#N/A</v>
      </c>
      <c r="F108" s="276" t="e">
        <f ca="1">E107+E109*INDEX(INDEX(VimFrac,0,9*E113+VLOOKUP(E112,PlanetData,3,0)+1),IF(E113,0,1)+MATCH(E110,INDEX(VimFrac,0,9*E113+VLOOKUP(E112,PlanetData,3,0)+1),IF(E113,-1,1)))</f>
        <v>#N/A</v>
      </c>
      <c r="G108" s="276" t="e">
        <f ca="1">F107+F109*INDEX(INDEX(VimFrac,0,9*F113+VLOOKUP(F112,PlanetData,3,0)+1),IF(F113,0,1)+MATCH(F110,INDEX(VimFrac,0,9*F113+VLOOKUP(F112,PlanetData,3,0)+1),IF(F113,-1,1)))</f>
        <v>#N/A</v>
      </c>
      <c r="H108" s="276" t="e">
        <f ca="1">G107+G109*INDEX(INDEX(VimFrac,0,9*G113+VLOOKUP(G112,PlanetData,3,0)+1),IF(G113,0,1)+MATCH(G110,INDEX(VimFrac,0,9*G113+VLOOKUP(G112,PlanetData,3,0)+1),IF(G113,-1,1)))</f>
        <v>#N/A</v>
      </c>
      <c r="J108" s="259">
        <f ca="1">J112</f>
        <v>0</v>
      </c>
      <c r="K108">
        <f>K100+1</f>
        <v>13</v>
      </c>
      <c r="N108" s="261">
        <f>JHora!B109</f>
        <v>0</v>
      </c>
      <c r="O108" s="20">
        <f>JHora!C109</f>
        <v>0</v>
      </c>
    </row>
    <row r="109" spans="1:15">
      <c r="A109" s="277" t="s">
        <v>456</v>
      </c>
      <c r="B109" s="278">
        <f>120*DaysInYear</f>
        <v>43830.584722221844</v>
      </c>
      <c r="C109" s="279" t="e">
        <f t="shared" ref="C109:H109" ca="1" si="24">C108-C107</f>
        <v>#N/A</v>
      </c>
      <c r="D109" s="279" t="e">
        <f t="shared" ca="1" si="24"/>
        <v>#N/A</v>
      </c>
      <c r="E109" s="279" t="e">
        <f t="shared" ca="1" si="24"/>
        <v>#N/A</v>
      </c>
      <c r="F109" s="279" t="e">
        <f t="shared" ca="1" si="24"/>
        <v>#N/A</v>
      </c>
      <c r="G109" s="279" t="e">
        <f t="shared" ca="1" si="24"/>
        <v>#N/A</v>
      </c>
      <c r="H109" s="279" t="e">
        <f t="shared" ca="1" si="24"/>
        <v>#N/A</v>
      </c>
      <c r="K109">
        <f>K101</f>
        <v>0</v>
      </c>
    </row>
    <row r="110" spans="1:15">
      <c r="A110" s="277" t="s">
        <v>457</v>
      </c>
      <c r="B110" s="280">
        <f ca="1">(I112-B107)/(B108-B107)</f>
        <v>-0.51488661258669155</v>
      </c>
      <c r="C110" s="281" t="e">
        <f ca="1">(I112-C107)/(C108-C107)</f>
        <v>#N/A</v>
      </c>
      <c r="D110" s="281" t="e">
        <f ca="1">(I112-D107)/(D108-D107)</f>
        <v>#N/A</v>
      </c>
      <c r="E110" s="281" t="e">
        <f ca="1">(I112-E107)/(E108-E107)</f>
        <v>#N/A</v>
      </c>
      <c r="F110" s="281" t="e">
        <f ca="1">(I112-F107)/(F108-F107)</f>
        <v>#N/A</v>
      </c>
      <c r="G110" s="281" t="e">
        <f ca="1">(I112-G107)/(G108-G107)</f>
        <v>#N/A</v>
      </c>
      <c r="H110" s="281" t="e">
        <f ca="1">(I112-H107)/(H108-H107)</f>
        <v>#N/A</v>
      </c>
      <c r="K110">
        <f>K102</f>
        <v>0</v>
      </c>
    </row>
    <row r="111" spans="1:15">
      <c r="A111" s="277" t="s">
        <v>458</v>
      </c>
      <c r="B111" s="278"/>
      <c r="C111" s="279" t="e">
        <f ca="1">MOD(VLOOKUP(B112,PlanetData,3,0)+MATCH(B110,INDEX(VimFrac,,VLOOKUP(B112,PlanetData,3,0)+1),1)-1,9)</f>
        <v>#N/A</v>
      </c>
      <c r="D111" s="279" t="e">
        <f ca="1">MOD(VLOOKUP(C112,PlanetData,3,0)+MATCH(C110,INDEX(VimFrac,0,9*C113+VLOOKUP(C112,PlanetData,3,0)+1),IF(C113,-1,1))-1,9)</f>
        <v>#N/A</v>
      </c>
      <c r="E111" s="279" t="e">
        <f ca="1">MOD(VLOOKUP(D112,PlanetData,3,0)+MATCH(D110,INDEX(VimFrac,0,9*D113+VLOOKUP(D112,PlanetData,3,0)+1),IF(D113,-1,1))-1,9)</f>
        <v>#N/A</v>
      </c>
      <c r="F111" s="279" t="e">
        <f ca="1">MOD(VLOOKUP(E112,PlanetData,3,0)+MATCH(E110,INDEX(VimFrac,0,9*E113+VLOOKUP(E112,PlanetData,3,0)+1),IF(E113,-1,1))-1,9)</f>
        <v>#N/A</v>
      </c>
      <c r="G111" s="279" t="e">
        <f ca="1">MOD(VLOOKUP(F112,PlanetData,3,0)+MATCH(F110,INDEX(VimFrac,0,9*F113+VLOOKUP(F112,PlanetData,3,0)+1),IF(F113,-1,1))-1,9)</f>
        <v>#N/A</v>
      </c>
      <c r="H111" s="279" t="e">
        <f ca="1">MOD(VLOOKUP(G112,PlanetData,3,0)+MATCH(G110,INDEX(VimFrac,0,9*G113+VLOOKUP(G112,PlanetData,3,0)+1),IF(G113,-1,1))-1,9)</f>
        <v>#N/A</v>
      </c>
      <c r="K111">
        <f>K103</f>
        <v>0</v>
      </c>
    </row>
    <row r="112" spans="1:15">
      <c r="A112" s="277" t="s">
        <v>459</v>
      </c>
      <c r="B112" s="278" t="str">
        <f>$B$4</f>
        <v>Moon</v>
      </c>
      <c r="C112" s="279" t="e">
        <f t="shared" ref="C112:H112" ca="1" si="25">INDEX(DasaYears,IF(C111=0,9,C111),1)</f>
        <v>#N/A</v>
      </c>
      <c r="D112" s="279" t="e">
        <f t="shared" ca="1" si="25"/>
        <v>#N/A</v>
      </c>
      <c r="E112" s="279" t="e">
        <f t="shared" ca="1" si="25"/>
        <v>#N/A</v>
      </c>
      <c r="F112" s="279" t="e">
        <f t="shared" ca="1" si="25"/>
        <v>#N/A</v>
      </c>
      <c r="G112" s="279" t="e">
        <f t="shared" ca="1" si="25"/>
        <v>#N/A</v>
      </c>
      <c r="H112" s="279" t="e">
        <f t="shared" ca="1" si="25"/>
        <v>#N/A</v>
      </c>
      <c r="I112" s="261">
        <f ca="1">INDIRECT("'JHora'!$B$"&amp;($K112))</f>
        <v>0</v>
      </c>
      <c r="J112" s="261">
        <f ca="1">INDIRECT("'JHora'!$C$"&amp;($K112))</f>
        <v>0</v>
      </c>
      <c r="K112">
        <f>K104+1</f>
        <v>13</v>
      </c>
      <c r="N112" s="261">
        <f>JHora!B113</f>
        <v>0</v>
      </c>
      <c r="O112">
        <f>JHora!C113</f>
        <v>0</v>
      </c>
    </row>
    <row r="113" spans="1:15">
      <c r="A113" s="277" t="s">
        <v>444</v>
      </c>
      <c r="B113" s="278" t="b">
        <f>$B$7</f>
        <v>1</v>
      </c>
      <c r="C113" s="279" t="e">
        <f ca="1">IF(VLOOKUP(C112,ChartInfo,11,0),1,0)*B113</f>
        <v>#N/A</v>
      </c>
      <c r="D113" s="279" t="e">
        <f ca="1">IF(VLOOKUP(D112,ChartInfo,11,0),1,0)*B113</f>
        <v>#N/A</v>
      </c>
      <c r="E113" s="279" t="e">
        <f ca="1">IF(VLOOKUP(E112,ChartInfo,11,0),1,0)*B113</f>
        <v>#N/A</v>
      </c>
      <c r="F113" s="279" t="e">
        <f ca="1">IF(VLOOKUP(F112,ChartInfo,11,0),1,0)*B113</f>
        <v>#N/A</v>
      </c>
      <c r="G113" s="279" t="e">
        <f ca="1">IF(VLOOKUP(G112,ChartInfo,11,0),1,0)*B113</f>
        <v>#N/A</v>
      </c>
      <c r="H113" s="279" t="e">
        <f ca="1">IF(VLOOKUP(H112,ChartInfo,11,0),1,0)*B113</f>
        <v>#N/A</v>
      </c>
      <c r="K113">
        <f>K105</f>
        <v>0</v>
      </c>
    </row>
    <row r="114" spans="1:15">
      <c r="K114">
        <f>K106+1</f>
        <v>13</v>
      </c>
      <c r="N114" s="261">
        <f>JHora!B115</f>
        <v>0</v>
      </c>
      <c r="O114">
        <f>JHora!C115</f>
        <v>0</v>
      </c>
    </row>
    <row r="115" spans="1:15">
      <c r="A115" s="274" t="s">
        <v>454</v>
      </c>
      <c r="B115" s="275">
        <f>DoB-$E$6*DaysInYear</f>
        <v>22567.7812953188</v>
      </c>
      <c r="C115" s="276" t="e">
        <f ca="1">B115+B117*INDEX(INDEX(VimFrac,,VLOOKUP(B120,PlanetData,3,0)+1),MATCH(B118,INDEX(VimFrac,,VLOOKUP(B120,PlanetData,3,0)+1),1))</f>
        <v>#N/A</v>
      </c>
      <c r="D115" s="276" t="e">
        <f ca="1">C115+C117*INDEX(INDEX(VimFrac,0,9*C121+VLOOKUP(C120,PlanetData,3,0)+1),IF(C121,1,0)+MATCH(C118,INDEX(VimFrac,0,9*C121+VLOOKUP(C120,PlanetData,3,0)+1),IF(C121,-1,1)))</f>
        <v>#N/A</v>
      </c>
      <c r="E115" s="276" t="e">
        <f ca="1">D115+D117*INDEX(INDEX(VimFrac,0,9*D121+VLOOKUP(D120,PlanetData,3,0)+1),IF(D121,1,0)+MATCH(D118,INDEX(VimFrac,0,9*D121+VLOOKUP(D120,PlanetData,3,0)+1),IF(D121,-1,1)))</f>
        <v>#N/A</v>
      </c>
      <c r="F115" s="276" t="e">
        <f ca="1">E115+E117*INDEX(INDEX(VimFrac,0,9*E121+VLOOKUP(E120,PlanetData,3,0)+1),IF(E121,1,0)+MATCH(E118,INDEX(VimFrac,0,9*E121+VLOOKUP(E120,PlanetData,3,0)+1),IF(E121,-1,1)))</f>
        <v>#N/A</v>
      </c>
      <c r="G115" s="276" t="e">
        <f ca="1">F115+F117*INDEX(INDEX(VimFrac,0,9*F121+VLOOKUP(F120,PlanetData,3,0)+1),IF(F121,1,0)+MATCH(F118,INDEX(VimFrac,0,9*F121+VLOOKUP(F120,PlanetData,3,0)+1),IF(F121,-1,1)))</f>
        <v>#N/A</v>
      </c>
      <c r="H115" s="276" t="e">
        <f ca="1">G115+G117*INDEX(INDEX(VimFrac,0,9*G121+VLOOKUP(G120,PlanetData,3,0)+1),IF(G121,1,0)+MATCH(G118,INDEX(VimFrac,0,9*G121+VLOOKUP(G120,PlanetData,3,0)+1),IF(G121,-1,1)))</f>
        <v>#N/A</v>
      </c>
      <c r="J115" s="259">
        <f ca="1">J120</f>
        <v>0</v>
      </c>
      <c r="K115">
        <f>K107+1</f>
        <v>14</v>
      </c>
      <c r="N115" s="261">
        <f>JHora!B116</f>
        <v>0</v>
      </c>
      <c r="O115">
        <f>JHora!C116</f>
        <v>0</v>
      </c>
    </row>
    <row r="116" spans="1:15">
      <c r="A116" s="274" t="s">
        <v>455</v>
      </c>
      <c r="B116" s="275">
        <f>B115+B117</f>
        <v>66398.36601754064</v>
      </c>
      <c r="C116" s="276" t="e">
        <f ca="1">B115+B117*INDEX(INDEX(VimFrac,,VLOOKUP(B120,PlanetData,3,0)+1),MATCH(B118,INDEX(VimFrac,,VLOOKUP(B120,PlanetData,3,0)+1),1)+1)</f>
        <v>#N/A</v>
      </c>
      <c r="D116" s="276" t="e">
        <f ca="1">C115+C117*INDEX(INDEX(VimFrac,0,9*C121+VLOOKUP(C120,PlanetData,3,0)+1),IF(C121,0,1)+MATCH(C118,INDEX(VimFrac,0,9*C121+VLOOKUP(C120,PlanetData,3,0)+1),IF(C121,-1,1)))</f>
        <v>#N/A</v>
      </c>
      <c r="E116" s="276" t="e">
        <f ca="1">D115+D117*INDEX(INDEX(VimFrac,0,9*D121+VLOOKUP(D120,PlanetData,3,0)+1),IF(D121,0,1)+MATCH(D118,INDEX(VimFrac,0,9*D121+VLOOKUP(D120,PlanetData,3,0)+1),IF(D121,-1,1)))</f>
        <v>#N/A</v>
      </c>
      <c r="F116" s="276" t="e">
        <f ca="1">E115+E117*INDEX(INDEX(VimFrac,0,9*E121+VLOOKUP(E120,PlanetData,3,0)+1),IF(E121,0,1)+MATCH(E118,INDEX(VimFrac,0,9*E121+VLOOKUP(E120,PlanetData,3,0)+1),IF(E121,-1,1)))</f>
        <v>#N/A</v>
      </c>
      <c r="G116" s="276" t="e">
        <f ca="1">F115+F117*INDEX(INDEX(VimFrac,0,9*F121+VLOOKUP(F120,PlanetData,3,0)+1),IF(F121,0,1)+MATCH(F118,INDEX(VimFrac,0,9*F121+VLOOKUP(F120,PlanetData,3,0)+1),IF(F121,-1,1)))</f>
        <v>#N/A</v>
      </c>
      <c r="H116" s="276" t="e">
        <f ca="1">G115+G117*INDEX(INDEX(VimFrac,0,9*G121+VLOOKUP(G120,PlanetData,3,0)+1),IF(G121,0,1)+MATCH(G118,INDEX(VimFrac,0,9*G121+VLOOKUP(G120,PlanetData,3,0)+1),IF(G121,-1,1)))</f>
        <v>#N/A</v>
      </c>
      <c r="J116" s="259">
        <f ca="1">J120</f>
        <v>0</v>
      </c>
      <c r="K116">
        <f>K108+1</f>
        <v>14</v>
      </c>
      <c r="N116" s="261">
        <f>JHora!B117</f>
        <v>0</v>
      </c>
      <c r="O116">
        <f>JHora!C117</f>
        <v>0</v>
      </c>
    </row>
    <row r="117" spans="1:15">
      <c r="A117" s="277" t="s">
        <v>456</v>
      </c>
      <c r="B117" s="278">
        <f>120*DaysInYear</f>
        <v>43830.584722221844</v>
      </c>
      <c r="C117" s="279" t="e">
        <f t="shared" ref="C117:H117" ca="1" si="26">C116-C115</f>
        <v>#N/A</v>
      </c>
      <c r="D117" s="279" t="e">
        <f t="shared" ca="1" si="26"/>
        <v>#N/A</v>
      </c>
      <c r="E117" s="279" t="e">
        <f t="shared" ca="1" si="26"/>
        <v>#N/A</v>
      </c>
      <c r="F117" s="279" t="e">
        <f t="shared" ca="1" si="26"/>
        <v>#N/A</v>
      </c>
      <c r="G117" s="279" t="e">
        <f t="shared" ca="1" si="26"/>
        <v>#N/A</v>
      </c>
      <c r="H117" s="279" t="e">
        <f t="shared" ca="1" si="26"/>
        <v>#N/A</v>
      </c>
      <c r="K117">
        <f>K109</f>
        <v>0</v>
      </c>
    </row>
    <row r="118" spans="1:15">
      <c r="A118" s="277" t="s">
        <v>457</v>
      </c>
      <c r="B118" s="280">
        <f ca="1">(I120-B115)/(B116-B115)</f>
        <v>-0.51488661258669155</v>
      </c>
      <c r="C118" s="281" t="e">
        <f ca="1">(I120-C115)/(C116-C115)</f>
        <v>#N/A</v>
      </c>
      <c r="D118" s="281" t="e">
        <f ca="1">(I120-D115)/(D116-D115)</f>
        <v>#N/A</v>
      </c>
      <c r="E118" s="281" t="e">
        <f ca="1">(I120-E115)/(E116-E115)</f>
        <v>#N/A</v>
      </c>
      <c r="F118" s="281" t="e">
        <f ca="1">(I120-F115)/(F116-F115)</f>
        <v>#N/A</v>
      </c>
      <c r="G118" s="281" t="e">
        <f ca="1">(I120-G115)/(G116-G115)</f>
        <v>#N/A</v>
      </c>
      <c r="H118" s="281" t="e">
        <f ca="1">(I120-H115)/(H116-H115)</f>
        <v>#N/A</v>
      </c>
      <c r="K118">
        <f>K110</f>
        <v>0</v>
      </c>
    </row>
    <row r="119" spans="1:15">
      <c r="A119" s="277" t="s">
        <v>458</v>
      </c>
      <c r="B119" s="278"/>
      <c r="C119" s="279" t="e">
        <f ca="1">MOD(VLOOKUP(B120,PlanetData,3,0)+MATCH(B118,INDEX(VimFrac,,VLOOKUP(B120,PlanetData,3,0)+1),1)-1,9)</f>
        <v>#N/A</v>
      </c>
      <c r="D119" s="279" t="e">
        <f ca="1">MOD(VLOOKUP(C120,PlanetData,3,0)+MATCH(C118,INDEX(VimFrac,0,9*C121+VLOOKUP(C120,PlanetData,3,0)+1),IF(C121,-1,1))-1,9)</f>
        <v>#N/A</v>
      </c>
      <c r="E119" s="279" t="e">
        <f ca="1">MOD(VLOOKUP(D120,PlanetData,3,0)+MATCH(D118,INDEX(VimFrac,0,9*D121+VLOOKUP(D120,PlanetData,3,0)+1),IF(D121,-1,1))-1,9)</f>
        <v>#N/A</v>
      </c>
      <c r="F119" s="279" t="e">
        <f ca="1">MOD(VLOOKUP(E120,PlanetData,3,0)+MATCH(E118,INDEX(VimFrac,0,9*E121+VLOOKUP(E120,PlanetData,3,0)+1),IF(E121,-1,1))-1,9)</f>
        <v>#N/A</v>
      </c>
      <c r="G119" s="279" t="e">
        <f ca="1">MOD(VLOOKUP(F120,PlanetData,3,0)+MATCH(F118,INDEX(VimFrac,0,9*F121+VLOOKUP(F120,PlanetData,3,0)+1),IF(F121,-1,1))-1,9)</f>
        <v>#N/A</v>
      </c>
      <c r="H119" s="279" t="e">
        <f ca="1">MOD(VLOOKUP(G120,PlanetData,3,0)+MATCH(G118,INDEX(VimFrac,0,9*G121+VLOOKUP(G120,PlanetData,3,0)+1),IF(G121,-1,1))-1,9)</f>
        <v>#N/A</v>
      </c>
      <c r="K119">
        <f>K111</f>
        <v>0</v>
      </c>
    </row>
    <row r="120" spans="1:15">
      <c r="A120" s="277" t="s">
        <v>459</v>
      </c>
      <c r="B120" s="278" t="str">
        <f>$B$4</f>
        <v>Moon</v>
      </c>
      <c r="C120" s="279" t="e">
        <f t="shared" ref="C120:H120" ca="1" si="27">INDEX(DasaYears,IF(C119=0,9,C119),1)</f>
        <v>#N/A</v>
      </c>
      <c r="D120" s="279" t="e">
        <f t="shared" ca="1" si="27"/>
        <v>#N/A</v>
      </c>
      <c r="E120" s="279" t="e">
        <f t="shared" ca="1" si="27"/>
        <v>#N/A</v>
      </c>
      <c r="F120" s="279" t="e">
        <f t="shared" ca="1" si="27"/>
        <v>#N/A</v>
      </c>
      <c r="G120" s="279" t="e">
        <f t="shared" ca="1" si="27"/>
        <v>#N/A</v>
      </c>
      <c r="H120" s="279" t="e">
        <f t="shared" ca="1" si="27"/>
        <v>#N/A</v>
      </c>
      <c r="I120" s="261">
        <f ca="1">INDIRECT("'JHora'!$B$"&amp;($K120))</f>
        <v>0</v>
      </c>
      <c r="J120" s="261">
        <f ca="1">INDIRECT("'JHora'!$C$"&amp;($K120))</f>
        <v>0</v>
      </c>
      <c r="K120">
        <f>K112+1</f>
        <v>14</v>
      </c>
      <c r="N120" s="261">
        <f>JHora!B121</f>
        <v>0</v>
      </c>
      <c r="O120">
        <f>JHora!C121</f>
        <v>0</v>
      </c>
    </row>
    <row r="121" spans="1:15">
      <c r="A121" s="277" t="s">
        <v>444</v>
      </c>
      <c r="B121" s="278" t="b">
        <f>$B$7</f>
        <v>1</v>
      </c>
      <c r="C121" s="279" t="e">
        <f ca="1">IF(VLOOKUP(C120,ChartInfo,11,0),1,0)*B121</f>
        <v>#N/A</v>
      </c>
      <c r="D121" s="279" t="e">
        <f ca="1">IF(VLOOKUP(D120,ChartInfo,11,0),1,0)*B121</f>
        <v>#N/A</v>
      </c>
      <c r="E121" s="279" t="e">
        <f ca="1">IF(VLOOKUP(E120,ChartInfo,11,0),1,0)*B121</f>
        <v>#N/A</v>
      </c>
      <c r="F121" s="279" t="e">
        <f ca="1">IF(VLOOKUP(F120,ChartInfo,11,0),1,0)*B121</f>
        <v>#N/A</v>
      </c>
      <c r="G121" s="279" t="e">
        <f ca="1">IF(VLOOKUP(G120,ChartInfo,11,0),1,0)*B121</f>
        <v>#N/A</v>
      </c>
      <c r="H121" s="279" t="e">
        <f ca="1">IF(VLOOKUP(H120,ChartInfo,11,0),1,0)*B121</f>
        <v>#N/A</v>
      </c>
      <c r="K121">
        <f>K113</f>
        <v>0</v>
      </c>
    </row>
    <row r="122" spans="1:15">
      <c r="K122">
        <f>K114+1</f>
        <v>14</v>
      </c>
      <c r="N122" s="261">
        <f>JHora!B123</f>
        <v>0</v>
      </c>
      <c r="O122">
        <f>JHora!C123</f>
        <v>0</v>
      </c>
    </row>
    <row r="123" spans="1:15">
      <c r="A123" s="274" t="s">
        <v>454</v>
      </c>
      <c r="B123" s="275">
        <f>DoB-$E$6*DaysInYear</f>
        <v>22567.7812953188</v>
      </c>
      <c r="C123" s="276" t="e">
        <f ca="1">B123+B125*INDEX(INDEX(VimFrac,,VLOOKUP(B128,PlanetData,3,0)+1),MATCH(B126,INDEX(VimFrac,,VLOOKUP(B128,PlanetData,3,0)+1),1))</f>
        <v>#N/A</v>
      </c>
      <c r="D123" s="276" t="e">
        <f ca="1">C123+C125*INDEX(INDEX(VimFrac,0,9*C129+VLOOKUP(C128,PlanetData,3,0)+1),IF(C129,1,0)+MATCH(C126,INDEX(VimFrac,0,9*C129+VLOOKUP(C128,PlanetData,3,0)+1),IF(C129,-1,1)))</f>
        <v>#N/A</v>
      </c>
      <c r="E123" s="276" t="e">
        <f ca="1">D123+D125*INDEX(INDEX(VimFrac,0,9*D129+VLOOKUP(D128,PlanetData,3,0)+1),IF(D129,1,0)+MATCH(D126,INDEX(VimFrac,0,9*D129+VLOOKUP(D128,PlanetData,3,0)+1),IF(D129,-1,1)))</f>
        <v>#N/A</v>
      </c>
      <c r="F123" s="276" t="e">
        <f ca="1">E123+E125*INDEX(INDEX(VimFrac,0,9*E129+VLOOKUP(E128,PlanetData,3,0)+1),IF(E129,1,0)+MATCH(E126,INDEX(VimFrac,0,9*E129+VLOOKUP(E128,PlanetData,3,0)+1),IF(E129,-1,1)))</f>
        <v>#N/A</v>
      </c>
      <c r="G123" s="276" t="e">
        <f ca="1">F123+F125*INDEX(INDEX(VimFrac,0,9*F129+VLOOKUP(F128,PlanetData,3,0)+1),IF(F129,1,0)+MATCH(F126,INDEX(VimFrac,0,9*F129+VLOOKUP(F128,PlanetData,3,0)+1),IF(F129,-1,1)))</f>
        <v>#N/A</v>
      </c>
      <c r="H123" s="276" t="e">
        <f ca="1">G123+G125*INDEX(INDEX(VimFrac,0,9*G129+VLOOKUP(G128,PlanetData,3,0)+1),IF(G129,1,0)+MATCH(G126,INDEX(VimFrac,0,9*G129+VLOOKUP(G128,PlanetData,3,0)+1),IF(G129,-1,1)))</f>
        <v>#N/A</v>
      </c>
      <c r="J123" s="259">
        <f ca="1">J128</f>
        <v>0</v>
      </c>
      <c r="K123">
        <f>K115+1</f>
        <v>15</v>
      </c>
      <c r="N123" s="261">
        <f>JHora!B124</f>
        <v>0</v>
      </c>
      <c r="O123">
        <f>JHora!C124</f>
        <v>0</v>
      </c>
    </row>
    <row r="124" spans="1:15">
      <c r="A124" s="274" t="s">
        <v>455</v>
      </c>
      <c r="B124" s="275">
        <f>B123+B125</f>
        <v>66398.36601754064</v>
      </c>
      <c r="C124" s="276" t="e">
        <f ca="1">B123+B125*INDEX(INDEX(VimFrac,,VLOOKUP(B128,PlanetData,3,0)+1),MATCH(B126,INDEX(VimFrac,,VLOOKUP(B128,PlanetData,3,0)+1),1)+1)</f>
        <v>#N/A</v>
      </c>
      <c r="D124" s="276" t="e">
        <f ca="1">C123+C125*INDEX(INDEX(VimFrac,0,9*C129+VLOOKUP(C128,PlanetData,3,0)+1),IF(C129,0,1)+MATCH(C126,INDEX(VimFrac,0,9*C129+VLOOKUP(C128,PlanetData,3,0)+1),IF(C129,-1,1)))</f>
        <v>#N/A</v>
      </c>
      <c r="E124" s="276" t="e">
        <f ca="1">D123+D125*INDEX(INDEX(VimFrac,0,9*D129+VLOOKUP(D128,PlanetData,3,0)+1),IF(D129,0,1)+MATCH(D126,INDEX(VimFrac,0,9*D129+VLOOKUP(D128,PlanetData,3,0)+1),IF(D129,-1,1)))</f>
        <v>#N/A</v>
      </c>
      <c r="F124" s="276" t="e">
        <f ca="1">E123+E125*INDEX(INDEX(VimFrac,0,9*E129+VLOOKUP(E128,PlanetData,3,0)+1),IF(E129,0,1)+MATCH(E126,INDEX(VimFrac,0,9*E129+VLOOKUP(E128,PlanetData,3,0)+1),IF(E129,-1,1)))</f>
        <v>#N/A</v>
      </c>
      <c r="G124" s="276" t="e">
        <f ca="1">F123+F125*INDEX(INDEX(VimFrac,0,9*F129+VLOOKUP(F128,PlanetData,3,0)+1),IF(F129,0,1)+MATCH(F126,INDEX(VimFrac,0,9*F129+VLOOKUP(F128,PlanetData,3,0)+1),IF(F129,-1,1)))</f>
        <v>#N/A</v>
      </c>
      <c r="H124" s="276" t="e">
        <f ca="1">G123+G125*INDEX(INDEX(VimFrac,0,9*G129+VLOOKUP(G128,PlanetData,3,0)+1),IF(G129,0,1)+MATCH(G126,INDEX(VimFrac,0,9*G129+VLOOKUP(G128,PlanetData,3,0)+1),IF(G129,-1,1)))</f>
        <v>#N/A</v>
      </c>
      <c r="J124" s="259">
        <f ca="1">J128</f>
        <v>0</v>
      </c>
      <c r="K124">
        <f>K116+1</f>
        <v>15</v>
      </c>
      <c r="N124" s="261">
        <f>JHora!B125</f>
        <v>0</v>
      </c>
      <c r="O124">
        <f>JHora!C125</f>
        <v>0</v>
      </c>
    </row>
    <row r="125" spans="1:15">
      <c r="A125" s="277" t="s">
        <v>456</v>
      </c>
      <c r="B125" s="278">
        <f>120*DaysInYear</f>
        <v>43830.584722221844</v>
      </c>
      <c r="C125" s="279" t="e">
        <f t="shared" ref="C125:H125" ca="1" si="28">C124-C123</f>
        <v>#N/A</v>
      </c>
      <c r="D125" s="279" t="e">
        <f t="shared" ca="1" si="28"/>
        <v>#N/A</v>
      </c>
      <c r="E125" s="279" t="e">
        <f t="shared" ca="1" si="28"/>
        <v>#N/A</v>
      </c>
      <c r="F125" s="279" t="e">
        <f t="shared" ca="1" si="28"/>
        <v>#N/A</v>
      </c>
      <c r="G125" s="279" t="e">
        <f t="shared" ca="1" si="28"/>
        <v>#N/A</v>
      </c>
      <c r="H125" s="279" t="e">
        <f t="shared" ca="1" si="28"/>
        <v>#N/A</v>
      </c>
      <c r="K125">
        <f>K117</f>
        <v>0</v>
      </c>
    </row>
    <row r="126" spans="1:15">
      <c r="A126" s="277" t="s">
        <v>457</v>
      </c>
      <c r="B126" s="280">
        <f ca="1">(I128-B123)/(B124-B123)</f>
        <v>-0.51488661258669155</v>
      </c>
      <c r="C126" s="281" t="e">
        <f ca="1">(I128-C123)/(C124-C123)</f>
        <v>#N/A</v>
      </c>
      <c r="D126" s="281" t="e">
        <f ca="1">(I128-D123)/(D124-D123)</f>
        <v>#N/A</v>
      </c>
      <c r="E126" s="281" t="e">
        <f ca="1">(I128-E123)/(E124-E123)</f>
        <v>#N/A</v>
      </c>
      <c r="F126" s="281" t="e">
        <f ca="1">(I128-F123)/(F124-F123)</f>
        <v>#N/A</v>
      </c>
      <c r="G126" s="281" t="e">
        <f ca="1">(I128-G123)/(G124-G123)</f>
        <v>#N/A</v>
      </c>
      <c r="H126" s="281" t="e">
        <f ca="1">(I128-H123)/(H124-H123)</f>
        <v>#N/A</v>
      </c>
      <c r="K126">
        <f>K118</f>
        <v>0</v>
      </c>
    </row>
    <row r="127" spans="1:15">
      <c r="A127" s="277" t="s">
        <v>458</v>
      </c>
      <c r="B127" s="278"/>
      <c r="C127" s="279" t="e">
        <f ca="1">MOD(VLOOKUP(B128,PlanetData,3,0)+MATCH(B126,INDEX(VimFrac,,VLOOKUP(B128,PlanetData,3,0)+1),1)-1,9)</f>
        <v>#N/A</v>
      </c>
      <c r="D127" s="279" t="e">
        <f ca="1">MOD(VLOOKUP(C128,PlanetData,3,0)+MATCH(C126,INDEX(VimFrac,0,9*C129+VLOOKUP(C128,PlanetData,3,0)+1),IF(C129,-1,1))-1,9)</f>
        <v>#N/A</v>
      </c>
      <c r="E127" s="279" t="e">
        <f ca="1">MOD(VLOOKUP(D128,PlanetData,3,0)+MATCH(D126,INDEX(VimFrac,0,9*D129+VLOOKUP(D128,PlanetData,3,0)+1),IF(D129,-1,1))-1,9)</f>
        <v>#N/A</v>
      </c>
      <c r="F127" s="279" t="e">
        <f ca="1">MOD(VLOOKUP(E128,PlanetData,3,0)+MATCH(E126,INDEX(VimFrac,0,9*E129+VLOOKUP(E128,PlanetData,3,0)+1),IF(E129,-1,1))-1,9)</f>
        <v>#N/A</v>
      </c>
      <c r="G127" s="279" t="e">
        <f ca="1">MOD(VLOOKUP(F128,PlanetData,3,0)+MATCH(F126,INDEX(VimFrac,0,9*F129+VLOOKUP(F128,PlanetData,3,0)+1),IF(F129,-1,1))-1,9)</f>
        <v>#N/A</v>
      </c>
      <c r="H127" s="279" t="e">
        <f ca="1">MOD(VLOOKUP(G128,PlanetData,3,0)+MATCH(G126,INDEX(VimFrac,0,9*G129+VLOOKUP(G128,PlanetData,3,0)+1),IF(G129,-1,1))-1,9)</f>
        <v>#N/A</v>
      </c>
      <c r="K127">
        <f>K119</f>
        <v>0</v>
      </c>
    </row>
    <row r="128" spans="1:15">
      <c r="A128" s="277" t="s">
        <v>459</v>
      </c>
      <c r="B128" s="278" t="str">
        <f>$B$4</f>
        <v>Moon</v>
      </c>
      <c r="C128" s="279" t="e">
        <f t="shared" ref="C128:H128" ca="1" si="29">INDEX(DasaYears,IF(C127=0,9,C127),1)</f>
        <v>#N/A</v>
      </c>
      <c r="D128" s="279" t="e">
        <f t="shared" ca="1" si="29"/>
        <v>#N/A</v>
      </c>
      <c r="E128" s="279" t="e">
        <f t="shared" ca="1" si="29"/>
        <v>#N/A</v>
      </c>
      <c r="F128" s="279" t="e">
        <f t="shared" ca="1" si="29"/>
        <v>#N/A</v>
      </c>
      <c r="G128" s="279" t="e">
        <f t="shared" ca="1" si="29"/>
        <v>#N/A</v>
      </c>
      <c r="H128" s="279" t="e">
        <f t="shared" ca="1" si="29"/>
        <v>#N/A</v>
      </c>
      <c r="I128" s="261">
        <f ca="1">INDIRECT("'JHora'!$B$"&amp;($K128))</f>
        <v>0</v>
      </c>
      <c r="J128" s="261">
        <f ca="1">INDIRECT("'JHora'!$C$"&amp;($K128))</f>
        <v>0</v>
      </c>
      <c r="K128">
        <f>K120+1</f>
        <v>15</v>
      </c>
      <c r="N128" s="261">
        <f>JHora!B129</f>
        <v>0</v>
      </c>
      <c r="O128">
        <f>JHora!C129</f>
        <v>0</v>
      </c>
    </row>
    <row r="129" spans="1:15">
      <c r="A129" s="277" t="s">
        <v>444</v>
      </c>
      <c r="B129" s="278" t="b">
        <f>$B$7</f>
        <v>1</v>
      </c>
      <c r="C129" s="279" t="e">
        <f ca="1">IF(VLOOKUP(C128,ChartInfo,11,0),1,0)*B129</f>
        <v>#N/A</v>
      </c>
      <c r="D129" s="279" t="e">
        <f ca="1">IF(VLOOKUP(D128,ChartInfo,11,0),1,0)*B129</f>
        <v>#N/A</v>
      </c>
      <c r="E129" s="279" t="e">
        <f ca="1">IF(VLOOKUP(E128,ChartInfo,11,0),1,0)*B129</f>
        <v>#N/A</v>
      </c>
      <c r="F129" s="279" t="e">
        <f ca="1">IF(VLOOKUP(F128,ChartInfo,11,0),1,0)*B129</f>
        <v>#N/A</v>
      </c>
      <c r="G129" s="279" t="e">
        <f ca="1">IF(VLOOKUP(G128,ChartInfo,11,0),1,0)*B129</f>
        <v>#N/A</v>
      </c>
      <c r="H129" s="279" t="e">
        <f ca="1">IF(VLOOKUP(H128,ChartInfo,11,0),1,0)*B129</f>
        <v>#N/A</v>
      </c>
      <c r="K129">
        <f>K121</f>
        <v>0</v>
      </c>
    </row>
    <row r="130" spans="1:15">
      <c r="K130">
        <f>K122+1</f>
        <v>15</v>
      </c>
      <c r="N130" s="261">
        <f>JHora!B131</f>
        <v>0</v>
      </c>
      <c r="O130">
        <f>JHora!C131</f>
        <v>0</v>
      </c>
    </row>
    <row r="131" spans="1:15">
      <c r="A131" s="274" t="s">
        <v>454</v>
      </c>
      <c r="B131" s="275">
        <f>DoB-$E$6*DaysInYear</f>
        <v>22567.7812953188</v>
      </c>
      <c r="C131" s="276" t="e">
        <f ca="1">B131+B133*INDEX(INDEX(VimFrac,,VLOOKUP(B136,PlanetData,3,0)+1),MATCH(B134,INDEX(VimFrac,,VLOOKUP(B136,PlanetData,3,0)+1),1))</f>
        <v>#N/A</v>
      </c>
      <c r="D131" s="276" t="e">
        <f ca="1">C131+C133*INDEX(INDEX(VimFrac,0,9*C137+VLOOKUP(C136,PlanetData,3,0)+1),IF(C137,1,0)+MATCH(C134,INDEX(VimFrac,0,9*C137+VLOOKUP(C136,PlanetData,3,0)+1),IF(C137,-1,1)))</f>
        <v>#N/A</v>
      </c>
      <c r="E131" s="276" t="e">
        <f ca="1">D131+D133*INDEX(INDEX(VimFrac,0,9*D137+VLOOKUP(D136,PlanetData,3,0)+1),IF(D137,1,0)+MATCH(D134,INDEX(VimFrac,0,9*D137+VLOOKUP(D136,PlanetData,3,0)+1),IF(D137,-1,1)))</f>
        <v>#N/A</v>
      </c>
      <c r="F131" s="276" t="e">
        <f ca="1">E131+E133*INDEX(INDEX(VimFrac,0,9*E137+VLOOKUP(E136,PlanetData,3,0)+1),IF(E137,1,0)+MATCH(E134,INDEX(VimFrac,0,9*E137+VLOOKUP(E136,PlanetData,3,0)+1),IF(E137,-1,1)))</f>
        <v>#N/A</v>
      </c>
      <c r="G131" s="276" t="e">
        <f ca="1">F131+F133*INDEX(INDEX(VimFrac,0,9*F137+VLOOKUP(F136,PlanetData,3,0)+1),IF(F137,1,0)+MATCH(F134,INDEX(VimFrac,0,9*F137+VLOOKUP(F136,PlanetData,3,0)+1),IF(F137,-1,1)))</f>
        <v>#N/A</v>
      </c>
      <c r="H131" s="276" t="e">
        <f ca="1">G131+G133*INDEX(INDEX(VimFrac,0,9*G137+VLOOKUP(G136,PlanetData,3,0)+1),IF(G137,1,0)+MATCH(G134,INDEX(VimFrac,0,9*G137+VLOOKUP(G136,PlanetData,3,0)+1),IF(G137,-1,1)))</f>
        <v>#N/A</v>
      </c>
      <c r="J131" s="259">
        <f ca="1">J136</f>
        <v>0</v>
      </c>
      <c r="K131">
        <f>K123+1</f>
        <v>16</v>
      </c>
      <c r="N131" s="261">
        <f>JHora!B132</f>
        <v>0</v>
      </c>
      <c r="O131">
        <f>JHora!C132</f>
        <v>0</v>
      </c>
    </row>
    <row r="132" spans="1:15">
      <c r="A132" s="274" t="s">
        <v>455</v>
      </c>
      <c r="B132" s="275">
        <f>B131+B133</f>
        <v>66398.36601754064</v>
      </c>
      <c r="C132" s="276" t="e">
        <f ca="1">B131+B133*INDEX(INDEX(VimFrac,,VLOOKUP(B136,PlanetData,3,0)+1),MATCH(B134,INDEX(VimFrac,,VLOOKUP(B136,PlanetData,3,0)+1),1)+1)</f>
        <v>#N/A</v>
      </c>
      <c r="D132" s="276" t="e">
        <f ca="1">C131+C133*INDEX(INDEX(VimFrac,0,9*C137+VLOOKUP(C136,PlanetData,3,0)+1),IF(C137,0,1)+MATCH(C134,INDEX(VimFrac,0,9*C137+VLOOKUP(C136,PlanetData,3,0)+1),IF(C137,-1,1)))</f>
        <v>#N/A</v>
      </c>
      <c r="E132" s="276" t="e">
        <f ca="1">D131+D133*INDEX(INDEX(VimFrac,0,9*D137+VLOOKUP(D136,PlanetData,3,0)+1),IF(D137,0,1)+MATCH(D134,INDEX(VimFrac,0,9*D137+VLOOKUP(D136,PlanetData,3,0)+1),IF(D137,-1,1)))</f>
        <v>#N/A</v>
      </c>
      <c r="F132" s="276" t="e">
        <f ca="1">E131+E133*INDEX(INDEX(VimFrac,0,9*E137+VLOOKUP(E136,PlanetData,3,0)+1),IF(E137,0,1)+MATCH(E134,INDEX(VimFrac,0,9*E137+VLOOKUP(E136,PlanetData,3,0)+1),IF(E137,-1,1)))</f>
        <v>#N/A</v>
      </c>
      <c r="G132" s="276" t="e">
        <f ca="1">F131+F133*INDEX(INDEX(VimFrac,0,9*F137+VLOOKUP(F136,PlanetData,3,0)+1),IF(F137,0,1)+MATCH(F134,INDEX(VimFrac,0,9*F137+VLOOKUP(F136,PlanetData,3,0)+1),IF(F137,-1,1)))</f>
        <v>#N/A</v>
      </c>
      <c r="H132" s="276" t="e">
        <f ca="1">G131+G133*INDEX(INDEX(VimFrac,0,9*G137+VLOOKUP(G136,PlanetData,3,0)+1),IF(G137,0,1)+MATCH(G134,INDEX(VimFrac,0,9*G137+VLOOKUP(G136,PlanetData,3,0)+1),IF(G137,-1,1)))</f>
        <v>#N/A</v>
      </c>
      <c r="J132" s="259">
        <f ca="1">J136</f>
        <v>0</v>
      </c>
      <c r="K132">
        <f>K124+1</f>
        <v>16</v>
      </c>
      <c r="N132" s="261">
        <f>JHora!B133</f>
        <v>0</v>
      </c>
      <c r="O132">
        <f>JHora!C133</f>
        <v>0</v>
      </c>
    </row>
    <row r="133" spans="1:15">
      <c r="A133" s="277" t="s">
        <v>456</v>
      </c>
      <c r="B133" s="278">
        <f>120*DaysInYear</f>
        <v>43830.584722221844</v>
      </c>
      <c r="C133" s="279" t="e">
        <f t="shared" ref="C133:H133" ca="1" si="30">C132-C131</f>
        <v>#N/A</v>
      </c>
      <c r="D133" s="279" t="e">
        <f t="shared" ca="1" si="30"/>
        <v>#N/A</v>
      </c>
      <c r="E133" s="279" t="e">
        <f t="shared" ca="1" si="30"/>
        <v>#N/A</v>
      </c>
      <c r="F133" s="279" t="e">
        <f t="shared" ca="1" si="30"/>
        <v>#N/A</v>
      </c>
      <c r="G133" s="279" t="e">
        <f t="shared" ca="1" si="30"/>
        <v>#N/A</v>
      </c>
      <c r="H133" s="279" t="e">
        <f t="shared" ca="1" si="30"/>
        <v>#N/A</v>
      </c>
      <c r="K133">
        <f>K125</f>
        <v>0</v>
      </c>
    </row>
    <row r="134" spans="1:15">
      <c r="A134" s="277" t="s">
        <v>457</v>
      </c>
      <c r="B134" s="280">
        <f ca="1">(I136-B131)/(B132-B131)</f>
        <v>-0.51488661258669155</v>
      </c>
      <c r="C134" s="281" t="e">
        <f ca="1">(I136-C131)/(C132-C131)</f>
        <v>#N/A</v>
      </c>
      <c r="D134" s="281" t="e">
        <f ca="1">(I136-D131)/(D132-D131)</f>
        <v>#N/A</v>
      </c>
      <c r="E134" s="281" t="e">
        <f ca="1">(I136-E131)/(E132-E131)</f>
        <v>#N/A</v>
      </c>
      <c r="F134" s="281" t="e">
        <f ca="1">(I136-F131)/(F132-F131)</f>
        <v>#N/A</v>
      </c>
      <c r="G134" s="281" t="e">
        <f ca="1">(I136-G131)/(G132-G131)</f>
        <v>#N/A</v>
      </c>
      <c r="H134" s="281" t="e">
        <f ca="1">(I136-H131)/(H132-H131)</f>
        <v>#N/A</v>
      </c>
      <c r="K134">
        <f>K126</f>
        <v>0</v>
      </c>
    </row>
    <row r="135" spans="1:15">
      <c r="A135" s="277" t="s">
        <v>458</v>
      </c>
      <c r="B135" s="278"/>
      <c r="C135" s="279" t="e">
        <f ca="1">MOD(VLOOKUP(B136,PlanetData,3,0)+MATCH(B134,INDEX(VimFrac,,VLOOKUP(B136,PlanetData,3,0)+1),1)-1,9)</f>
        <v>#N/A</v>
      </c>
      <c r="D135" s="279" t="e">
        <f ca="1">MOD(VLOOKUP(C136,PlanetData,3,0)+MATCH(C134,INDEX(VimFrac,0,9*C137+VLOOKUP(C136,PlanetData,3,0)+1),IF(C137,-1,1))-1,9)</f>
        <v>#N/A</v>
      </c>
      <c r="E135" s="279" t="e">
        <f ca="1">MOD(VLOOKUP(D136,PlanetData,3,0)+MATCH(D134,INDEX(VimFrac,0,9*D137+VLOOKUP(D136,PlanetData,3,0)+1),IF(D137,-1,1))-1,9)</f>
        <v>#N/A</v>
      </c>
      <c r="F135" s="279" t="e">
        <f ca="1">MOD(VLOOKUP(E136,PlanetData,3,0)+MATCH(E134,INDEX(VimFrac,0,9*E137+VLOOKUP(E136,PlanetData,3,0)+1),IF(E137,-1,1))-1,9)</f>
        <v>#N/A</v>
      </c>
      <c r="G135" s="279" t="e">
        <f ca="1">MOD(VLOOKUP(F136,PlanetData,3,0)+MATCH(F134,INDEX(VimFrac,0,9*F137+VLOOKUP(F136,PlanetData,3,0)+1),IF(F137,-1,1))-1,9)</f>
        <v>#N/A</v>
      </c>
      <c r="H135" s="279" t="e">
        <f ca="1">MOD(VLOOKUP(G136,PlanetData,3,0)+MATCH(G134,INDEX(VimFrac,0,9*G137+VLOOKUP(G136,PlanetData,3,0)+1),IF(G137,-1,1))-1,9)</f>
        <v>#N/A</v>
      </c>
      <c r="K135">
        <f>K127</f>
        <v>0</v>
      </c>
    </row>
    <row r="136" spans="1:15">
      <c r="A136" s="277" t="s">
        <v>459</v>
      </c>
      <c r="B136" s="278" t="str">
        <f>$B$4</f>
        <v>Moon</v>
      </c>
      <c r="C136" s="279" t="e">
        <f t="shared" ref="C136:H136" ca="1" si="31">INDEX(DasaYears,IF(C135=0,9,C135),1)</f>
        <v>#N/A</v>
      </c>
      <c r="D136" s="279" t="e">
        <f t="shared" ca="1" si="31"/>
        <v>#N/A</v>
      </c>
      <c r="E136" s="279" t="e">
        <f t="shared" ca="1" si="31"/>
        <v>#N/A</v>
      </c>
      <c r="F136" s="279" t="e">
        <f t="shared" ca="1" si="31"/>
        <v>#N/A</v>
      </c>
      <c r="G136" s="279" t="e">
        <f t="shared" ca="1" si="31"/>
        <v>#N/A</v>
      </c>
      <c r="H136" s="279" t="e">
        <f t="shared" ca="1" si="31"/>
        <v>#N/A</v>
      </c>
      <c r="I136" s="261">
        <f ca="1">INDIRECT("'JHora'!$B$"&amp;($K136))</f>
        <v>0</v>
      </c>
      <c r="J136" s="261">
        <f ca="1">INDIRECT("'JHora'!$C$"&amp;($K136))</f>
        <v>0</v>
      </c>
      <c r="K136">
        <f>K128+1</f>
        <v>16</v>
      </c>
      <c r="N136" s="261">
        <f>JHora!B137</f>
        <v>0</v>
      </c>
      <c r="O136">
        <f>JHora!C137</f>
        <v>0</v>
      </c>
    </row>
    <row r="137" spans="1:15">
      <c r="A137" s="277" t="s">
        <v>444</v>
      </c>
      <c r="B137" s="278" t="b">
        <f>$B$7</f>
        <v>1</v>
      </c>
      <c r="C137" s="279" t="e">
        <f ca="1">IF(VLOOKUP(C136,ChartInfo,11,0),1,0)*B137</f>
        <v>#N/A</v>
      </c>
      <c r="D137" s="279" t="e">
        <f ca="1">IF(VLOOKUP(D136,ChartInfo,11,0),1,0)*B137</f>
        <v>#N/A</v>
      </c>
      <c r="E137" s="279" t="e">
        <f ca="1">IF(VLOOKUP(E136,ChartInfo,11,0),1,0)*B137</f>
        <v>#N/A</v>
      </c>
      <c r="F137" s="279" t="e">
        <f ca="1">IF(VLOOKUP(F136,ChartInfo,11,0),1,0)*B137</f>
        <v>#N/A</v>
      </c>
      <c r="G137" s="279" t="e">
        <f ca="1">IF(VLOOKUP(G136,ChartInfo,11,0),1,0)*B137</f>
        <v>#N/A</v>
      </c>
      <c r="H137" s="279" t="e">
        <f ca="1">IF(VLOOKUP(H136,ChartInfo,11,0),1,0)*B137</f>
        <v>#N/A</v>
      </c>
      <c r="K137">
        <f>K129</f>
        <v>0</v>
      </c>
    </row>
    <row r="138" spans="1:15">
      <c r="K138">
        <f>K130+1</f>
        <v>16</v>
      </c>
    </row>
    <row r="139" spans="1:15">
      <c r="A139" s="274" t="s">
        <v>454</v>
      </c>
      <c r="B139" s="275">
        <f>DoB-$E$6*DaysInYear</f>
        <v>22567.7812953188</v>
      </c>
      <c r="C139" s="276" t="e">
        <f ca="1">B139+B141*INDEX(INDEX(VimFrac,,VLOOKUP(B144,PlanetData,3,0)+1),MATCH(B142,INDEX(VimFrac,,VLOOKUP(B144,PlanetData,3,0)+1),1))</f>
        <v>#N/A</v>
      </c>
      <c r="D139" s="276" t="e">
        <f ca="1">C139+C141*INDEX(INDEX(VimFrac,0,9*C145+VLOOKUP(C144,PlanetData,3,0)+1),IF(C145,1,0)+MATCH(C142,INDEX(VimFrac,0,9*C145+VLOOKUP(C144,PlanetData,3,0)+1),IF(C145,-1,1)))</f>
        <v>#N/A</v>
      </c>
      <c r="E139" s="276" t="e">
        <f ca="1">D139+D141*INDEX(INDEX(VimFrac,0,9*D145+VLOOKUP(D144,PlanetData,3,0)+1),IF(D145,1,0)+MATCH(D142,INDEX(VimFrac,0,9*D145+VLOOKUP(D144,PlanetData,3,0)+1),IF(D145,-1,1)))</f>
        <v>#N/A</v>
      </c>
      <c r="F139" s="276" t="e">
        <f ca="1">E139+E141*INDEX(INDEX(VimFrac,0,9*E145+VLOOKUP(E144,PlanetData,3,0)+1),IF(E145,1,0)+MATCH(E142,INDEX(VimFrac,0,9*E145+VLOOKUP(E144,PlanetData,3,0)+1),IF(E145,-1,1)))</f>
        <v>#N/A</v>
      </c>
      <c r="G139" s="276" t="e">
        <f ca="1">F139+F141*INDEX(INDEX(VimFrac,0,9*F145+VLOOKUP(F144,PlanetData,3,0)+1),IF(F145,1,0)+MATCH(F142,INDEX(VimFrac,0,9*F145+VLOOKUP(F144,PlanetData,3,0)+1),IF(F145,-1,1)))</f>
        <v>#N/A</v>
      </c>
      <c r="H139" s="276" t="e">
        <f ca="1">G139+G141*INDEX(INDEX(VimFrac,0,9*G145+VLOOKUP(G144,PlanetData,3,0)+1),IF(G145,1,0)+MATCH(G142,INDEX(VimFrac,0,9*G145+VLOOKUP(G144,PlanetData,3,0)+1),IF(G145,-1,1)))</f>
        <v>#N/A</v>
      </c>
      <c r="J139" s="259">
        <f ca="1">J144</f>
        <v>0</v>
      </c>
      <c r="K139">
        <f>K131+1</f>
        <v>17</v>
      </c>
    </row>
    <row r="140" spans="1:15">
      <c r="A140" s="274" t="s">
        <v>455</v>
      </c>
      <c r="B140" s="275">
        <f>B139+B141</f>
        <v>66398.36601754064</v>
      </c>
      <c r="C140" s="276" t="e">
        <f ca="1">B139+B141*INDEX(INDEX(VimFrac,,VLOOKUP(B144,PlanetData,3,0)+1),MATCH(B142,INDEX(VimFrac,,VLOOKUP(B144,PlanetData,3,0)+1),1)+1)</f>
        <v>#N/A</v>
      </c>
      <c r="D140" s="276" t="e">
        <f ca="1">C139+C141*INDEX(INDEX(VimFrac,0,9*C145+VLOOKUP(C144,PlanetData,3,0)+1),IF(C145,0,1)+MATCH(C142,INDEX(VimFrac,0,9*C145+VLOOKUP(C144,PlanetData,3,0)+1),IF(C145,-1,1)))</f>
        <v>#N/A</v>
      </c>
      <c r="E140" s="276" t="e">
        <f ca="1">D139+D141*INDEX(INDEX(VimFrac,0,9*D145+VLOOKUP(D144,PlanetData,3,0)+1),IF(D145,0,1)+MATCH(D142,INDEX(VimFrac,0,9*D145+VLOOKUP(D144,PlanetData,3,0)+1),IF(D145,-1,1)))</f>
        <v>#N/A</v>
      </c>
      <c r="F140" s="276" t="e">
        <f ca="1">E139+E141*INDEX(INDEX(VimFrac,0,9*E145+VLOOKUP(E144,PlanetData,3,0)+1),IF(E145,0,1)+MATCH(E142,INDEX(VimFrac,0,9*E145+VLOOKUP(E144,PlanetData,3,0)+1),IF(E145,-1,1)))</f>
        <v>#N/A</v>
      </c>
      <c r="G140" s="276" t="e">
        <f ca="1">F139+F141*INDEX(INDEX(VimFrac,0,9*F145+VLOOKUP(F144,PlanetData,3,0)+1),IF(F145,0,1)+MATCH(F142,INDEX(VimFrac,0,9*F145+VLOOKUP(F144,PlanetData,3,0)+1),IF(F145,-1,1)))</f>
        <v>#N/A</v>
      </c>
      <c r="H140" s="276" t="e">
        <f ca="1">G139+G141*INDEX(INDEX(VimFrac,0,9*G145+VLOOKUP(G144,PlanetData,3,0)+1),IF(G145,0,1)+MATCH(G142,INDEX(VimFrac,0,9*G145+VLOOKUP(G144,PlanetData,3,0)+1),IF(G145,-1,1)))</f>
        <v>#N/A</v>
      </c>
      <c r="J140" s="259">
        <f ca="1">J144</f>
        <v>0</v>
      </c>
      <c r="K140">
        <f>K132+1</f>
        <v>17</v>
      </c>
    </row>
    <row r="141" spans="1:15">
      <c r="A141" s="277" t="s">
        <v>456</v>
      </c>
      <c r="B141" s="278">
        <f>120*DaysInYear</f>
        <v>43830.584722221844</v>
      </c>
      <c r="C141" s="279" t="e">
        <f t="shared" ref="C141:H141" ca="1" si="32">C140-C139</f>
        <v>#N/A</v>
      </c>
      <c r="D141" s="279" t="e">
        <f t="shared" ca="1" si="32"/>
        <v>#N/A</v>
      </c>
      <c r="E141" s="279" t="e">
        <f t="shared" ca="1" si="32"/>
        <v>#N/A</v>
      </c>
      <c r="F141" s="279" t="e">
        <f t="shared" ca="1" si="32"/>
        <v>#N/A</v>
      </c>
      <c r="G141" s="279" t="e">
        <f t="shared" ca="1" si="32"/>
        <v>#N/A</v>
      </c>
      <c r="H141" s="279" t="e">
        <f t="shared" ca="1" si="32"/>
        <v>#N/A</v>
      </c>
      <c r="K141">
        <f>K133</f>
        <v>0</v>
      </c>
    </row>
    <row r="142" spans="1:15">
      <c r="A142" s="277" t="s">
        <v>457</v>
      </c>
      <c r="B142" s="280">
        <f ca="1">(I144-B139)/(B140-B139)</f>
        <v>-0.51488661258669155</v>
      </c>
      <c r="C142" s="281" t="e">
        <f ca="1">(I144-C139)/(C140-C139)</f>
        <v>#N/A</v>
      </c>
      <c r="D142" s="281" t="e">
        <f ca="1">(I144-D139)/(D140-D139)</f>
        <v>#N/A</v>
      </c>
      <c r="E142" s="281" t="e">
        <f ca="1">(I144-E139)/(E140-E139)</f>
        <v>#N/A</v>
      </c>
      <c r="F142" s="281" t="e">
        <f ca="1">(I144-F139)/(F140-F139)</f>
        <v>#N/A</v>
      </c>
      <c r="G142" s="281" t="e">
        <f ca="1">(I144-G139)/(G140-G139)</f>
        <v>#N/A</v>
      </c>
      <c r="H142" s="281" t="e">
        <f ca="1">(I144-H139)/(H140-H139)</f>
        <v>#N/A</v>
      </c>
      <c r="K142">
        <f>K134</f>
        <v>0</v>
      </c>
    </row>
    <row r="143" spans="1:15">
      <c r="A143" s="277" t="s">
        <v>458</v>
      </c>
      <c r="B143" s="278"/>
      <c r="C143" s="279" t="e">
        <f ca="1">MOD(VLOOKUP(B144,PlanetData,3,0)+MATCH(B142,INDEX(VimFrac,,VLOOKUP(B144,PlanetData,3,0)+1),1)-1,9)</f>
        <v>#N/A</v>
      </c>
      <c r="D143" s="279" t="e">
        <f ca="1">MOD(VLOOKUP(C144,PlanetData,3,0)+MATCH(C142,INDEX(VimFrac,0,9*C145+VLOOKUP(C144,PlanetData,3,0)+1),IF(C145,-1,1))-1,9)</f>
        <v>#N/A</v>
      </c>
      <c r="E143" s="279" t="e">
        <f ca="1">MOD(VLOOKUP(D144,PlanetData,3,0)+MATCH(D142,INDEX(VimFrac,0,9*D145+VLOOKUP(D144,PlanetData,3,0)+1),IF(D145,-1,1))-1,9)</f>
        <v>#N/A</v>
      </c>
      <c r="F143" s="279" t="e">
        <f ca="1">MOD(VLOOKUP(E144,PlanetData,3,0)+MATCH(E142,INDEX(VimFrac,0,9*E145+VLOOKUP(E144,PlanetData,3,0)+1),IF(E145,-1,1))-1,9)</f>
        <v>#N/A</v>
      </c>
      <c r="G143" s="279" t="e">
        <f ca="1">MOD(VLOOKUP(F144,PlanetData,3,0)+MATCH(F142,INDEX(VimFrac,0,9*F145+VLOOKUP(F144,PlanetData,3,0)+1),IF(F145,-1,1))-1,9)</f>
        <v>#N/A</v>
      </c>
      <c r="H143" s="279" t="e">
        <f ca="1">MOD(VLOOKUP(G144,PlanetData,3,0)+MATCH(G142,INDEX(VimFrac,0,9*G145+VLOOKUP(G144,PlanetData,3,0)+1),IF(G145,-1,1))-1,9)</f>
        <v>#N/A</v>
      </c>
      <c r="K143">
        <f>K135</f>
        <v>0</v>
      </c>
    </row>
    <row r="144" spans="1:15">
      <c r="A144" s="277" t="s">
        <v>459</v>
      </c>
      <c r="B144" s="278" t="str">
        <f>$B$4</f>
        <v>Moon</v>
      </c>
      <c r="C144" s="279" t="e">
        <f t="shared" ref="C144:H144" ca="1" si="33">INDEX(DasaYears,IF(C143=0,9,C143),1)</f>
        <v>#N/A</v>
      </c>
      <c r="D144" s="279" t="e">
        <f t="shared" ca="1" si="33"/>
        <v>#N/A</v>
      </c>
      <c r="E144" s="279" t="e">
        <f t="shared" ca="1" si="33"/>
        <v>#N/A</v>
      </c>
      <c r="F144" s="279" t="e">
        <f t="shared" ca="1" si="33"/>
        <v>#N/A</v>
      </c>
      <c r="G144" s="279" t="e">
        <f t="shared" ca="1" si="33"/>
        <v>#N/A</v>
      </c>
      <c r="H144" s="279" t="e">
        <f t="shared" ca="1" si="33"/>
        <v>#N/A</v>
      </c>
      <c r="I144" s="261">
        <f ca="1">INDIRECT("'JHora'!$B$"&amp;($K144))</f>
        <v>0</v>
      </c>
      <c r="J144" s="261">
        <f ca="1">INDIRECT("'JHora'!$C$"&amp;($K144))</f>
        <v>0</v>
      </c>
      <c r="K144">
        <f>K136+1</f>
        <v>17</v>
      </c>
    </row>
    <row r="145" spans="1:11">
      <c r="A145" s="277" t="s">
        <v>444</v>
      </c>
      <c r="B145" s="278" t="b">
        <f>$B$7</f>
        <v>1</v>
      </c>
      <c r="C145" s="279" t="e">
        <f ca="1">IF(VLOOKUP(C144,ChartInfo,11,0),1,0)*B145</f>
        <v>#N/A</v>
      </c>
      <c r="D145" s="279" t="e">
        <f ca="1">IF(VLOOKUP(D144,ChartInfo,11,0),1,0)*B145</f>
        <v>#N/A</v>
      </c>
      <c r="E145" s="279" t="e">
        <f ca="1">IF(VLOOKUP(E144,ChartInfo,11,0),1,0)*B145</f>
        <v>#N/A</v>
      </c>
      <c r="F145" s="279" t="e">
        <f ca="1">IF(VLOOKUP(F144,ChartInfo,11,0),1,0)*B145</f>
        <v>#N/A</v>
      </c>
      <c r="G145" s="279" t="e">
        <f ca="1">IF(VLOOKUP(G144,ChartInfo,11,0),1,0)*B145</f>
        <v>#N/A</v>
      </c>
      <c r="H145" s="279" t="e">
        <f ca="1">IF(VLOOKUP(H144,ChartInfo,11,0),1,0)*B145</f>
        <v>#N/A</v>
      </c>
      <c r="K145">
        <f>K137</f>
        <v>0</v>
      </c>
    </row>
    <row r="146" spans="1:11">
      <c r="K146">
        <f>K138+1</f>
        <v>17</v>
      </c>
    </row>
    <row r="147" spans="1:11">
      <c r="A147" s="274" t="s">
        <v>454</v>
      </c>
      <c r="B147" s="275">
        <f>DoB-$E$6*DaysInYear</f>
        <v>22567.7812953188</v>
      </c>
      <c r="C147" s="276" t="e">
        <f ca="1">B147+B149*INDEX(INDEX(VimFrac,,VLOOKUP(B152,PlanetData,3,0)+1),MATCH(B150,INDEX(VimFrac,,VLOOKUP(B152,PlanetData,3,0)+1),1))</f>
        <v>#N/A</v>
      </c>
      <c r="D147" s="276" t="e">
        <f ca="1">C147+C149*INDEX(INDEX(VimFrac,0,9*C153+VLOOKUP(C152,PlanetData,3,0)+1),IF(C153,1,0)+MATCH(C150,INDEX(VimFrac,0,9*C153+VLOOKUP(C152,PlanetData,3,0)+1),IF(C153,-1,1)))</f>
        <v>#N/A</v>
      </c>
      <c r="E147" s="276" t="e">
        <f ca="1">D147+D149*INDEX(INDEX(VimFrac,0,9*D153+VLOOKUP(D152,PlanetData,3,0)+1),IF(D153,1,0)+MATCH(D150,INDEX(VimFrac,0,9*D153+VLOOKUP(D152,PlanetData,3,0)+1),IF(D153,-1,1)))</f>
        <v>#N/A</v>
      </c>
      <c r="F147" s="276" t="e">
        <f ca="1">E147+E149*INDEX(INDEX(VimFrac,0,9*E153+VLOOKUP(E152,PlanetData,3,0)+1),IF(E153,1,0)+MATCH(E150,INDEX(VimFrac,0,9*E153+VLOOKUP(E152,PlanetData,3,0)+1),IF(E153,-1,1)))</f>
        <v>#N/A</v>
      </c>
      <c r="G147" s="276" t="e">
        <f ca="1">F147+F149*INDEX(INDEX(VimFrac,0,9*F153+VLOOKUP(F152,PlanetData,3,0)+1),IF(F153,1,0)+MATCH(F150,INDEX(VimFrac,0,9*F153+VLOOKUP(F152,PlanetData,3,0)+1),IF(F153,-1,1)))</f>
        <v>#N/A</v>
      </c>
      <c r="H147" s="276" t="e">
        <f ca="1">G147+G149*INDEX(INDEX(VimFrac,0,9*G153+VLOOKUP(G152,PlanetData,3,0)+1),IF(G153,1,0)+MATCH(G150,INDEX(VimFrac,0,9*G153+VLOOKUP(G152,PlanetData,3,0)+1),IF(G153,-1,1)))</f>
        <v>#N/A</v>
      </c>
      <c r="J147" s="259">
        <f ca="1">J152</f>
        <v>0</v>
      </c>
      <c r="K147">
        <f>K139+1</f>
        <v>18</v>
      </c>
    </row>
    <row r="148" spans="1:11">
      <c r="A148" s="274" t="s">
        <v>455</v>
      </c>
      <c r="B148" s="275">
        <f>B147+B149</f>
        <v>66398.36601754064</v>
      </c>
      <c r="C148" s="276" t="e">
        <f ca="1">B147+B149*INDEX(INDEX(VimFrac,,VLOOKUP(B152,PlanetData,3,0)+1),MATCH(B150,INDEX(VimFrac,,VLOOKUP(B152,PlanetData,3,0)+1),1)+1)</f>
        <v>#N/A</v>
      </c>
      <c r="D148" s="276" t="e">
        <f ca="1">C147+C149*INDEX(INDEX(VimFrac,0,9*C153+VLOOKUP(C152,PlanetData,3,0)+1),IF(C153,0,1)+MATCH(C150,INDEX(VimFrac,0,9*C153+VLOOKUP(C152,PlanetData,3,0)+1),IF(C153,-1,1)))</f>
        <v>#N/A</v>
      </c>
      <c r="E148" s="276" t="e">
        <f ca="1">D147+D149*INDEX(INDEX(VimFrac,0,9*D153+VLOOKUP(D152,PlanetData,3,0)+1),IF(D153,0,1)+MATCH(D150,INDEX(VimFrac,0,9*D153+VLOOKUP(D152,PlanetData,3,0)+1),IF(D153,-1,1)))</f>
        <v>#N/A</v>
      </c>
      <c r="F148" s="276" t="e">
        <f ca="1">E147+E149*INDEX(INDEX(VimFrac,0,9*E153+VLOOKUP(E152,PlanetData,3,0)+1),IF(E153,0,1)+MATCH(E150,INDEX(VimFrac,0,9*E153+VLOOKUP(E152,PlanetData,3,0)+1),IF(E153,-1,1)))</f>
        <v>#N/A</v>
      </c>
      <c r="G148" s="276" t="e">
        <f ca="1">F147+F149*INDEX(INDEX(VimFrac,0,9*F153+VLOOKUP(F152,PlanetData,3,0)+1),IF(F153,0,1)+MATCH(F150,INDEX(VimFrac,0,9*F153+VLOOKUP(F152,PlanetData,3,0)+1),IF(F153,-1,1)))</f>
        <v>#N/A</v>
      </c>
      <c r="H148" s="276" t="e">
        <f ca="1">G147+G149*INDEX(INDEX(VimFrac,0,9*G153+VLOOKUP(G152,PlanetData,3,0)+1),IF(G153,0,1)+MATCH(G150,INDEX(VimFrac,0,9*G153+VLOOKUP(G152,PlanetData,3,0)+1),IF(G153,-1,1)))</f>
        <v>#N/A</v>
      </c>
      <c r="J148" s="259">
        <f ca="1">J152</f>
        <v>0</v>
      </c>
      <c r="K148">
        <f>K140+1</f>
        <v>18</v>
      </c>
    </row>
    <row r="149" spans="1:11">
      <c r="A149" s="277" t="s">
        <v>456</v>
      </c>
      <c r="B149" s="278">
        <f>120*DaysInYear</f>
        <v>43830.584722221844</v>
      </c>
      <c r="C149" s="279" t="e">
        <f t="shared" ref="C149:H149" ca="1" si="34">C148-C147</f>
        <v>#N/A</v>
      </c>
      <c r="D149" s="279" t="e">
        <f t="shared" ca="1" si="34"/>
        <v>#N/A</v>
      </c>
      <c r="E149" s="279" t="e">
        <f t="shared" ca="1" si="34"/>
        <v>#N/A</v>
      </c>
      <c r="F149" s="279" t="e">
        <f t="shared" ca="1" si="34"/>
        <v>#N/A</v>
      </c>
      <c r="G149" s="279" t="e">
        <f t="shared" ca="1" si="34"/>
        <v>#N/A</v>
      </c>
      <c r="H149" s="279" t="e">
        <f t="shared" ca="1" si="34"/>
        <v>#N/A</v>
      </c>
      <c r="K149">
        <f>K141</f>
        <v>0</v>
      </c>
    </row>
    <row r="150" spans="1:11">
      <c r="A150" s="277" t="s">
        <v>457</v>
      </c>
      <c r="B150" s="280">
        <f ca="1">(I152-B147)/(B148-B147)</f>
        <v>-0.51488661258669155</v>
      </c>
      <c r="C150" s="281" t="e">
        <f ca="1">(I152-C147)/(C148-C147)</f>
        <v>#N/A</v>
      </c>
      <c r="D150" s="281" t="e">
        <f ca="1">(I152-D147)/(D148-D147)</f>
        <v>#N/A</v>
      </c>
      <c r="E150" s="281" t="e">
        <f ca="1">(I152-E147)/(E148-E147)</f>
        <v>#N/A</v>
      </c>
      <c r="F150" s="281" t="e">
        <f ca="1">(I152-F147)/(F148-F147)</f>
        <v>#N/A</v>
      </c>
      <c r="G150" s="281" t="e">
        <f ca="1">(I152-G147)/(G148-G147)</f>
        <v>#N/A</v>
      </c>
      <c r="H150" s="281" t="e">
        <f ca="1">(I152-H147)/(H148-H147)</f>
        <v>#N/A</v>
      </c>
      <c r="K150">
        <f>K142</f>
        <v>0</v>
      </c>
    </row>
    <row r="151" spans="1:11">
      <c r="A151" s="277" t="s">
        <v>458</v>
      </c>
      <c r="B151" s="278"/>
      <c r="C151" s="279" t="e">
        <f ca="1">MOD(VLOOKUP(B152,PlanetData,3,0)+MATCH(B150,INDEX(VimFrac,,VLOOKUP(B152,PlanetData,3,0)+1),1)-1,9)</f>
        <v>#N/A</v>
      </c>
      <c r="D151" s="279" t="e">
        <f ca="1">MOD(VLOOKUP(C152,PlanetData,3,0)+MATCH(C150,INDEX(VimFrac,0,9*C153+VLOOKUP(C152,PlanetData,3,0)+1),IF(C153,-1,1))-1,9)</f>
        <v>#N/A</v>
      </c>
      <c r="E151" s="279" t="e">
        <f ca="1">MOD(VLOOKUP(D152,PlanetData,3,0)+MATCH(D150,INDEX(VimFrac,0,9*D153+VLOOKUP(D152,PlanetData,3,0)+1),IF(D153,-1,1))-1,9)</f>
        <v>#N/A</v>
      </c>
      <c r="F151" s="279" t="e">
        <f ca="1">MOD(VLOOKUP(E152,PlanetData,3,0)+MATCH(E150,INDEX(VimFrac,0,9*E153+VLOOKUP(E152,PlanetData,3,0)+1),IF(E153,-1,1))-1,9)</f>
        <v>#N/A</v>
      </c>
      <c r="G151" s="279" t="e">
        <f ca="1">MOD(VLOOKUP(F152,PlanetData,3,0)+MATCH(F150,INDEX(VimFrac,0,9*F153+VLOOKUP(F152,PlanetData,3,0)+1),IF(F153,-1,1))-1,9)</f>
        <v>#N/A</v>
      </c>
      <c r="H151" s="279" t="e">
        <f ca="1">MOD(VLOOKUP(G152,PlanetData,3,0)+MATCH(G150,INDEX(VimFrac,0,9*G153+VLOOKUP(G152,PlanetData,3,0)+1),IF(G153,-1,1))-1,9)</f>
        <v>#N/A</v>
      </c>
      <c r="K151">
        <f>K143</f>
        <v>0</v>
      </c>
    </row>
    <row r="152" spans="1:11">
      <c r="A152" s="277" t="s">
        <v>459</v>
      </c>
      <c r="B152" s="278" t="str">
        <f>$B$4</f>
        <v>Moon</v>
      </c>
      <c r="C152" s="279" t="e">
        <f t="shared" ref="C152:H152" ca="1" si="35">INDEX(DasaYears,IF(C151=0,9,C151),1)</f>
        <v>#N/A</v>
      </c>
      <c r="D152" s="279" t="e">
        <f t="shared" ca="1" si="35"/>
        <v>#N/A</v>
      </c>
      <c r="E152" s="279" t="e">
        <f t="shared" ca="1" si="35"/>
        <v>#N/A</v>
      </c>
      <c r="F152" s="279" t="e">
        <f t="shared" ca="1" si="35"/>
        <v>#N/A</v>
      </c>
      <c r="G152" s="279" t="e">
        <f t="shared" ca="1" si="35"/>
        <v>#N/A</v>
      </c>
      <c r="H152" s="279" t="e">
        <f t="shared" ca="1" si="35"/>
        <v>#N/A</v>
      </c>
      <c r="I152" s="261">
        <f ca="1">INDIRECT("'JHora'!$B$"&amp;($K152))</f>
        <v>0</v>
      </c>
      <c r="J152" s="261">
        <f ca="1">INDIRECT("'JHora'!$C$"&amp;($K152))</f>
        <v>0</v>
      </c>
      <c r="K152">
        <f>K144+1</f>
        <v>18</v>
      </c>
    </row>
    <row r="153" spans="1:11">
      <c r="A153" s="277" t="s">
        <v>444</v>
      </c>
      <c r="B153" s="278" t="b">
        <f>$B$7</f>
        <v>1</v>
      </c>
      <c r="C153" s="279" t="e">
        <f ca="1">IF(VLOOKUP(C152,ChartInfo,11,0),1,0)*B153</f>
        <v>#N/A</v>
      </c>
      <c r="D153" s="279" t="e">
        <f ca="1">IF(VLOOKUP(D152,ChartInfo,11,0),1,0)*B153</f>
        <v>#N/A</v>
      </c>
      <c r="E153" s="279" t="e">
        <f ca="1">IF(VLOOKUP(E152,ChartInfo,11,0),1,0)*B153</f>
        <v>#N/A</v>
      </c>
      <c r="F153" s="279" t="e">
        <f ca="1">IF(VLOOKUP(F152,ChartInfo,11,0),1,0)*B153</f>
        <v>#N/A</v>
      </c>
      <c r="G153" s="279" t="e">
        <f ca="1">IF(VLOOKUP(G152,ChartInfo,11,0),1,0)*B153</f>
        <v>#N/A</v>
      </c>
      <c r="H153" s="279" t="e">
        <f ca="1">IF(VLOOKUP(H152,ChartInfo,11,0),1,0)*B153</f>
        <v>#N/A</v>
      </c>
      <c r="K153">
        <f>K145</f>
        <v>0</v>
      </c>
    </row>
    <row r="154" spans="1:11">
      <c r="K154">
        <f>K146+1</f>
        <v>18</v>
      </c>
    </row>
    <row r="155" spans="1:11">
      <c r="A155" s="274" t="s">
        <v>454</v>
      </c>
      <c r="B155" s="275">
        <f>DoB-$E$6*DaysInYear</f>
        <v>22567.7812953188</v>
      </c>
      <c r="C155" s="276" t="e">
        <f ca="1">B155+B157*INDEX(INDEX(VimFrac,,VLOOKUP(B160,PlanetData,3,0)+1),MATCH(B158,INDEX(VimFrac,,VLOOKUP(B160,PlanetData,3,0)+1),1))</f>
        <v>#N/A</v>
      </c>
      <c r="D155" s="276" t="e">
        <f ca="1">C155+C157*INDEX(INDEX(VimFrac,0,9*C161+VLOOKUP(C160,PlanetData,3,0)+1),IF(C161,1,0)+MATCH(C158,INDEX(VimFrac,0,9*C161+VLOOKUP(C160,PlanetData,3,0)+1),IF(C161,-1,1)))</f>
        <v>#N/A</v>
      </c>
      <c r="E155" s="276" t="e">
        <f ca="1">D155+D157*INDEX(INDEX(VimFrac,0,9*D161+VLOOKUP(D160,PlanetData,3,0)+1),IF(D161,1,0)+MATCH(D158,INDEX(VimFrac,0,9*D161+VLOOKUP(D160,PlanetData,3,0)+1),IF(D161,-1,1)))</f>
        <v>#N/A</v>
      </c>
      <c r="F155" s="276" t="e">
        <f ca="1">E155+E157*INDEX(INDEX(VimFrac,0,9*E161+VLOOKUP(E160,PlanetData,3,0)+1),IF(E161,1,0)+MATCH(E158,INDEX(VimFrac,0,9*E161+VLOOKUP(E160,PlanetData,3,0)+1),IF(E161,-1,1)))</f>
        <v>#N/A</v>
      </c>
      <c r="G155" s="276" t="e">
        <f ca="1">F155+F157*INDEX(INDEX(VimFrac,0,9*F161+VLOOKUP(F160,PlanetData,3,0)+1),IF(F161,1,0)+MATCH(F158,INDEX(VimFrac,0,9*F161+VLOOKUP(F160,PlanetData,3,0)+1),IF(F161,-1,1)))</f>
        <v>#N/A</v>
      </c>
      <c r="H155" s="276" t="e">
        <f ca="1">G155+G157*INDEX(INDEX(VimFrac,0,9*G161+VLOOKUP(G160,PlanetData,3,0)+1),IF(G161,1,0)+MATCH(G158,INDEX(VimFrac,0,9*G161+VLOOKUP(G160,PlanetData,3,0)+1),IF(G161,-1,1)))</f>
        <v>#N/A</v>
      </c>
      <c r="J155" s="259">
        <f ca="1">J160</f>
        <v>0</v>
      </c>
      <c r="K155">
        <f>K147+1</f>
        <v>19</v>
      </c>
    </row>
    <row r="156" spans="1:11">
      <c r="A156" s="274" t="s">
        <v>455</v>
      </c>
      <c r="B156" s="275">
        <f>B155+B157</f>
        <v>66398.36601754064</v>
      </c>
      <c r="C156" s="276" t="e">
        <f ca="1">B155+B157*INDEX(INDEX(VimFrac,,VLOOKUP(B160,PlanetData,3,0)+1),MATCH(B158,INDEX(VimFrac,,VLOOKUP(B160,PlanetData,3,0)+1),1)+1)</f>
        <v>#N/A</v>
      </c>
      <c r="D156" s="276" t="e">
        <f ca="1">C155+C157*INDEX(INDEX(VimFrac,0,9*C161+VLOOKUP(C160,PlanetData,3,0)+1),IF(C161,0,1)+MATCH(C158,INDEX(VimFrac,0,9*C161+VLOOKUP(C160,PlanetData,3,0)+1),IF(C161,-1,1)))</f>
        <v>#N/A</v>
      </c>
      <c r="E156" s="276" t="e">
        <f ca="1">D155+D157*INDEX(INDEX(VimFrac,0,9*D161+VLOOKUP(D160,PlanetData,3,0)+1),IF(D161,0,1)+MATCH(D158,INDEX(VimFrac,0,9*D161+VLOOKUP(D160,PlanetData,3,0)+1),IF(D161,-1,1)))</f>
        <v>#N/A</v>
      </c>
      <c r="F156" s="276" t="e">
        <f ca="1">E155+E157*INDEX(INDEX(VimFrac,0,9*E161+VLOOKUP(E160,PlanetData,3,0)+1),IF(E161,0,1)+MATCH(E158,INDEX(VimFrac,0,9*E161+VLOOKUP(E160,PlanetData,3,0)+1),IF(E161,-1,1)))</f>
        <v>#N/A</v>
      </c>
      <c r="G156" s="276" t="e">
        <f ca="1">F155+F157*INDEX(INDEX(VimFrac,0,9*F161+VLOOKUP(F160,PlanetData,3,0)+1),IF(F161,0,1)+MATCH(F158,INDEX(VimFrac,0,9*F161+VLOOKUP(F160,PlanetData,3,0)+1),IF(F161,-1,1)))</f>
        <v>#N/A</v>
      </c>
      <c r="H156" s="276" t="e">
        <f ca="1">G155+G157*INDEX(INDEX(VimFrac,0,9*G161+VLOOKUP(G160,PlanetData,3,0)+1),IF(G161,0,1)+MATCH(G158,INDEX(VimFrac,0,9*G161+VLOOKUP(G160,PlanetData,3,0)+1),IF(G161,-1,1)))</f>
        <v>#N/A</v>
      </c>
      <c r="J156" s="259">
        <f ca="1">J160</f>
        <v>0</v>
      </c>
      <c r="K156">
        <f>K148+1</f>
        <v>19</v>
      </c>
    </row>
    <row r="157" spans="1:11">
      <c r="A157" s="277" t="s">
        <v>456</v>
      </c>
      <c r="B157" s="278">
        <f>120*DaysInYear</f>
        <v>43830.584722221844</v>
      </c>
      <c r="C157" s="279" t="e">
        <f t="shared" ref="C157:H157" ca="1" si="36">C156-C155</f>
        <v>#N/A</v>
      </c>
      <c r="D157" s="279" t="e">
        <f t="shared" ca="1" si="36"/>
        <v>#N/A</v>
      </c>
      <c r="E157" s="279" t="e">
        <f t="shared" ca="1" si="36"/>
        <v>#N/A</v>
      </c>
      <c r="F157" s="279" t="e">
        <f t="shared" ca="1" si="36"/>
        <v>#N/A</v>
      </c>
      <c r="G157" s="279" t="e">
        <f t="shared" ca="1" si="36"/>
        <v>#N/A</v>
      </c>
      <c r="H157" s="279" t="e">
        <f t="shared" ca="1" si="36"/>
        <v>#N/A</v>
      </c>
      <c r="K157">
        <f>K149</f>
        <v>0</v>
      </c>
    </row>
    <row r="158" spans="1:11">
      <c r="A158" s="277" t="s">
        <v>457</v>
      </c>
      <c r="B158" s="280">
        <f ca="1">(I160-B155)/(B156-B155)</f>
        <v>-0.51488661258669155</v>
      </c>
      <c r="C158" s="281" t="e">
        <f ca="1">(I160-C155)/(C156-C155)</f>
        <v>#N/A</v>
      </c>
      <c r="D158" s="281" t="e">
        <f ca="1">(I160-D155)/(D156-D155)</f>
        <v>#N/A</v>
      </c>
      <c r="E158" s="281" t="e">
        <f ca="1">(I160-E155)/(E156-E155)</f>
        <v>#N/A</v>
      </c>
      <c r="F158" s="281" t="e">
        <f ca="1">(I160-F155)/(F156-F155)</f>
        <v>#N/A</v>
      </c>
      <c r="G158" s="281" t="e">
        <f ca="1">(I160-G155)/(G156-G155)</f>
        <v>#N/A</v>
      </c>
      <c r="H158" s="281" t="e">
        <f ca="1">(I160-H155)/(H156-H155)</f>
        <v>#N/A</v>
      </c>
      <c r="K158">
        <f>K150</f>
        <v>0</v>
      </c>
    </row>
    <row r="159" spans="1:11">
      <c r="A159" s="277" t="s">
        <v>458</v>
      </c>
      <c r="B159" s="278"/>
      <c r="C159" s="279" t="e">
        <f ca="1">MOD(VLOOKUP(B160,PlanetData,3,0)+MATCH(B158,INDEX(VimFrac,,VLOOKUP(B160,PlanetData,3,0)+1),1)-1,9)</f>
        <v>#N/A</v>
      </c>
      <c r="D159" s="279" t="e">
        <f ca="1">MOD(VLOOKUP(C160,PlanetData,3,0)+MATCH(C158,INDEX(VimFrac,0,9*C161+VLOOKUP(C160,PlanetData,3,0)+1),IF(C161,-1,1))-1,9)</f>
        <v>#N/A</v>
      </c>
      <c r="E159" s="279" t="e">
        <f ca="1">MOD(VLOOKUP(D160,PlanetData,3,0)+MATCH(D158,INDEX(VimFrac,0,9*D161+VLOOKUP(D160,PlanetData,3,0)+1),IF(D161,-1,1))-1,9)</f>
        <v>#N/A</v>
      </c>
      <c r="F159" s="279" t="e">
        <f ca="1">MOD(VLOOKUP(E160,PlanetData,3,0)+MATCH(E158,INDEX(VimFrac,0,9*E161+VLOOKUP(E160,PlanetData,3,0)+1),IF(E161,-1,1))-1,9)</f>
        <v>#N/A</v>
      </c>
      <c r="G159" s="279" t="e">
        <f ca="1">MOD(VLOOKUP(F160,PlanetData,3,0)+MATCH(F158,INDEX(VimFrac,0,9*F161+VLOOKUP(F160,PlanetData,3,0)+1),IF(F161,-1,1))-1,9)</f>
        <v>#N/A</v>
      </c>
      <c r="H159" s="279" t="e">
        <f ca="1">MOD(VLOOKUP(G160,PlanetData,3,0)+MATCH(G158,INDEX(VimFrac,0,9*G161+VLOOKUP(G160,PlanetData,3,0)+1),IF(G161,-1,1))-1,9)</f>
        <v>#N/A</v>
      </c>
      <c r="K159">
        <f>K151</f>
        <v>0</v>
      </c>
    </row>
    <row r="160" spans="1:11">
      <c r="A160" s="277" t="s">
        <v>459</v>
      </c>
      <c r="B160" s="278" t="str">
        <f>$B$4</f>
        <v>Moon</v>
      </c>
      <c r="C160" s="279" t="e">
        <f t="shared" ref="C160:H160" ca="1" si="37">INDEX(DasaYears,IF(C159=0,9,C159),1)</f>
        <v>#N/A</v>
      </c>
      <c r="D160" s="279" t="e">
        <f t="shared" ca="1" si="37"/>
        <v>#N/A</v>
      </c>
      <c r="E160" s="279" t="e">
        <f t="shared" ca="1" si="37"/>
        <v>#N/A</v>
      </c>
      <c r="F160" s="279" t="e">
        <f t="shared" ca="1" si="37"/>
        <v>#N/A</v>
      </c>
      <c r="G160" s="279" t="e">
        <f t="shared" ca="1" si="37"/>
        <v>#N/A</v>
      </c>
      <c r="H160" s="279" t="e">
        <f t="shared" ca="1" si="37"/>
        <v>#N/A</v>
      </c>
      <c r="I160" s="261">
        <f ca="1">INDIRECT("'JHora'!$B$"&amp;($K160))</f>
        <v>0</v>
      </c>
      <c r="J160" s="261">
        <f ca="1">INDIRECT("'JHora'!$C$"&amp;($K160))</f>
        <v>0</v>
      </c>
      <c r="K160">
        <f>K152+1</f>
        <v>19</v>
      </c>
    </row>
    <row r="161" spans="1:11">
      <c r="A161" s="277" t="s">
        <v>444</v>
      </c>
      <c r="B161" s="278" t="b">
        <f>$B$7</f>
        <v>1</v>
      </c>
      <c r="C161" s="279" t="e">
        <f ca="1">IF(VLOOKUP(C160,ChartInfo,11,0),1,0)*B161</f>
        <v>#N/A</v>
      </c>
      <c r="D161" s="279" t="e">
        <f ca="1">IF(VLOOKUP(D160,ChartInfo,11,0),1,0)*B161</f>
        <v>#N/A</v>
      </c>
      <c r="E161" s="279" t="e">
        <f ca="1">IF(VLOOKUP(E160,ChartInfo,11,0),1,0)*B161</f>
        <v>#N/A</v>
      </c>
      <c r="F161" s="279" t="e">
        <f ca="1">IF(VLOOKUP(F160,ChartInfo,11,0),1,0)*B161</f>
        <v>#N/A</v>
      </c>
      <c r="G161" s="279" t="e">
        <f ca="1">IF(VLOOKUP(G160,ChartInfo,11,0),1,0)*B161</f>
        <v>#N/A</v>
      </c>
      <c r="H161" s="279" t="e">
        <f ca="1">IF(VLOOKUP(H160,ChartInfo,11,0),1,0)*B161</f>
        <v>#N/A</v>
      </c>
      <c r="K161">
        <f>K153</f>
        <v>0</v>
      </c>
    </row>
    <row r="162" spans="1:11">
      <c r="K162">
        <f>K154+1</f>
        <v>19</v>
      </c>
    </row>
    <row r="163" spans="1:11">
      <c r="A163" s="274" t="s">
        <v>454</v>
      </c>
      <c r="B163" s="275">
        <f>DoB-$E$6*DaysInYear</f>
        <v>22567.7812953188</v>
      </c>
      <c r="C163" s="276" t="e">
        <f ca="1">B163+B165*INDEX(INDEX(VimFrac,,VLOOKUP(B168,PlanetData,3,0)+1),MATCH(B166,INDEX(VimFrac,,VLOOKUP(B168,PlanetData,3,0)+1),1))</f>
        <v>#N/A</v>
      </c>
      <c r="D163" s="276" t="e">
        <f ca="1">C163+C165*INDEX(INDEX(VimFrac,0,9*C169+VLOOKUP(C168,PlanetData,3,0)+1),IF(C169,1,0)+MATCH(C166,INDEX(VimFrac,0,9*C169+VLOOKUP(C168,PlanetData,3,0)+1),IF(C169,-1,1)))</f>
        <v>#N/A</v>
      </c>
      <c r="E163" s="276" t="e">
        <f ca="1">D163+D165*INDEX(INDEX(VimFrac,0,9*D169+VLOOKUP(D168,PlanetData,3,0)+1),IF(D169,1,0)+MATCH(D166,INDEX(VimFrac,0,9*D169+VLOOKUP(D168,PlanetData,3,0)+1),IF(D169,-1,1)))</f>
        <v>#N/A</v>
      </c>
      <c r="F163" s="276" t="e">
        <f ca="1">E163+E165*INDEX(INDEX(VimFrac,0,9*E169+VLOOKUP(E168,PlanetData,3,0)+1),IF(E169,1,0)+MATCH(E166,INDEX(VimFrac,0,9*E169+VLOOKUP(E168,PlanetData,3,0)+1),IF(E169,-1,1)))</f>
        <v>#N/A</v>
      </c>
      <c r="G163" s="276" t="e">
        <f ca="1">F163+F165*INDEX(INDEX(VimFrac,0,9*F169+VLOOKUP(F168,PlanetData,3,0)+1),IF(F169,1,0)+MATCH(F166,INDEX(VimFrac,0,9*F169+VLOOKUP(F168,PlanetData,3,0)+1),IF(F169,-1,1)))</f>
        <v>#N/A</v>
      </c>
      <c r="H163" s="276" t="e">
        <f ca="1">G163+G165*INDEX(INDEX(VimFrac,0,9*G169+VLOOKUP(G168,PlanetData,3,0)+1),IF(G169,1,0)+MATCH(G166,INDEX(VimFrac,0,9*G169+VLOOKUP(G168,PlanetData,3,0)+1),IF(G169,-1,1)))</f>
        <v>#N/A</v>
      </c>
      <c r="J163" s="259">
        <f ca="1">J168</f>
        <v>0</v>
      </c>
      <c r="K163">
        <f>K155+1</f>
        <v>20</v>
      </c>
    </row>
    <row r="164" spans="1:11">
      <c r="A164" s="274" t="s">
        <v>455</v>
      </c>
      <c r="B164" s="275">
        <f>B163+B165</f>
        <v>66398.36601754064</v>
      </c>
      <c r="C164" s="276" t="e">
        <f ca="1">B163+B165*INDEX(INDEX(VimFrac,,VLOOKUP(B168,PlanetData,3,0)+1),MATCH(B166,INDEX(VimFrac,,VLOOKUP(B168,PlanetData,3,0)+1),1)+1)</f>
        <v>#N/A</v>
      </c>
      <c r="D164" s="276" t="e">
        <f ca="1">C163+C165*INDEX(INDEX(VimFrac,0,9*C169+VLOOKUP(C168,PlanetData,3,0)+1),IF(C169,0,1)+MATCH(C166,INDEX(VimFrac,0,9*C169+VLOOKUP(C168,PlanetData,3,0)+1),IF(C169,-1,1)))</f>
        <v>#N/A</v>
      </c>
      <c r="E164" s="276" t="e">
        <f ca="1">D163+D165*INDEX(INDEX(VimFrac,0,9*D169+VLOOKUP(D168,PlanetData,3,0)+1),IF(D169,0,1)+MATCH(D166,INDEX(VimFrac,0,9*D169+VLOOKUP(D168,PlanetData,3,0)+1),IF(D169,-1,1)))</f>
        <v>#N/A</v>
      </c>
      <c r="F164" s="276" t="e">
        <f ca="1">E163+E165*INDEX(INDEX(VimFrac,0,9*E169+VLOOKUP(E168,PlanetData,3,0)+1),IF(E169,0,1)+MATCH(E166,INDEX(VimFrac,0,9*E169+VLOOKUP(E168,PlanetData,3,0)+1),IF(E169,-1,1)))</f>
        <v>#N/A</v>
      </c>
      <c r="G164" s="276" t="e">
        <f ca="1">F163+F165*INDEX(INDEX(VimFrac,0,9*F169+VLOOKUP(F168,PlanetData,3,0)+1),IF(F169,0,1)+MATCH(F166,INDEX(VimFrac,0,9*F169+VLOOKUP(F168,PlanetData,3,0)+1),IF(F169,-1,1)))</f>
        <v>#N/A</v>
      </c>
      <c r="H164" s="276" t="e">
        <f ca="1">G163+G165*INDEX(INDEX(VimFrac,0,9*G169+VLOOKUP(G168,PlanetData,3,0)+1),IF(G169,0,1)+MATCH(G166,INDEX(VimFrac,0,9*G169+VLOOKUP(G168,PlanetData,3,0)+1),IF(G169,-1,1)))</f>
        <v>#N/A</v>
      </c>
      <c r="J164" s="259">
        <f ca="1">J168</f>
        <v>0</v>
      </c>
      <c r="K164">
        <f>K156+1</f>
        <v>20</v>
      </c>
    </row>
    <row r="165" spans="1:11">
      <c r="A165" s="277" t="s">
        <v>456</v>
      </c>
      <c r="B165" s="278">
        <f>120*DaysInYear</f>
        <v>43830.584722221844</v>
      </c>
      <c r="C165" s="279" t="e">
        <f t="shared" ref="C165:H165" ca="1" si="38">C164-C163</f>
        <v>#N/A</v>
      </c>
      <c r="D165" s="279" t="e">
        <f t="shared" ca="1" si="38"/>
        <v>#N/A</v>
      </c>
      <c r="E165" s="279" t="e">
        <f t="shared" ca="1" si="38"/>
        <v>#N/A</v>
      </c>
      <c r="F165" s="279" t="e">
        <f t="shared" ca="1" si="38"/>
        <v>#N/A</v>
      </c>
      <c r="G165" s="279" t="e">
        <f t="shared" ca="1" si="38"/>
        <v>#N/A</v>
      </c>
      <c r="H165" s="279" t="e">
        <f t="shared" ca="1" si="38"/>
        <v>#N/A</v>
      </c>
      <c r="K165">
        <f>K157</f>
        <v>0</v>
      </c>
    </row>
    <row r="166" spans="1:11">
      <c r="A166" s="277" t="s">
        <v>457</v>
      </c>
      <c r="B166" s="280">
        <f ca="1">(I168-B163)/(B164-B163)</f>
        <v>-0.51488661258669155</v>
      </c>
      <c r="C166" s="281" t="e">
        <f ca="1">(I168-C163)/(C164-C163)</f>
        <v>#N/A</v>
      </c>
      <c r="D166" s="281" t="e">
        <f ca="1">(I168-D163)/(D164-D163)</f>
        <v>#N/A</v>
      </c>
      <c r="E166" s="281" t="e">
        <f ca="1">(I168-E163)/(E164-E163)</f>
        <v>#N/A</v>
      </c>
      <c r="F166" s="281" t="e">
        <f ca="1">(I168-F163)/(F164-F163)</f>
        <v>#N/A</v>
      </c>
      <c r="G166" s="281" t="e">
        <f ca="1">(I168-G163)/(G164-G163)</f>
        <v>#N/A</v>
      </c>
      <c r="H166" s="281" t="e">
        <f ca="1">(I168-H163)/(H164-H163)</f>
        <v>#N/A</v>
      </c>
      <c r="K166">
        <f>K158</f>
        <v>0</v>
      </c>
    </row>
    <row r="167" spans="1:11">
      <c r="A167" s="277" t="s">
        <v>458</v>
      </c>
      <c r="B167" s="278"/>
      <c r="C167" s="279" t="e">
        <f ca="1">MOD(VLOOKUP(B168,PlanetData,3,0)+MATCH(B166,INDEX(VimFrac,,VLOOKUP(B168,PlanetData,3,0)+1),1)-1,9)</f>
        <v>#N/A</v>
      </c>
      <c r="D167" s="279" t="e">
        <f ca="1">MOD(VLOOKUP(C168,PlanetData,3,0)+MATCH(C166,INDEX(VimFrac,0,9*C169+VLOOKUP(C168,PlanetData,3,0)+1),IF(C169,-1,1))-1,9)</f>
        <v>#N/A</v>
      </c>
      <c r="E167" s="279" t="e">
        <f ca="1">MOD(VLOOKUP(D168,PlanetData,3,0)+MATCH(D166,INDEX(VimFrac,0,9*D169+VLOOKUP(D168,PlanetData,3,0)+1),IF(D169,-1,1))-1,9)</f>
        <v>#N/A</v>
      </c>
      <c r="F167" s="279" t="e">
        <f ca="1">MOD(VLOOKUP(E168,PlanetData,3,0)+MATCH(E166,INDEX(VimFrac,0,9*E169+VLOOKUP(E168,PlanetData,3,0)+1),IF(E169,-1,1))-1,9)</f>
        <v>#N/A</v>
      </c>
      <c r="G167" s="279" t="e">
        <f ca="1">MOD(VLOOKUP(F168,PlanetData,3,0)+MATCH(F166,INDEX(VimFrac,0,9*F169+VLOOKUP(F168,PlanetData,3,0)+1),IF(F169,-1,1))-1,9)</f>
        <v>#N/A</v>
      </c>
      <c r="H167" s="279" t="e">
        <f ca="1">MOD(VLOOKUP(G168,PlanetData,3,0)+MATCH(G166,INDEX(VimFrac,0,9*G169+VLOOKUP(G168,PlanetData,3,0)+1),IF(G169,-1,1))-1,9)</f>
        <v>#N/A</v>
      </c>
      <c r="K167">
        <f>K159</f>
        <v>0</v>
      </c>
    </row>
    <row r="168" spans="1:11">
      <c r="A168" s="277" t="s">
        <v>459</v>
      </c>
      <c r="B168" s="278" t="str">
        <f>$B$4</f>
        <v>Moon</v>
      </c>
      <c r="C168" s="279" t="e">
        <f t="shared" ref="C168:H168" ca="1" si="39">INDEX(DasaYears,IF(C167=0,9,C167),1)</f>
        <v>#N/A</v>
      </c>
      <c r="D168" s="279" t="e">
        <f t="shared" ca="1" si="39"/>
        <v>#N/A</v>
      </c>
      <c r="E168" s="279" t="e">
        <f t="shared" ca="1" si="39"/>
        <v>#N/A</v>
      </c>
      <c r="F168" s="279" t="e">
        <f t="shared" ca="1" si="39"/>
        <v>#N/A</v>
      </c>
      <c r="G168" s="279" t="e">
        <f t="shared" ca="1" si="39"/>
        <v>#N/A</v>
      </c>
      <c r="H168" s="279" t="e">
        <f t="shared" ca="1" si="39"/>
        <v>#N/A</v>
      </c>
      <c r="I168" s="261">
        <f ca="1">INDIRECT("'JHora'!$B$"&amp;($K168))</f>
        <v>0</v>
      </c>
      <c r="J168" s="261">
        <f ca="1">INDIRECT("'JHora'!$C$"&amp;($K168))</f>
        <v>0</v>
      </c>
      <c r="K168">
        <f>K160+1</f>
        <v>20</v>
      </c>
    </row>
    <row r="169" spans="1:11">
      <c r="A169" s="277" t="s">
        <v>444</v>
      </c>
      <c r="B169" s="278" t="b">
        <f>$B$7</f>
        <v>1</v>
      </c>
      <c r="C169" s="279" t="e">
        <f ca="1">IF(VLOOKUP(C168,ChartInfo,11,0),1,0)*B169</f>
        <v>#N/A</v>
      </c>
      <c r="D169" s="279" t="e">
        <f ca="1">IF(VLOOKUP(D168,ChartInfo,11,0),1,0)*B169</f>
        <v>#N/A</v>
      </c>
      <c r="E169" s="279" t="e">
        <f ca="1">IF(VLOOKUP(E168,ChartInfo,11,0),1,0)*B169</f>
        <v>#N/A</v>
      </c>
      <c r="F169" s="279" t="e">
        <f ca="1">IF(VLOOKUP(F168,ChartInfo,11,0),1,0)*B169</f>
        <v>#N/A</v>
      </c>
      <c r="G169" s="279" t="e">
        <f ca="1">IF(VLOOKUP(G168,ChartInfo,11,0),1,0)*B169</f>
        <v>#N/A</v>
      </c>
      <c r="H169" s="279" t="e">
        <f ca="1">IF(VLOOKUP(H168,ChartInfo,11,0),1,0)*B169</f>
        <v>#N/A</v>
      </c>
      <c r="K169">
        <f>K161</f>
        <v>0</v>
      </c>
    </row>
    <row r="170" spans="1:11">
      <c r="K170">
        <f>K162+1</f>
        <v>20</v>
      </c>
    </row>
    <row r="171" spans="1:11">
      <c r="A171" s="274" t="s">
        <v>454</v>
      </c>
      <c r="B171" s="275">
        <f>DoB-$E$6*DaysInYear</f>
        <v>22567.7812953188</v>
      </c>
      <c r="C171" s="276" t="e">
        <f ca="1">B171+B173*INDEX(INDEX(VimFrac,,VLOOKUP(B176,PlanetData,3,0)+1),MATCH(B174,INDEX(VimFrac,,VLOOKUP(B176,PlanetData,3,0)+1),1))</f>
        <v>#N/A</v>
      </c>
      <c r="D171" s="276" t="e">
        <f ca="1">C171+C173*INDEX(INDEX(VimFrac,0,9*C177+VLOOKUP(C176,PlanetData,3,0)+1),IF(C177,1,0)+MATCH(C174,INDEX(VimFrac,0,9*C177+VLOOKUP(C176,PlanetData,3,0)+1),IF(C177,-1,1)))</f>
        <v>#N/A</v>
      </c>
      <c r="E171" s="276" t="e">
        <f ca="1">D171+D173*INDEX(INDEX(VimFrac,0,9*D177+VLOOKUP(D176,PlanetData,3,0)+1),IF(D177,1,0)+MATCH(D174,INDEX(VimFrac,0,9*D177+VLOOKUP(D176,PlanetData,3,0)+1),IF(D177,-1,1)))</f>
        <v>#N/A</v>
      </c>
      <c r="F171" s="276" t="e">
        <f ca="1">E171+E173*INDEX(INDEX(VimFrac,0,9*E177+VLOOKUP(E176,PlanetData,3,0)+1),IF(E177,1,0)+MATCH(E174,INDEX(VimFrac,0,9*E177+VLOOKUP(E176,PlanetData,3,0)+1),IF(E177,-1,1)))</f>
        <v>#N/A</v>
      </c>
      <c r="G171" s="276" t="e">
        <f ca="1">F171+F173*INDEX(INDEX(VimFrac,0,9*F177+VLOOKUP(F176,PlanetData,3,0)+1),IF(F177,1,0)+MATCH(F174,INDEX(VimFrac,0,9*F177+VLOOKUP(F176,PlanetData,3,0)+1),IF(F177,-1,1)))</f>
        <v>#N/A</v>
      </c>
      <c r="H171" s="276" t="e">
        <f ca="1">G171+G173*INDEX(INDEX(VimFrac,0,9*G177+VLOOKUP(G176,PlanetData,3,0)+1),IF(G177,1,0)+MATCH(G174,INDEX(VimFrac,0,9*G177+VLOOKUP(G176,PlanetData,3,0)+1),IF(G177,-1,1)))</f>
        <v>#N/A</v>
      </c>
      <c r="J171" s="259">
        <f ca="1">J176</f>
        <v>0</v>
      </c>
      <c r="K171">
        <f>K163+1</f>
        <v>21</v>
      </c>
    </row>
    <row r="172" spans="1:11">
      <c r="A172" s="274" t="s">
        <v>455</v>
      </c>
      <c r="B172" s="275">
        <f>B171+B173</f>
        <v>66398.36601754064</v>
      </c>
      <c r="C172" s="276" t="e">
        <f ca="1">B171+B173*INDEX(INDEX(VimFrac,,VLOOKUP(B176,PlanetData,3,0)+1),MATCH(B174,INDEX(VimFrac,,VLOOKUP(B176,PlanetData,3,0)+1),1)+1)</f>
        <v>#N/A</v>
      </c>
      <c r="D172" s="276" t="e">
        <f ca="1">C171+C173*INDEX(INDEX(VimFrac,0,9*C177+VLOOKUP(C176,PlanetData,3,0)+1),IF(C177,0,1)+MATCH(C174,INDEX(VimFrac,0,9*C177+VLOOKUP(C176,PlanetData,3,0)+1),IF(C177,-1,1)))</f>
        <v>#N/A</v>
      </c>
      <c r="E172" s="276" t="e">
        <f ca="1">D171+D173*INDEX(INDEX(VimFrac,0,9*D177+VLOOKUP(D176,PlanetData,3,0)+1),IF(D177,0,1)+MATCH(D174,INDEX(VimFrac,0,9*D177+VLOOKUP(D176,PlanetData,3,0)+1),IF(D177,-1,1)))</f>
        <v>#N/A</v>
      </c>
      <c r="F172" s="276" t="e">
        <f ca="1">E171+E173*INDEX(INDEX(VimFrac,0,9*E177+VLOOKUP(E176,PlanetData,3,0)+1),IF(E177,0,1)+MATCH(E174,INDEX(VimFrac,0,9*E177+VLOOKUP(E176,PlanetData,3,0)+1),IF(E177,-1,1)))</f>
        <v>#N/A</v>
      </c>
      <c r="G172" s="276" t="e">
        <f ca="1">F171+F173*INDEX(INDEX(VimFrac,0,9*F177+VLOOKUP(F176,PlanetData,3,0)+1),IF(F177,0,1)+MATCH(F174,INDEX(VimFrac,0,9*F177+VLOOKUP(F176,PlanetData,3,0)+1),IF(F177,-1,1)))</f>
        <v>#N/A</v>
      </c>
      <c r="H172" s="276" t="e">
        <f ca="1">G171+G173*INDEX(INDEX(VimFrac,0,9*G177+VLOOKUP(G176,PlanetData,3,0)+1),IF(G177,0,1)+MATCH(G174,INDEX(VimFrac,0,9*G177+VLOOKUP(G176,PlanetData,3,0)+1),IF(G177,-1,1)))</f>
        <v>#N/A</v>
      </c>
      <c r="J172" s="259">
        <f ca="1">J176</f>
        <v>0</v>
      </c>
      <c r="K172">
        <f>K164+1</f>
        <v>21</v>
      </c>
    </row>
    <row r="173" spans="1:11">
      <c r="A173" s="277" t="s">
        <v>456</v>
      </c>
      <c r="B173" s="278">
        <f>120*DaysInYear</f>
        <v>43830.584722221844</v>
      </c>
      <c r="C173" s="279" t="e">
        <f t="shared" ref="C173:H173" ca="1" si="40">C172-C171</f>
        <v>#N/A</v>
      </c>
      <c r="D173" s="279" t="e">
        <f t="shared" ca="1" si="40"/>
        <v>#N/A</v>
      </c>
      <c r="E173" s="279" t="e">
        <f t="shared" ca="1" si="40"/>
        <v>#N/A</v>
      </c>
      <c r="F173" s="279" t="e">
        <f t="shared" ca="1" si="40"/>
        <v>#N/A</v>
      </c>
      <c r="G173" s="279" t="e">
        <f t="shared" ca="1" si="40"/>
        <v>#N/A</v>
      </c>
      <c r="H173" s="279" t="e">
        <f t="shared" ca="1" si="40"/>
        <v>#N/A</v>
      </c>
      <c r="K173">
        <f>K165</f>
        <v>0</v>
      </c>
    </row>
    <row r="174" spans="1:11">
      <c r="A174" s="277" t="s">
        <v>457</v>
      </c>
      <c r="B174" s="280">
        <f ca="1">(I176-B171)/(B172-B171)</f>
        <v>-0.51488661258669155</v>
      </c>
      <c r="C174" s="281" t="e">
        <f ca="1">(I176-C171)/(C172-C171)</f>
        <v>#N/A</v>
      </c>
      <c r="D174" s="281" t="e">
        <f ca="1">(I176-D171)/(D172-D171)</f>
        <v>#N/A</v>
      </c>
      <c r="E174" s="281" t="e">
        <f ca="1">(I176-E171)/(E172-E171)</f>
        <v>#N/A</v>
      </c>
      <c r="F174" s="281" t="e">
        <f ca="1">(I176-F171)/(F172-F171)</f>
        <v>#N/A</v>
      </c>
      <c r="G174" s="281" t="e">
        <f ca="1">(I176-G171)/(G172-G171)</f>
        <v>#N/A</v>
      </c>
      <c r="H174" s="281" t="e">
        <f ca="1">(I176-H171)/(H172-H171)</f>
        <v>#N/A</v>
      </c>
      <c r="K174">
        <f>K166</f>
        <v>0</v>
      </c>
    </row>
    <row r="175" spans="1:11">
      <c r="A175" s="277" t="s">
        <v>458</v>
      </c>
      <c r="B175" s="278"/>
      <c r="C175" s="279" t="e">
        <f ca="1">MOD(VLOOKUP(B176,PlanetData,3,0)+MATCH(B174,INDEX(VimFrac,,VLOOKUP(B176,PlanetData,3,0)+1),1)-1,9)</f>
        <v>#N/A</v>
      </c>
      <c r="D175" s="279" t="e">
        <f ca="1">MOD(VLOOKUP(C176,PlanetData,3,0)+MATCH(C174,INDEX(VimFrac,0,9*C177+VLOOKUP(C176,PlanetData,3,0)+1),IF(C177,-1,1))-1,9)</f>
        <v>#N/A</v>
      </c>
      <c r="E175" s="279" t="e">
        <f ca="1">MOD(VLOOKUP(D176,PlanetData,3,0)+MATCH(D174,INDEX(VimFrac,0,9*D177+VLOOKUP(D176,PlanetData,3,0)+1),IF(D177,-1,1))-1,9)</f>
        <v>#N/A</v>
      </c>
      <c r="F175" s="279" t="e">
        <f ca="1">MOD(VLOOKUP(E176,PlanetData,3,0)+MATCH(E174,INDEX(VimFrac,0,9*E177+VLOOKUP(E176,PlanetData,3,0)+1),IF(E177,-1,1))-1,9)</f>
        <v>#N/A</v>
      </c>
      <c r="G175" s="279" t="e">
        <f ca="1">MOD(VLOOKUP(F176,PlanetData,3,0)+MATCH(F174,INDEX(VimFrac,0,9*F177+VLOOKUP(F176,PlanetData,3,0)+1),IF(F177,-1,1))-1,9)</f>
        <v>#N/A</v>
      </c>
      <c r="H175" s="279" t="e">
        <f ca="1">MOD(VLOOKUP(G176,PlanetData,3,0)+MATCH(G174,INDEX(VimFrac,0,9*G177+VLOOKUP(G176,PlanetData,3,0)+1),IF(G177,-1,1))-1,9)</f>
        <v>#N/A</v>
      </c>
      <c r="K175">
        <f>K167</f>
        <v>0</v>
      </c>
    </row>
    <row r="176" spans="1:11">
      <c r="A176" s="277" t="s">
        <v>459</v>
      </c>
      <c r="B176" s="278" t="str">
        <f>$B$4</f>
        <v>Moon</v>
      </c>
      <c r="C176" s="279" t="e">
        <f t="shared" ref="C176:H176" ca="1" si="41">INDEX(DasaYears,IF(C175=0,9,C175),1)</f>
        <v>#N/A</v>
      </c>
      <c r="D176" s="279" t="e">
        <f t="shared" ca="1" si="41"/>
        <v>#N/A</v>
      </c>
      <c r="E176" s="279" t="e">
        <f t="shared" ca="1" si="41"/>
        <v>#N/A</v>
      </c>
      <c r="F176" s="279" t="e">
        <f t="shared" ca="1" si="41"/>
        <v>#N/A</v>
      </c>
      <c r="G176" s="279" t="e">
        <f t="shared" ca="1" si="41"/>
        <v>#N/A</v>
      </c>
      <c r="H176" s="279" t="e">
        <f t="shared" ca="1" si="41"/>
        <v>#N/A</v>
      </c>
      <c r="I176" s="261">
        <f ca="1">INDIRECT("'JHora'!$B$"&amp;($K176))</f>
        <v>0</v>
      </c>
      <c r="J176" s="261">
        <f ca="1">INDIRECT("'JHora'!$C$"&amp;($K176))</f>
        <v>0</v>
      </c>
      <c r="K176">
        <f>K168+1</f>
        <v>21</v>
      </c>
    </row>
    <row r="177" spans="1:11">
      <c r="A177" s="277" t="s">
        <v>444</v>
      </c>
      <c r="B177" s="278" t="b">
        <f>$B$7</f>
        <v>1</v>
      </c>
      <c r="C177" s="279" t="e">
        <f ca="1">IF(VLOOKUP(C176,ChartInfo,11,0),1,0)*B177</f>
        <v>#N/A</v>
      </c>
      <c r="D177" s="279" t="e">
        <f ca="1">IF(VLOOKUP(D176,ChartInfo,11,0),1,0)*B177</f>
        <v>#N/A</v>
      </c>
      <c r="E177" s="279" t="e">
        <f ca="1">IF(VLOOKUP(E176,ChartInfo,11,0),1,0)*B177</f>
        <v>#N/A</v>
      </c>
      <c r="F177" s="279" t="e">
        <f ca="1">IF(VLOOKUP(F176,ChartInfo,11,0),1,0)*B177</f>
        <v>#N/A</v>
      </c>
      <c r="G177" s="279" t="e">
        <f ca="1">IF(VLOOKUP(G176,ChartInfo,11,0),1,0)*B177</f>
        <v>#N/A</v>
      </c>
      <c r="H177" s="279" t="e">
        <f ca="1">IF(VLOOKUP(H176,ChartInfo,11,0),1,0)*B177</f>
        <v>#N/A</v>
      </c>
      <c r="K177">
        <f>K169</f>
        <v>0</v>
      </c>
    </row>
    <row r="178" spans="1:11">
      <c r="K178">
        <f>K170+1</f>
        <v>21</v>
      </c>
    </row>
    <row r="179" spans="1:11">
      <c r="A179" s="274" t="s">
        <v>454</v>
      </c>
      <c r="B179" s="275">
        <f>DoB-$E$6*DaysInYear</f>
        <v>22567.7812953188</v>
      </c>
      <c r="C179" s="276" t="e">
        <f ca="1">B179+B181*INDEX(INDEX(VimFrac,,VLOOKUP(B184,PlanetData,3,0)+1),MATCH(B182,INDEX(VimFrac,,VLOOKUP(B184,PlanetData,3,0)+1),1))</f>
        <v>#N/A</v>
      </c>
      <c r="D179" s="276" t="e">
        <f ca="1">C179+C181*INDEX(INDEX(VimFrac,0,9*C185+VLOOKUP(C184,PlanetData,3,0)+1),IF(C185,1,0)+MATCH(C182,INDEX(VimFrac,0,9*C185+VLOOKUP(C184,PlanetData,3,0)+1),IF(C185,-1,1)))</f>
        <v>#N/A</v>
      </c>
      <c r="E179" s="276" t="e">
        <f ca="1">D179+D181*INDEX(INDEX(VimFrac,0,9*D185+VLOOKUP(D184,PlanetData,3,0)+1),IF(D185,1,0)+MATCH(D182,INDEX(VimFrac,0,9*D185+VLOOKUP(D184,PlanetData,3,0)+1),IF(D185,-1,1)))</f>
        <v>#N/A</v>
      </c>
      <c r="F179" s="276" t="e">
        <f ca="1">E179+E181*INDEX(INDEX(VimFrac,0,9*E185+VLOOKUP(E184,PlanetData,3,0)+1),IF(E185,1,0)+MATCH(E182,INDEX(VimFrac,0,9*E185+VLOOKUP(E184,PlanetData,3,0)+1),IF(E185,-1,1)))</f>
        <v>#N/A</v>
      </c>
      <c r="G179" s="276" t="e">
        <f ca="1">F179+F181*INDEX(INDEX(VimFrac,0,9*F185+VLOOKUP(F184,PlanetData,3,0)+1),IF(F185,1,0)+MATCH(F182,INDEX(VimFrac,0,9*F185+VLOOKUP(F184,PlanetData,3,0)+1),IF(F185,-1,1)))</f>
        <v>#N/A</v>
      </c>
      <c r="H179" s="276" t="e">
        <f ca="1">G179+G181*INDEX(INDEX(VimFrac,0,9*G185+VLOOKUP(G184,PlanetData,3,0)+1),IF(G185,1,0)+MATCH(G182,INDEX(VimFrac,0,9*G185+VLOOKUP(G184,PlanetData,3,0)+1),IF(G185,-1,1)))</f>
        <v>#N/A</v>
      </c>
      <c r="J179" s="259">
        <f ca="1">J184</f>
        <v>0</v>
      </c>
      <c r="K179">
        <f>K171+1</f>
        <v>22</v>
      </c>
    </row>
    <row r="180" spans="1:11">
      <c r="A180" s="274" t="s">
        <v>455</v>
      </c>
      <c r="B180" s="275">
        <f>B179+B181</f>
        <v>66398.36601754064</v>
      </c>
      <c r="C180" s="276" t="e">
        <f ca="1">B179+B181*INDEX(INDEX(VimFrac,,VLOOKUP(B184,PlanetData,3,0)+1),MATCH(B182,INDEX(VimFrac,,VLOOKUP(B184,PlanetData,3,0)+1),1)+1)</f>
        <v>#N/A</v>
      </c>
      <c r="D180" s="276" t="e">
        <f ca="1">C179+C181*INDEX(INDEX(VimFrac,0,9*C185+VLOOKUP(C184,PlanetData,3,0)+1),IF(C185,0,1)+MATCH(C182,INDEX(VimFrac,0,9*C185+VLOOKUP(C184,PlanetData,3,0)+1),IF(C185,-1,1)))</f>
        <v>#N/A</v>
      </c>
      <c r="E180" s="276" t="e">
        <f ca="1">D179+D181*INDEX(INDEX(VimFrac,0,9*D185+VLOOKUP(D184,PlanetData,3,0)+1),IF(D185,0,1)+MATCH(D182,INDEX(VimFrac,0,9*D185+VLOOKUP(D184,PlanetData,3,0)+1),IF(D185,-1,1)))</f>
        <v>#N/A</v>
      </c>
      <c r="F180" s="276" t="e">
        <f ca="1">E179+E181*INDEX(INDEX(VimFrac,0,9*E185+VLOOKUP(E184,PlanetData,3,0)+1),IF(E185,0,1)+MATCH(E182,INDEX(VimFrac,0,9*E185+VLOOKUP(E184,PlanetData,3,0)+1),IF(E185,-1,1)))</f>
        <v>#N/A</v>
      </c>
      <c r="G180" s="276" t="e">
        <f ca="1">F179+F181*INDEX(INDEX(VimFrac,0,9*F185+VLOOKUP(F184,PlanetData,3,0)+1),IF(F185,0,1)+MATCH(F182,INDEX(VimFrac,0,9*F185+VLOOKUP(F184,PlanetData,3,0)+1),IF(F185,-1,1)))</f>
        <v>#N/A</v>
      </c>
      <c r="H180" s="276" t="e">
        <f ca="1">G179+G181*INDEX(INDEX(VimFrac,0,9*G185+VLOOKUP(G184,PlanetData,3,0)+1),IF(G185,0,1)+MATCH(G182,INDEX(VimFrac,0,9*G185+VLOOKUP(G184,PlanetData,3,0)+1),IF(G185,-1,1)))</f>
        <v>#N/A</v>
      </c>
      <c r="J180" s="259">
        <f ca="1">J184</f>
        <v>0</v>
      </c>
      <c r="K180">
        <f>K172+1</f>
        <v>22</v>
      </c>
    </row>
    <row r="181" spans="1:11">
      <c r="A181" s="277" t="s">
        <v>456</v>
      </c>
      <c r="B181" s="278">
        <f>120*DaysInYear</f>
        <v>43830.584722221844</v>
      </c>
      <c r="C181" s="279" t="e">
        <f t="shared" ref="C181:H181" ca="1" si="42">C180-C179</f>
        <v>#N/A</v>
      </c>
      <c r="D181" s="279" t="e">
        <f t="shared" ca="1" si="42"/>
        <v>#N/A</v>
      </c>
      <c r="E181" s="279" t="e">
        <f t="shared" ca="1" si="42"/>
        <v>#N/A</v>
      </c>
      <c r="F181" s="279" t="e">
        <f t="shared" ca="1" si="42"/>
        <v>#N/A</v>
      </c>
      <c r="G181" s="279" t="e">
        <f t="shared" ca="1" si="42"/>
        <v>#N/A</v>
      </c>
      <c r="H181" s="279" t="e">
        <f t="shared" ca="1" si="42"/>
        <v>#N/A</v>
      </c>
      <c r="K181">
        <f>K173</f>
        <v>0</v>
      </c>
    </row>
    <row r="182" spans="1:11">
      <c r="A182" s="277" t="s">
        <v>457</v>
      </c>
      <c r="B182" s="280">
        <f ca="1">(I184-B179)/(B180-B179)</f>
        <v>-0.51488661258669155</v>
      </c>
      <c r="C182" s="281" t="e">
        <f ca="1">(I184-C179)/(C180-C179)</f>
        <v>#N/A</v>
      </c>
      <c r="D182" s="281" t="e">
        <f ca="1">(I184-D179)/(D180-D179)</f>
        <v>#N/A</v>
      </c>
      <c r="E182" s="281" t="e">
        <f ca="1">(I184-E179)/(E180-E179)</f>
        <v>#N/A</v>
      </c>
      <c r="F182" s="281" t="e">
        <f ca="1">(I184-F179)/(F180-F179)</f>
        <v>#N/A</v>
      </c>
      <c r="G182" s="281" t="e">
        <f ca="1">(I184-G179)/(G180-G179)</f>
        <v>#N/A</v>
      </c>
      <c r="H182" s="281" t="e">
        <f ca="1">(I184-H179)/(H180-H179)</f>
        <v>#N/A</v>
      </c>
      <c r="K182">
        <f>K174</f>
        <v>0</v>
      </c>
    </row>
    <row r="183" spans="1:11">
      <c r="A183" s="277" t="s">
        <v>458</v>
      </c>
      <c r="B183" s="278"/>
      <c r="C183" s="279" t="e">
        <f ca="1">MOD(VLOOKUP(B184,PlanetData,3,0)+MATCH(B182,INDEX(VimFrac,,VLOOKUP(B184,PlanetData,3,0)+1),1)-1,9)</f>
        <v>#N/A</v>
      </c>
      <c r="D183" s="279" t="e">
        <f ca="1">MOD(VLOOKUP(C184,PlanetData,3,0)+MATCH(C182,INDEX(VimFrac,0,9*C185+VLOOKUP(C184,PlanetData,3,0)+1),IF(C185,-1,1))-1,9)</f>
        <v>#N/A</v>
      </c>
      <c r="E183" s="279" t="e">
        <f ca="1">MOD(VLOOKUP(D184,PlanetData,3,0)+MATCH(D182,INDEX(VimFrac,0,9*D185+VLOOKUP(D184,PlanetData,3,0)+1),IF(D185,-1,1))-1,9)</f>
        <v>#N/A</v>
      </c>
      <c r="F183" s="279" t="e">
        <f ca="1">MOD(VLOOKUP(E184,PlanetData,3,0)+MATCH(E182,INDEX(VimFrac,0,9*E185+VLOOKUP(E184,PlanetData,3,0)+1),IF(E185,-1,1))-1,9)</f>
        <v>#N/A</v>
      </c>
      <c r="G183" s="279" t="e">
        <f ca="1">MOD(VLOOKUP(F184,PlanetData,3,0)+MATCH(F182,INDEX(VimFrac,0,9*F185+VLOOKUP(F184,PlanetData,3,0)+1),IF(F185,-1,1))-1,9)</f>
        <v>#N/A</v>
      </c>
      <c r="H183" s="279" t="e">
        <f ca="1">MOD(VLOOKUP(G184,PlanetData,3,0)+MATCH(G182,INDEX(VimFrac,0,9*G185+VLOOKUP(G184,PlanetData,3,0)+1),IF(G185,-1,1))-1,9)</f>
        <v>#N/A</v>
      </c>
      <c r="K183">
        <f>K175</f>
        <v>0</v>
      </c>
    </row>
    <row r="184" spans="1:11">
      <c r="A184" s="277" t="s">
        <v>459</v>
      </c>
      <c r="B184" s="278" t="str">
        <f>$B$4</f>
        <v>Moon</v>
      </c>
      <c r="C184" s="279" t="e">
        <f t="shared" ref="C184:H184" ca="1" si="43">INDEX(DasaYears,IF(C183=0,9,C183),1)</f>
        <v>#N/A</v>
      </c>
      <c r="D184" s="279" t="e">
        <f t="shared" ca="1" si="43"/>
        <v>#N/A</v>
      </c>
      <c r="E184" s="279" t="e">
        <f t="shared" ca="1" si="43"/>
        <v>#N/A</v>
      </c>
      <c r="F184" s="279" t="e">
        <f t="shared" ca="1" si="43"/>
        <v>#N/A</v>
      </c>
      <c r="G184" s="279" t="e">
        <f t="shared" ca="1" si="43"/>
        <v>#N/A</v>
      </c>
      <c r="H184" s="279" t="e">
        <f t="shared" ca="1" si="43"/>
        <v>#N/A</v>
      </c>
      <c r="I184" s="261">
        <f ca="1">INDIRECT("'JHora'!$B$"&amp;($K184))</f>
        <v>0</v>
      </c>
      <c r="J184" s="261">
        <f ca="1">INDIRECT("'JHora'!$C$"&amp;($K184))</f>
        <v>0</v>
      </c>
      <c r="K184">
        <f>K176+1</f>
        <v>22</v>
      </c>
    </row>
    <row r="185" spans="1:11">
      <c r="A185" s="277" t="s">
        <v>444</v>
      </c>
      <c r="B185" s="278" t="b">
        <f>$B$7</f>
        <v>1</v>
      </c>
      <c r="C185" s="279" t="e">
        <f ca="1">IF(VLOOKUP(C184,ChartInfo,11,0),1,0)*B185</f>
        <v>#N/A</v>
      </c>
      <c r="D185" s="279" t="e">
        <f ca="1">IF(VLOOKUP(D184,ChartInfo,11,0),1,0)*B185</f>
        <v>#N/A</v>
      </c>
      <c r="E185" s="279" t="e">
        <f ca="1">IF(VLOOKUP(E184,ChartInfo,11,0),1,0)*B185</f>
        <v>#N/A</v>
      </c>
      <c r="F185" s="279" t="e">
        <f ca="1">IF(VLOOKUP(F184,ChartInfo,11,0),1,0)*B185</f>
        <v>#N/A</v>
      </c>
      <c r="G185" s="279" t="e">
        <f ca="1">IF(VLOOKUP(G184,ChartInfo,11,0),1,0)*B185</f>
        <v>#N/A</v>
      </c>
      <c r="H185" s="279" t="e">
        <f ca="1">IF(VLOOKUP(H184,ChartInfo,11,0),1,0)*B185</f>
        <v>#N/A</v>
      </c>
      <c r="K185">
        <f>K177</f>
        <v>0</v>
      </c>
    </row>
    <row r="186" spans="1:11">
      <c r="K186">
        <f>K178+1</f>
        <v>22</v>
      </c>
    </row>
    <row r="187" spans="1:11">
      <c r="A187" s="274" t="s">
        <v>454</v>
      </c>
      <c r="B187" s="275">
        <f>DoB-$E$6*DaysInYear</f>
        <v>22567.7812953188</v>
      </c>
      <c r="C187" s="276" t="e">
        <f ca="1">B187+B189*INDEX(INDEX(VimFrac,,VLOOKUP(B192,PlanetData,3,0)+1),MATCH(B190,INDEX(VimFrac,,VLOOKUP(B192,PlanetData,3,0)+1),1))</f>
        <v>#N/A</v>
      </c>
      <c r="D187" s="276" t="e">
        <f ca="1">C187+C189*INDEX(INDEX(VimFrac,0,9*C193+VLOOKUP(C192,PlanetData,3,0)+1),IF(C193,1,0)+MATCH(C190,INDEX(VimFrac,0,9*C193+VLOOKUP(C192,PlanetData,3,0)+1),IF(C193,-1,1)))</f>
        <v>#N/A</v>
      </c>
      <c r="E187" s="276" t="e">
        <f ca="1">D187+D189*INDEX(INDEX(VimFrac,0,9*D193+VLOOKUP(D192,PlanetData,3,0)+1),IF(D193,1,0)+MATCH(D190,INDEX(VimFrac,0,9*D193+VLOOKUP(D192,PlanetData,3,0)+1),IF(D193,-1,1)))</f>
        <v>#N/A</v>
      </c>
      <c r="F187" s="276" t="e">
        <f ca="1">E187+E189*INDEX(INDEX(VimFrac,0,9*E193+VLOOKUP(E192,PlanetData,3,0)+1),IF(E193,1,0)+MATCH(E190,INDEX(VimFrac,0,9*E193+VLOOKUP(E192,PlanetData,3,0)+1),IF(E193,-1,1)))</f>
        <v>#N/A</v>
      </c>
      <c r="G187" s="276" t="e">
        <f ca="1">F187+F189*INDEX(INDEX(VimFrac,0,9*F193+VLOOKUP(F192,PlanetData,3,0)+1),IF(F193,1,0)+MATCH(F190,INDEX(VimFrac,0,9*F193+VLOOKUP(F192,PlanetData,3,0)+1),IF(F193,-1,1)))</f>
        <v>#N/A</v>
      </c>
      <c r="H187" s="276" t="e">
        <f ca="1">G187+G189*INDEX(INDEX(VimFrac,0,9*G193+VLOOKUP(G192,PlanetData,3,0)+1),IF(G193,1,0)+MATCH(G190,INDEX(VimFrac,0,9*G193+VLOOKUP(G192,PlanetData,3,0)+1),IF(G193,-1,1)))</f>
        <v>#N/A</v>
      </c>
      <c r="J187" s="259">
        <f ca="1">J192</f>
        <v>0</v>
      </c>
      <c r="K187">
        <f>K179+1</f>
        <v>23</v>
      </c>
    </row>
    <row r="188" spans="1:11">
      <c r="A188" s="274" t="s">
        <v>455</v>
      </c>
      <c r="B188" s="275">
        <f>B187+B189</f>
        <v>66398.36601754064</v>
      </c>
      <c r="C188" s="276" t="e">
        <f ca="1">B187+B189*INDEX(INDEX(VimFrac,,VLOOKUP(B192,PlanetData,3,0)+1),MATCH(B190,INDEX(VimFrac,,VLOOKUP(B192,PlanetData,3,0)+1),1)+1)</f>
        <v>#N/A</v>
      </c>
      <c r="D188" s="276" t="e">
        <f ca="1">C187+C189*INDEX(INDEX(VimFrac,0,9*C193+VLOOKUP(C192,PlanetData,3,0)+1),IF(C193,0,1)+MATCH(C190,INDEX(VimFrac,0,9*C193+VLOOKUP(C192,PlanetData,3,0)+1),IF(C193,-1,1)))</f>
        <v>#N/A</v>
      </c>
      <c r="E188" s="276" t="e">
        <f ca="1">D187+D189*INDEX(INDEX(VimFrac,0,9*D193+VLOOKUP(D192,PlanetData,3,0)+1),IF(D193,0,1)+MATCH(D190,INDEX(VimFrac,0,9*D193+VLOOKUP(D192,PlanetData,3,0)+1),IF(D193,-1,1)))</f>
        <v>#N/A</v>
      </c>
      <c r="F188" s="276" t="e">
        <f ca="1">E187+E189*INDEX(INDEX(VimFrac,0,9*E193+VLOOKUP(E192,PlanetData,3,0)+1),IF(E193,0,1)+MATCH(E190,INDEX(VimFrac,0,9*E193+VLOOKUP(E192,PlanetData,3,0)+1),IF(E193,-1,1)))</f>
        <v>#N/A</v>
      </c>
      <c r="G188" s="276" t="e">
        <f ca="1">F187+F189*INDEX(INDEX(VimFrac,0,9*F193+VLOOKUP(F192,PlanetData,3,0)+1),IF(F193,0,1)+MATCH(F190,INDEX(VimFrac,0,9*F193+VLOOKUP(F192,PlanetData,3,0)+1),IF(F193,-1,1)))</f>
        <v>#N/A</v>
      </c>
      <c r="H188" s="276" t="e">
        <f ca="1">G187+G189*INDEX(INDEX(VimFrac,0,9*G193+VLOOKUP(G192,PlanetData,3,0)+1),IF(G193,0,1)+MATCH(G190,INDEX(VimFrac,0,9*G193+VLOOKUP(G192,PlanetData,3,0)+1),IF(G193,-1,1)))</f>
        <v>#N/A</v>
      </c>
      <c r="J188" s="259">
        <f ca="1">J192</f>
        <v>0</v>
      </c>
      <c r="K188">
        <f>K180+1</f>
        <v>23</v>
      </c>
    </row>
    <row r="189" spans="1:11">
      <c r="A189" s="277" t="s">
        <v>456</v>
      </c>
      <c r="B189" s="278">
        <f>120*DaysInYear</f>
        <v>43830.584722221844</v>
      </c>
      <c r="C189" s="279" t="e">
        <f t="shared" ref="C189:H189" ca="1" si="44">C188-C187</f>
        <v>#N/A</v>
      </c>
      <c r="D189" s="279" t="e">
        <f t="shared" ca="1" si="44"/>
        <v>#N/A</v>
      </c>
      <c r="E189" s="279" t="e">
        <f t="shared" ca="1" si="44"/>
        <v>#N/A</v>
      </c>
      <c r="F189" s="279" t="e">
        <f t="shared" ca="1" si="44"/>
        <v>#N/A</v>
      </c>
      <c r="G189" s="279" t="e">
        <f t="shared" ca="1" si="44"/>
        <v>#N/A</v>
      </c>
      <c r="H189" s="279" t="e">
        <f t="shared" ca="1" si="44"/>
        <v>#N/A</v>
      </c>
      <c r="K189">
        <f>K181</f>
        <v>0</v>
      </c>
    </row>
    <row r="190" spans="1:11">
      <c r="A190" s="277" t="s">
        <v>457</v>
      </c>
      <c r="B190" s="280">
        <f ca="1">(I192-B187)/(B188-B187)</f>
        <v>-0.51488661258669155</v>
      </c>
      <c r="C190" s="281" t="e">
        <f ca="1">(I192-C187)/(C188-C187)</f>
        <v>#N/A</v>
      </c>
      <c r="D190" s="281" t="e">
        <f ca="1">(I192-D187)/(D188-D187)</f>
        <v>#N/A</v>
      </c>
      <c r="E190" s="281" t="e">
        <f ca="1">(I192-E187)/(E188-E187)</f>
        <v>#N/A</v>
      </c>
      <c r="F190" s="281" t="e">
        <f ca="1">(I192-F187)/(F188-F187)</f>
        <v>#N/A</v>
      </c>
      <c r="G190" s="281" t="e">
        <f ca="1">(I192-G187)/(G188-G187)</f>
        <v>#N/A</v>
      </c>
      <c r="H190" s="281" t="e">
        <f ca="1">(I192-H187)/(H188-H187)</f>
        <v>#N/A</v>
      </c>
      <c r="K190">
        <f>K182</f>
        <v>0</v>
      </c>
    </row>
    <row r="191" spans="1:11">
      <c r="A191" s="277" t="s">
        <v>458</v>
      </c>
      <c r="B191" s="278"/>
      <c r="C191" s="279" t="e">
        <f ca="1">MOD(VLOOKUP(B192,PlanetData,3,0)+MATCH(B190,INDEX(VimFrac,,VLOOKUP(B192,PlanetData,3,0)+1),1)-1,9)</f>
        <v>#N/A</v>
      </c>
      <c r="D191" s="279" t="e">
        <f ca="1">MOD(VLOOKUP(C192,PlanetData,3,0)+MATCH(C190,INDEX(VimFrac,0,9*C193+VLOOKUP(C192,PlanetData,3,0)+1),IF(C193,-1,1))-1,9)</f>
        <v>#N/A</v>
      </c>
      <c r="E191" s="279" t="e">
        <f ca="1">MOD(VLOOKUP(D192,PlanetData,3,0)+MATCH(D190,INDEX(VimFrac,0,9*D193+VLOOKUP(D192,PlanetData,3,0)+1),IF(D193,-1,1))-1,9)</f>
        <v>#N/A</v>
      </c>
      <c r="F191" s="279" t="e">
        <f ca="1">MOD(VLOOKUP(E192,PlanetData,3,0)+MATCH(E190,INDEX(VimFrac,0,9*E193+VLOOKUP(E192,PlanetData,3,0)+1),IF(E193,-1,1))-1,9)</f>
        <v>#N/A</v>
      </c>
      <c r="G191" s="279" t="e">
        <f ca="1">MOD(VLOOKUP(F192,PlanetData,3,0)+MATCH(F190,INDEX(VimFrac,0,9*F193+VLOOKUP(F192,PlanetData,3,0)+1),IF(F193,-1,1))-1,9)</f>
        <v>#N/A</v>
      </c>
      <c r="H191" s="279" t="e">
        <f ca="1">MOD(VLOOKUP(G192,PlanetData,3,0)+MATCH(G190,INDEX(VimFrac,0,9*G193+VLOOKUP(G192,PlanetData,3,0)+1),IF(G193,-1,1))-1,9)</f>
        <v>#N/A</v>
      </c>
      <c r="K191">
        <f>K183</f>
        <v>0</v>
      </c>
    </row>
    <row r="192" spans="1:11">
      <c r="A192" s="277" t="s">
        <v>459</v>
      </c>
      <c r="B192" s="278" t="str">
        <f>$B$4</f>
        <v>Moon</v>
      </c>
      <c r="C192" s="279" t="e">
        <f t="shared" ref="C192:H192" ca="1" si="45">INDEX(DasaYears,IF(C191=0,9,C191),1)</f>
        <v>#N/A</v>
      </c>
      <c r="D192" s="279" t="e">
        <f t="shared" ca="1" si="45"/>
        <v>#N/A</v>
      </c>
      <c r="E192" s="279" t="e">
        <f t="shared" ca="1" si="45"/>
        <v>#N/A</v>
      </c>
      <c r="F192" s="279" t="e">
        <f t="shared" ca="1" si="45"/>
        <v>#N/A</v>
      </c>
      <c r="G192" s="279" t="e">
        <f t="shared" ca="1" si="45"/>
        <v>#N/A</v>
      </c>
      <c r="H192" s="279" t="e">
        <f t="shared" ca="1" si="45"/>
        <v>#N/A</v>
      </c>
      <c r="I192" s="261">
        <f ca="1">INDIRECT("'JHora'!$B$"&amp;($K192))</f>
        <v>0</v>
      </c>
      <c r="J192" s="261">
        <f ca="1">INDIRECT("'JHora'!$C$"&amp;($K192))</f>
        <v>0</v>
      </c>
      <c r="K192">
        <f>K184+1</f>
        <v>23</v>
      </c>
    </row>
    <row r="193" spans="1:11">
      <c r="A193" s="277" t="s">
        <v>444</v>
      </c>
      <c r="B193" s="278" t="b">
        <f>$B$7</f>
        <v>1</v>
      </c>
      <c r="C193" s="279" t="e">
        <f ca="1">IF(VLOOKUP(C192,ChartInfo,11,0),1,0)*B193</f>
        <v>#N/A</v>
      </c>
      <c r="D193" s="279" t="e">
        <f ca="1">IF(VLOOKUP(D192,ChartInfo,11,0),1,0)*B193</f>
        <v>#N/A</v>
      </c>
      <c r="E193" s="279" t="e">
        <f ca="1">IF(VLOOKUP(E192,ChartInfo,11,0),1,0)*B193</f>
        <v>#N/A</v>
      </c>
      <c r="F193" s="279" t="e">
        <f ca="1">IF(VLOOKUP(F192,ChartInfo,11,0),1,0)*B193</f>
        <v>#N/A</v>
      </c>
      <c r="G193" s="279" t="e">
        <f ca="1">IF(VLOOKUP(G192,ChartInfo,11,0),1,0)*B193</f>
        <v>#N/A</v>
      </c>
      <c r="H193" s="279" t="e">
        <f ca="1">IF(VLOOKUP(H192,ChartInfo,11,0),1,0)*B193</f>
        <v>#N/A</v>
      </c>
      <c r="K193">
        <f>K185</f>
        <v>0</v>
      </c>
    </row>
    <row r="194" spans="1:11">
      <c r="K194">
        <f>K186+1</f>
        <v>23</v>
      </c>
    </row>
    <row r="195" spans="1:11">
      <c r="A195" s="274" t="s">
        <v>454</v>
      </c>
      <c r="B195" s="275">
        <f>DoB-$E$6*DaysInYear</f>
        <v>22567.7812953188</v>
      </c>
      <c r="C195" s="276" t="e">
        <f ca="1">B195+B197*INDEX(INDEX(VimFrac,,VLOOKUP(B200,PlanetData,3,0)+1),MATCH(B198,INDEX(VimFrac,,VLOOKUP(B200,PlanetData,3,0)+1),1))</f>
        <v>#N/A</v>
      </c>
      <c r="D195" s="276" t="e">
        <f ca="1">C195+C197*INDEX(INDEX(VimFrac,0,9*C201+VLOOKUP(C200,PlanetData,3,0)+1),IF(C201,1,0)+MATCH(C198,INDEX(VimFrac,0,9*C201+VLOOKUP(C200,PlanetData,3,0)+1),IF(C201,-1,1)))</f>
        <v>#N/A</v>
      </c>
      <c r="E195" s="276" t="e">
        <f ca="1">D195+D197*INDEX(INDEX(VimFrac,0,9*D201+VLOOKUP(D200,PlanetData,3,0)+1),IF(D201,1,0)+MATCH(D198,INDEX(VimFrac,0,9*D201+VLOOKUP(D200,PlanetData,3,0)+1),IF(D201,-1,1)))</f>
        <v>#N/A</v>
      </c>
      <c r="F195" s="276" t="e">
        <f ca="1">E195+E197*INDEX(INDEX(VimFrac,0,9*E201+VLOOKUP(E200,PlanetData,3,0)+1),IF(E201,1,0)+MATCH(E198,INDEX(VimFrac,0,9*E201+VLOOKUP(E200,PlanetData,3,0)+1),IF(E201,-1,1)))</f>
        <v>#N/A</v>
      </c>
      <c r="G195" s="276" t="e">
        <f ca="1">F195+F197*INDEX(INDEX(VimFrac,0,9*F201+VLOOKUP(F200,PlanetData,3,0)+1),IF(F201,1,0)+MATCH(F198,INDEX(VimFrac,0,9*F201+VLOOKUP(F200,PlanetData,3,0)+1),IF(F201,-1,1)))</f>
        <v>#N/A</v>
      </c>
      <c r="H195" s="276" t="e">
        <f ca="1">G195+G197*INDEX(INDEX(VimFrac,0,9*G201+VLOOKUP(G200,PlanetData,3,0)+1),IF(G201,1,0)+MATCH(G198,INDEX(VimFrac,0,9*G201+VLOOKUP(G200,PlanetData,3,0)+1),IF(G201,-1,1)))</f>
        <v>#N/A</v>
      </c>
      <c r="J195" s="259">
        <f ca="1">J200</f>
        <v>0</v>
      </c>
      <c r="K195">
        <f>K187+1</f>
        <v>24</v>
      </c>
    </row>
    <row r="196" spans="1:11">
      <c r="A196" s="274" t="s">
        <v>455</v>
      </c>
      <c r="B196" s="275">
        <f>B195+B197</f>
        <v>66398.36601754064</v>
      </c>
      <c r="C196" s="276" t="e">
        <f ca="1">B195+B197*INDEX(INDEX(VimFrac,,VLOOKUP(B200,PlanetData,3,0)+1),MATCH(B198,INDEX(VimFrac,,VLOOKUP(B200,PlanetData,3,0)+1),1)+1)</f>
        <v>#N/A</v>
      </c>
      <c r="D196" s="276" t="e">
        <f ca="1">C195+C197*INDEX(INDEX(VimFrac,0,9*C201+VLOOKUP(C200,PlanetData,3,0)+1),IF(C201,0,1)+MATCH(C198,INDEX(VimFrac,0,9*C201+VLOOKUP(C200,PlanetData,3,0)+1),IF(C201,-1,1)))</f>
        <v>#N/A</v>
      </c>
      <c r="E196" s="276" t="e">
        <f ca="1">D195+D197*INDEX(INDEX(VimFrac,0,9*D201+VLOOKUP(D200,PlanetData,3,0)+1),IF(D201,0,1)+MATCH(D198,INDEX(VimFrac,0,9*D201+VLOOKUP(D200,PlanetData,3,0)+1),IF(D201,-1,1)))</f>
        <v>#N/A</v>
      </c>
      <c r="F196" s="276" t="e">
        <f ca="1">E195+E197*INDEX(INDEX(VimFrac,0,9*E201+VLOOKUP(E200,PlanetData,3,0)+1),IF(E201,0,1)+MATCH(E198,INDEX(VimFrac,0,9*E201+VLOOKUP(E200,PlanetData,3,0)+1),IF(E201,-1,1)))</f>
        <v>#N/A</v>
      </c>
      <c r="G196" s="276" t="e">
        <f ca="1">F195+F197*INDEX(INDEX(VimFrac,0,9*F201+VLOOKUP(F200,PlanetData,3,0)+1),IF(F201,0,1)+MATCH(F198,INDEX(VimFrac,0,9*F201+VLOOKUP(F200,PlanetData,3,0)+1),IF(F201,-1,1)))</f>
        <v>#N/A</v>
      </c>
      <c r="H196" s="276" t="e">
        <f ca="1">G195+G197*INDEX(INDEX(VimFrac,0,9*G201+VLOOKUP(G200,PlanetData,3,0)+1),IF(G201,0,1)+MATCH(G198,INDEX(VimFrac,0,9*G201+VLOOKUP(G200,PlanetData,3,0)+1),IF(G201,-1,1)))</f>
        <v>#N/A</v>
      </c>
      <c r="J196" s="259">
        <f ca="1">J200</f>
        <v>0</v>
      </c>
      <c r="K196">
        <f>K188+1</f>
        <v>24</v>
      </c>
    </row>
    <row r="197" spans="1:11">
      <c r="A197" s="277" t="s">
        <v>456</v>
      </c>
      <c r="B197" s="278">
        <f>120*DaysInYear</f>
        <v>43830.584722221844</v>
      </c>
      <c r="C197" s="279" t="e">
        <f t="shared" ref="C197:H197" ca="1" si="46">C196-C195</f>
        <v>#N/A</v>
      </c>
      <c r="D197" s="279" t="e">
        <f t="shared" ca="1" si="46"/>
        <v>#N/A</v>
      </c>
      <c r="E197" s="279" t="e">
        <f t="shared" ca="1" si="46"/>
        <v>#N/A</v>
      </c>
      <c r="F197" s="279" t="e">
        <f t="shared" ca="1" si="46"/>
        <v>#N/A</v>
      </c>
      <c r="G197" s="279" t="e">
        <f t="shared" ca="1" si="46"/>
        <v>#N/A</v>
      </c>
      <c r="H197" s="279" t="e">
        <f t="shared" ca="1" si="46"/>
        <v>#N/A</v>
      </c>
      <c r="K197">
        <f>K189</f>
        <v>0</v>
      </c>
    </row>
    <row r="198" spans="1:11">
      <c r="A198" s="277" t="s">
        <v>457</v>
      </c>
      <c r="B198" s="280">
        <f ca="1">(I200-B195)/(B196-B195)</f>
        <v>-0.51488661258669155</v>
      </c>
      <c r="C198" s="281" t="e">
        <f ca="1">(I200-C195)/(C196-C195)</f>
        <v>#N/A</v>
      </c>
      <c r="D198" s="281" t="e">
        <f ca="1">(I200-D195)/(D196-D195)</f>
        <v>#N/A</v>
      </c>
      <c r="E198" s="281" t="e">
        <f ca="1">(I200-E195)/(E196-E195)</f>
        <v>#N/A</v>
      </c>
      <c r="F198" s="281" t="e">
        <f ca="1">(I200-F195)/(F196-F195)</f>
        <v>#N/A</v>
      </c>
      <c r="G198" s="281" t="e">
        <f ca="1">(I200-G195)/(G196-G195)</f>
        <v>#N/A</v>
      </c>
      <c r="H198" s="281" t="e">
        <f ca="1">(I200-H195)/(H196-H195)</f>
        <v>#N/A</v>
      </c>
      <c r="K198">
        <f>K190</f>
        <v>0</v>
      </c>
    </row>
    <row r="199" spans="1:11">
      <c r="A199" s="277" t="s">
        <v>458</v>
      </c>
      <c r="B199" s="278"/>
      <c r="C199" s="279" t="e">
        <f ca="1">MOD(VLOOKUP(B200,PlanetData,3,0)+MATCH(B198,INDEX(VimFrac,,VLOOKUP(B200,PlanetData,3,0)+1),1)-1,9)</f>
        <v>#N/A</v>
      </c>
      <c r="D199" s="279" t="e">
        <f ca="1">MOD(VLOOKUP(C200,PlanetData,3,0)+MATCH(C198,INDEX(VimFrac,0,9*C201+VLOOKUP(C200,PlanetData,3,0)+1),IF(C201,-1,1))-1,9)</f>
        <v>#N/A</v>
      </c>
      <c r="E199" s="279" t="e">
        <f ca="1">MOD(VLOOKUP(D200,PlanetData,3,0)+MATCH(D198,INDEX(VimFrac,0,9*D201+VLOOKUP(D200,PlanetData,3,0)+1),IF(D201,-1,1))-1,9)</f>
        <v>#N/A</v>
      </c>
      <c r="F199" s="279" t="e">
        <f ca="1">MOD(VLOOKUP(E200,PlanetData,3,0)+MATCH(E198,INDEX(VimFrac,0,9*E201+VLOOKUP(E200,PlanetData,3,0)+1),IF(E201,-1,1))-1,9)</f>
        <v>#N/A</v>
      </c>
      <c r="G199" s="279" t="e">
        <f ca="1">MOD(VLOOKUP(F200,PlanetData,3,0)+MATCH(F198,INDEX(VimFrac,0,9*F201+VLOOKUP(F200,PlanetData,3,0)+1),IF(F201,-1,1))-1,9)</f>
        <v>#N/A</v>
      </c>
      <c r="H199" s="279" t="e">
        <f ca="1">MOD(VLOOKUP(G200,PlanetData,3,0)+MATCH(G198,INDEX(VimFrac,0,9*G201+VLOOKUP(G200,PlanetData,3,0)+1),IF(G201,-1,1))-1,9)</f>
        <v>#N/A</v>
      </c>
      <c r="K199">
        <f>K191</f>
        <v>0</v>
      </c>
    </row>
    <row r="200" spans="1:11">
      <c r="A200" s="277" t="s">
        <v>459</v>
      </c>
      <c r="B200" s="278" t="str">
        <f>$B$4</f>
        <v>Moon</v>
      </c>
      <c r="C200" s="279" t="e">
        <f t="shared" ref="C200:H200" ca="1" si="47">INDEX(DasaYears,IF(C199=0,9,C199),1)</f>
        <v>#N/A</v>
      </c>
      <c r="D200" s="279" t="e">
        <f t="shared" ca="1" si="47"/>
        <v>#N/A</v>
      </c>
      <c r="E200" s="279" t="e">
        <f t="shared" ca="1" si="47"/>
        <v>#N/A</v>
      </c>
      <c r="F200" s="279" t="e">
        <f t="shared" ca="1" si="47"/>
        <v>#N/A</v>
      </c>
      <c r="G200" s="279" t="e">
        <f t="shared" ca="1" si="47"/>
        <v>#N/A</v>
      </c>
      <c r="H200" s="279" t="e">
        <f t="shared" ca="1" si="47"/>
        <v>#N/A</v>
      </c>
      <c r="I200" s="261">
        <f ca="1">INDIRECT("'JHora'!$B$"&amp;($K200))</f>
        <v>0</v>
      </c>
      <c r="J200" s="261">
        <f ca="1">INDIRECT("'JHora'!$C$"&amp;($K200))</f>
        <v>0</v>
      </c>
      <c r="K200">
        <f>K192+1</f>
        <v>24</v>
      </c>
    </row>
    <row r="201" spans="1:11">
      <c r="A201" s="277" t="s">
        <v>444</v>
      </c>
      <c r="B201" s="278" t="b">
        <f>$B$7</f>
        <v>1</v>
      </c>
      <c r="C201" s="279" t="e">
        <f ca="1">IF(VLOOKUP(C200,ChartInfo,11,0),1,0)*B201</f>
        <v>#N/A</v>
      </c>
      <c r="D201" s="279" t="e">
        <f ca="1">IF(VLOOKUP(D200,ChartInfo,11,0),1,0)*B201</f>
        <v>#N/A</v>
      </c>
      <c r="E201" s="279" t="e">
        <f ca="1">IF(VLOOKUP(E200,ChartInfo,11,0),1,0)*B201</f>
        <v>#N/A</v>
      </c>
      <c r="F201" s="279" t="e">
        <f ca="1">IF(VLOOKUP(F200,ChartInfo,11,0),1,0)*B201</f>
        <v>#N/A</v>
      </c>
      <c r="G201" s="279" t="e">
        <f ca="1">IF(VLOOKUP(G200,ChartInfo,11,0),1,0)*B201</f>
        <v>#N/A</v>
      </c>
      <c r="H201" s="279" t="e">
        <f ca="1">IF(VLOOKUP(H200,ChartInfo,11,0),1,0)*B201</f>
        <v>#N/A</v>
      </c>
      <c r="K201">
        <f>K193</f>
        <v>0</v>
      </c>
    </row>
    <row r="202" spans="1:11">
      <c r="K202">
        <f>K194+1</f>
        <v>24</v>
      </c>
    </row>
    <row r="203" spans="1:11">
      <c r="A203" s="274" t="s">
        <v>454</v>
      </c>
      <c r="B203" s="275">
        <f>DoB-$E$6*DaysInYear</f>
        <v>22567.7812953188</v>
      </c>
      <c r="C203" s="276" t="e">
        <f ca="1">B203+B205*INDEX(INDEX(VimFrac,,VLOOKUP(B208,PlanetData,3,0)+1),MATCH(B206,INDEX(VimFrac,,VLOOKUP(B208,PlanetData,3,0)+1),1))</f>
        <v>#N/A</v>
      </c>
      <c r="D203" s="276" t="e">
        <f ca="1">C203+C205*INDEX(INDEX(VimFrac,0,9*C209+VLOOKUP(C208,PlanetData,3,0)+1),IF(C209,1,0)+MATCH(C206,INDEX(VimFrac,0,9*C209+VLOOKUP(C208,PlanetData,3,0)+1),IF(C209,-1,1)))</f>
        <v>#N/A</v>
      </c>
      <c r="E203" s="276" t="e">
        <f ca="1">D203+D205*INDEX(INDEX(VimFrac,0,9*D209+VLOOKUP(D208,PlanetData,3,0)+1),IF(D209,1,0)+MATCH(D206,INDEX(VimFrac,0,9*D209+VLOOKUP(D208,PlanetData,3,0)+1),IF(D209,-1,1)))</f>
        <v>#N/A</v>
      </c>
      <c r="F203" s="276" t="e">
        <f ca="1">E203+E205*INDEX(INDEX(VimFrac,0,9*E209+VLOOKUP(E208,PlanetData,3,0)+1),IF(E209,1,0)+MATCH(E206,INDEX(VimFrac,0,9*E209+VLOOKUP(E208,PlanetData,3,0)+1),IF(E209,-1,1)))</f>
        <v>#N/A</v>
      </c>
      <c r="G203" s="276" t="e">
        <f ca="1">F203+F205*INDEX(INDEX(VimFrac,0,9*F209+VLOOKUP(F208,PlanetData,3,0)+1),IF(F209,1,0)+MATCH(F206,INDEX(VimFrac,0,9*F209+VLOOKUP(F208,PlanetData,3,0)+1),IF(F209,-1,1)))</f>
        <v>#N/A</v>
      </c>
      <c r="H203" s="276" t="e">
        <f ca="1">G203+G205*INDEX(INDEX(VimFrac,0,9*G209+VLOOKUP(G208,PlanetData,3,0)+1),IF(G209,1,0)+MATCH(G206,INDEX(VimFrac,0,9*G209+VLOOKUP(G208,PlanetData,3,0)+1),IF(G209,-1,1)))</f>
        <v>#N/A</v>
      </c>
      <c r="J203" s="259">
        <f ca="1">J208</f>
        <v>0</v>
      </c>
      <c r="K203">
        <f>K195+1</f>
        <v>25</v>
      </c>
    </row>
    <row r="204" spans="1:11">
      <c r="A204" s="274" t="s">
        <v>455</v>
      </c>
      <c r="B204" s="275">
        <f>B203+B205</f>
        <v>66398.36601754064</v>
      </c>
      <c r="C204" s="276" t="e">
        <f ca="1">B203+B205*INDEX(INDEX(VimFrac,,VLOOKUP(B208,PlanetData,3,0)+1),MATCH(B206,INDEX(VimFrac,,VLOOKUP(B208,PlanetData,3,0)+1),1)+1)</f>
        <v>#N/A</v>
      </c>
      <c r="D204" s="276" t="e">
        <f ca="1">C203+C205*INDEX(INDEX(VimFrac,0,9*C209+VLOOKUP(C208,PlanetData,3,0)+1),IF(C209,0,1)+MATCH(C206,INDEX(VimFrac,0,9*C209+VLOOKUP(C208,PlanetData,3,0)+1),IF(C209,-1,1)))</f>
        <v>#N/A</v>
      </c>
      <c r="E204" s="276" t="e">
        <f ca="1">D203+D205*INDEX(INDEX(VimFrac,0,9*D209+VLOOKUP(D208,PlanetData,3,0)+1),IF(D209,0,1)+MATCH(D206,INDEX(VimFrac,0,9*D209+VLOOKUP(D208,PlanetData,3,0)+1),IF(D209,-1,1)))</f>
        <v>#N/A</v>
      </c>
      <c r="F204" s="276" t="e">
        <f ca="1">E203+E205*INDEX(INDEX(VimFrac,0,9*E209+VLOOKUP(E208,PlanetData,3,0)+1),IF(E209,0,1)+MATCH(E206,INDEX(VimFrac,0,9*E209+VLOOKUP(E208,PlanetData,3,0)+1),IF(E209,-1,1)))</f>
        <v>#N/A</v>
      </c>
      <c r="G204" s="276" t="e">
        <f ca="1">F203+F205*INDEX(INDEX(VimFrac,0,9*F209+VLOOKUP(F208,PlanetData,3,0)+1),IF(F209,0,1)+MATCH(F206,INDEX(VimFrac,0,9*F209+VLOOKUP(F208,PlanetData,3,0)+1),IF(F209,-1,1)))</f>
        <v>#N/A</v>
      </c>
      <c r="H204" s="276" t="e">
        <f ca="1">G203+G205*INDEX(INDEX(VimFrac,0,9*G209+VLOOKUP(G208,PlanetData,3,0)+1),IF(G209,0,1)+MATCH(G206,INDEX(VimFrac,0,9*G209+VLOOKUP(G208,PlanetData,3,0)+1),IF(G209,-1,1)))</f>
        <v>#N/A</v>
      </c>
      <c r="J204" s="259">
        <f ca="1">J208</f>
        <v>0</v>
      </c>
      <c r="K204">
        <f>K196+1</f>
        <v>25</v>
      </c>
    </row>
    <row r="205" spans="1:11">
      <c r="A205" s="277" t="s">
        <v>456</v>
      </c>
      <c r="B205" s="278">
        <f>120*DaysInYear</f>
        <v>43830.584722221844</v>
      </c>
      <c r="C205" s="279" t="e">
        <f t="shared" ref="C205:H205" ca="1" si="48">C204-C203</f>
        <v>#N/A</v>
      </c>
      <c r="D205" s="279" t="e">
        <f t="shared" ca="1" si="48"/>
        <v>#N/A</v>
      </c>
      <c r="E205" s="279" t="e">
        <f t="shared" ca="1" si="48"/>
        <v>#N/A</v>
      </c>
      <c r="F205" s="279" t="e">
        <f t="shared" ca="1" si="48"/>
        <v>#N/A</v>
      </c>
      <c r="G205" s="279" t="e">
        <f t="shared" ca="1" si="48"/>
        <v>#N/A</v>
      </c>
      <c r="H205" s="279" t="e">
        <f t="shared" ca="1" si="48"/>
        <v>#N/A</v>
      </c>
      <c r="K205">
        <f>K197</f>
        <v>0</v>
      </c>
    </row>
    <row r="206" spans="1:11">
      <c r="A206" s="277" t="s">
        <v>457</v>
      </c>
      <c r="B206" s="280">
        <f ca="1">(I208-B203)/(B204-B203)</f>
        <v>-0.51488661258669155</v>
      </c>
      <c r="C206" s="281" t="e">
        <f ca="1">(I208-C203)/(C204-C203)</f>
        <v>#N/A</v>
      </c>
      <c r="D206" s="281" t="e">
        <f ca="1">(I208-D203)/(D204-D203)</f>
        <v>#N/A</v>
      </c>
      <c r="E206" s="281" t="e">
        <f ca="1">(I208-E203)/(E204-E203)</f>
        <v>#N/A</v>
      </c>
      <c r="F206" s="281" t="e">
        <f ca="1">(I208-F203)/(F204-F203)</f>
        <v>#N/A</v>
      </c>
      <c r="G206" s="281" t="e">
        <f ca="1">(I208-G203)/(G204-G203)</f>
        <v>#N/A</v>
      </c>
      <c r="H206" s="281" t="e">
        <f ca="1">(I208-H203)/(H204-H203)</f>
        <v>#N/A</v>
      </c>
      <c r="K206">
        <f>K198</f>
        <v>0</v>
      </c>
    </row>
    <row r="207" spans="1:11">
      <c r="A207" s="277" t="s">
        <v>458</v>
      </c>
      <c r="B207" s="278"/>
      <c r="C207" s="279" t="e">
        <f ca="1">MOD(VLOOKUP(B208,PlanetData,3,0)+MATCH(B206,INDEX(VimFrac,,VLOOKUP(B208,PlanetData,3,0)+1),1)-1,9)</f>
        <v>#N/A</v>
      </c>
      <c r="D207" s="279" t="e">
        <f ca="1">MOD(VLOOKUP(C208,PlanetData,3,0)+MATCH(C206,INDEX(VimFrac,0,9*C209+VLOOKUP(C208,PlanetData,3,0)+1),IF(C209,-1,1))-1,9)</f>
        <v>#N/A</v>
      </c>
      <c r="E207" s="279" t="e">
        <f ca="1">MOD(VLOOKUP(D208,PlanetData,3,0)+MATCH(D206,INDEX(VimFrac,0,9*D209+VLOOKUP(D208,PlanetData,3,0)+1),IF(D209,-1,1))-1,9)</f>
        <v>#N/A</v>
      </c>
      <c r="F207" s="279" t="e">
        <f ca="1">MOD(VLOOKUP(E208,PlanetData,3,0)+MATCH(E206,INDEX(VimFrac,0,9*E209+VLOOKUP(E208,PlanetData,3,0)+1),IF(E209,-1,1))-1,9)</f>
        <v>#N/A</v>
      </c>
      <c r="G207" s="279" t="e">
        <f ca="1">MOD(VLOOKUP(F208,PlanetData,3,0)+MATCH(F206,INDEX(VimFrac,0,9*F209+VLOOKUP(F208,PlanetData,3,0)+1),IF(F209,-1,1))-1,9)</f>
        <v>#N/A</v>
      </c>
      <c r="H207" s="279" t="e">
        <f ca="1">MOD(VLOOKUP(G208,PlanetData,3,0)+MATCH(G206,INDEX(VimFrac,0,9*G209+VLOOKUP(G208,PlanetData,3,0)+1),IF(G209,-1,1))-1,9)</f>
        <v>#N/A</v>
      </c>
      <c r="K207">
        <f>K199</f>
        <v>0</v>
      </c>
    </row>
    <row r="208" spans="1:11">
      <c r="A208" s="277" t="s">
        <v>459</v>
      </c>
      <c r="B208" s="278" t="str">
        <f>$B$4</f>
        <v>Moon</v>
      </c>
      <c r="C208" s="279" t="e">
        <f t="shared" ref="C208:H208" ca="1" si="49">INDEX(DasaYears,IF(C207=0,9,C207),1)</f>
        <v>#N/A</v>
      </c>
      <c r="D208" s="279" t="e">
        <f t="shared" ca="1" si="49"/>
        <v>#N/A</v>
      </c>
      <c r="E208" s="279" t="e">
        <f t="shared" ca="1" si="49"/>
        <v>#N/A</v>
      </c>
      <c r="F208" s="279" t="e">
        <f t="shared" ca="1" si="49"/>
        <v>#N/A</v>
      </c>
      <c r="G208" s="279" t="e">
        <f t="shared" ca="1" si="49"/>
        <v>#N/A</v>
      </c>
      <c r="H208" s="279" t="e">
        <f t="shared" ca="1" si="49"/>
        <v>#N/A</v>
      </c>
      <c r="I208" s="261">
        <f ca="1">INDIRECT("'JHora'!$B$"&amp;($K208))</f>
        <v>0</v>
      </c>
      <c r="J208" s="261">
        <f ca="1">INDIRECT("'JHora'!$C$"&amp;($K208))</f>
        <v>0</v>
      </c>
      <c r="K208">
        <f>K200+1</f>
        <v>25</v>
      </c>
    </row>
    <row r="209" spans="1:11">
      <c r="A209" s="277" t="s">
        <v>444</v>
      </c>
      <c r="B209" s="278" t="b">
        <f>$B$7</f>
        <v>1</v>
      </c>
      <c r="C209" s="279" t="e">
        <f ca="1">IF(VLOOKUP(C208,ChartInfo,11,0),1,0)*B209</f>
        <v>#N/A</v>
      </c>
      <c r="D209" s="279" t="e">
        <f ca="1">IF(VLOOKUP(D208,ChartInfo,11,0),1,0)*B209</f>
        <v>#N/A</v>
      </c>
      <c r="E209" s="279" t="e">
        <f ca="1">IF(VLOOKUP(E208,ChartInfo,11,0),1,0)*B209</f>
        <v>#N/A</v>
      </c>
      <c r="F209" s="279" t="e">
        <f ca="1">IF(VLOOKUP(F208,ChartInfo,11,0),1,0)*B209</f>
        <v>#N/A</v>
      </c>
      <c r="G209" s="279" t="e">
        <f ca="1">IF(VLOOKUP(G208,ChartInfo,11,0),1,0)*B209</f>
        <v>#N/A</v>
      </c>
      <c r="H209" s="279" t="e">
        <f ca="1">IF(VLOOKUP(H208,ChartInfo,11,0),1,0)*B209</f>
        <v>#N/A</v>
      </c>
      <c r="K209">
        <f>K201</f>
        <v>0</v>
      </c>
    </row>
    <row r="210" spans="1:11">
      <c r="K210">
        <f>K202+1</f>
        <v>25</v>
      </c>
    </row>
    <row r="211" spans="1:11">
      <c r="A211" s="274" t="s">
        <v>454</v>
      </c>
      <c r="B211" s="275">
        <f>DoB-$E$6*DaysInYear</f>
        <v>22567.7812953188</v>
      </c>
      <c r="C211" s="276" t="e">
        <f ca="1">B211+B213*INDEX(INDEX(VimFrac,,VLOOKUP(B216,PlanetData,3,0)+1),MATCH(B214,INDEX(VimFrac,,VLOOKUP(B216,PlanetData,3,0)+1),1))</f>
        <v>#N/A</v>
      </c>
      <c r="D211" s="276" t="e">
        <f ca="1">C211+C213*INDEX(INDEX(VimFrac,0,9*C217+VLOOKUP(C216,PlanetData,3,0)+1),IF(C217,1,0)+MATCH(C214,INDEX(VimFrac,0,9*C217+VLOOKUP(C216,PlanetData,3,0)+1),IF(C217,-1,1)))</f>
        <v>#N/A</v>
      </c>
      <c r="E211" s="276" t="e">
        <f ca="1">D211+D213*INDEX(INDEX(VimFrac,0,9*D217+VLOOKUP(D216,PlanetData,3,0)+1),IF(D217,1,0)+MATCH(D214,INDEX(VimFrac,0,9*D217+VLOOKUP(D216,PlanetData,3,0)+1),IF(D217,-1,1)))</f>
        <v>#N/A</v>
      </c>
      <c r="F211" s="276" t="e">
        <f ca="1">E211+E213*INDEX(INDEX(VimFrac,0,9*E217+VLOOKUP(E216,PlanetData,3,0)+1),IF(E217,1,0)+MATCH(E214,INDEX(VimFrac,0,9*E217+VLOOKUP(E216,PlanetData,3,0)+1),IF(E217,-1,1)))</f>
        <v>#N/A</v>
      </c>
      <c r="G211" s="276" t="e">
        <f ca="1">F211+F213*INDEX(INDEX(VimFrac,0,9*F217+VLOOKUP(F216,PlanetData,3,0)+1),IF(F217,1,0)+MATCH(F214,INDEX(VimFrac,0,9*F217+VLOOKUP(F216,PlanetData,3,0)+1),IF(F217,-1,1)))</f>
        <v>#N/A</v>
      </c>
      <c r="H211" s="276" t="e">
        <f ca="1">G211+G213*INDEX(INDEX(VimFrac,0,9*G217+VLOOKUP(G216,PlanetData,3,0)+1),IF(G217,1,0)+MATCH(G214,INDEX(VimFrac,0,9*G217+VLOOKUP(G216,PlanetData,3,0)+1),IF(G217,-1,1)))</f>
        <v>#N/A</v>
      </c>
      <c r="J211" s="259">
        <f ca="1">J216</f>
        <v>0</v>
      </c>
      <c r="K211">
        <f>K203+1</f>
        <v>26</v>
      </c>
    </row>
    <row r="212" spans="1:11">
      <c r="A212" s="274" t="s">
        <v>455</v>
      </c>
      <c r="B212" s="275">
        <f>B211+B213</f>
        <v>66398.36601754064</v>
      </c>
      <c r="C212" s="276" t="e">
        <f ca="1">B211+B213*INDEX(INDEX(VimFrac,,VLOOKUP(B216,PlanetData,3,0)+1),MATCH(B214,INDEX(VimFrac,,VLOOKUP(B216,PlanetData,3,0)+1),1)+1)</f>
        <v>#N/A</v>
      </c>
      <c r="D212" s="276" t="e">
        <f ca="1">C211+C213*INDEX(INDEX(VimFrac,0,9*C217+VLOOKUP(C216,PlanetData,3,0)+1),IF(C217,0,1)+MATCH(C214,INDEX(VimFrac,0,9*C217+VLOOKUP(C216,PlanetData,3,0)+1),IF(C217,-1,1)))</f>
        <v>#N/A</v>
      </c>
      <c r="E212" s="276" t="e">
        <f ca="1">D211+D213*INDEX(INDEX(VimFrac,0,9*D217+VLOOKUP(D216,PlanetData,3,0)+1),IF(D217,0,1)+MATCH(D214,INDEX(VimFrac,0,9*D217+VLOOKUP(D216,PlanetData,3,0)+1),IF(D217,-1,1)))</f>
        <v>#N/A</v>
      </c>
      <c r="F212" s="276" t="e">
        <f ca="1">E211+E213*INDEX(INDEX(VimFrac,0,9*E217+VLOOKUP(E216,PlanetData,3,0)+1),IF(E217,0,1)+MATCH(E214,INDEX(VimFrac,0,9*E217+VLOOKUP(E216,PlanetData,3,0)+1),IF(E217,-1,1)))</f>
        <v>#N/A</v>
      </c>
      <c r="G212" s="276" t="e">
        <f ca="1">F211+F213*INDEX(INDEX(VimFrac,0,9*F217+VLOOKUP(F216,PlanetData,3,0)+1),IF(F217,0,1)+MATCH(F214,INDEX(VimFrac,0,9*F217+VLOOKUP(F216,PlanetData,3,0)+1),IF(F217,-1,1)))</f>
        <v>#N/A</v>
      </c>
      <c r="H212" s="276" t="e">
        <f ca="1">G211+G213*INDEX(INDEX(VimFrac,0,9*G217+VLOOKUP(G216,PlanetData,3,0)+1),IF(G217,0,1)+MATCH(G214,INDEX(VimFrac,0,9*G217+VLOOKUP(G216,PlanetData,3,0)+1),IF(G217,-1,1)))</f>
        <v>#N/A</v>
      </c>
      <c r="J212" s="259">
        <f ca="1">J216</f>
        <v>0</v>
      </c>
      <c r="K212">
        <f>K204+1</f>
        <v>26</v>
      </c>
    </row>
    <row r="213" spans="1:11">
      <c r="A213" s="277" t="s">
        <v>456</v>
      </c>
      <c r="B213" s="278">
        <f>120*DaysInYear</f>
        <v>43830.584722221844</v>
      </c>
      <c r="C213" s="279" t="e">
        <f t="shared" ref="C213:H213" ca="1" si="50">C212-C211</f>
        <v>#N/A</v>
      </c>
      <c r="D213" s="279" t="e">
        <f t="shared" ca="1" si="50"/>
        <v>#N/A</v>
      </c>
      <c r="E213" s="279" t="e">
        <f t="shared" ca="1" si="50"/>
        <v>#N/A</v>
      </c>
      <c r="F213" s="279" t="e">
        <f t="shared" ca="1" si="50"/>
        <v>#N/A</v>
      </c>
      <c r="G213" s="279" t="e">
        <f t="shared" ca="1" si="50"/>
        <v>#N/A</v>
      </c>
      <c r="H213" s="279" t="e">
        <f t="shared" ca="1" si="50"/>
        <v>#N/A</v>
      </c>
      <c r="K213">
        <f>K205</f>
        <v>0</v>
      </c>
    </row>
    <row r="214" spans="1:11">
      <c r="A214" s="277" t="s">
        <v>457</v>
      </c>
      <c r="B214" s="280">
        <f ca="1">(I216-B211)/(B212-B211)</f>
        <v>-0.51488661258669155</v>
      </c>
      <c r="C214" s="281" t="e">
        <f ca="1">(I216-C211)/(C212-C211)</f>
        <v>#N/A</v>
      </c>
      <c r="D214" s="281" t="e">
        <f ca="1">(I216-D211)/(D212-D211)</f>
        <v>#N/A</v>
      </c>
      <c r="E214" s="281" t="e">
        <f ca="1">(I216-E211)/(E212-E211)</f>
        <v>#N/A</v>
      </c>
      <c r="F214" s="281" t="e">
        <f ca="1">(I216-F211)/(F212-F211)</f>
        <v>#N/A</v>
      </c>
      <c r="G214" s="281" t="e">
        <f ca="1">(I216-G211)/(G212-G211)</f>
        <v>#N/A</v>
      </c>
      <c r="H214" s="281" t="e">
        <f ca="1">(I216-H211)/(H212-H211)</f>
        <v>#N/A</v>
      </c>
      <c r="K214">
        <f>K206</f>
        <v>0</v>
      </c>
    </row>
    <row r="215" spans="1:11">
      <c r="A215" s="277" t="s">
        <v>458</v>
      </c>
      <c r="B215" s="278"/>
      <c r="C215" s="279" t="e">
        <f ca="1">MOD(VLOOKUP(B216,PlanetData,3,0)+MATCH(B214,INDEX(VimFrac,,VLOOKUP(B216,PlanetData,3,0)+1),1)-1,9)</f>
        <v>#N/A</v>
      </c>
      <c r="D215" s="279" t="e">
        <f ca="1">MOD(VLOOKUP(C216,PlanetData,3,0)+MATCH(C214,INDEX(VimFrac,0,9*C217+VLOOKUP(C216,PlanetData,3,0)+1),IF(C217,-1,1))-1,9)</f>
        <v>#N/A</v>
      </c>
      <c r="E215" s="279" t="e">
        <f ca="1">MOD(VLOOKUP(D216,PlanetData,3,0)+MATCH(D214,INDEX(VimFrac,0,9*D217+VLOOKUP(D216,PlanetData,3,0)+1),IF(D217,-1,1))-1,9)</f>
        <v>#N/A</v>
      </c>
      <c r="F215" s="279" t="e">
        <f ca="1">MOD(VLOOKUP(E216,PlanetData,3,0)+MATCH(E214,INDEX(VimFrac,0,9*E217+VLOOKUP(E216,PlanetData,3,0)+1),IF(E217,-1,1))-1,9)</f>
        <v>#N/A</v>
      </c>
      <c r="G215" s="279" t="e">
        <f ca="1">MOD(VLOOKUP(F216,PlanetData,3,0)+MATCH(F214,INDEX(VimFrac,0,9*F217+VLOOKUP(F216,PlanetData,3,0)+1),IF(F217,-1,1))-1,9)</f>
        <v>#N/A</v>
      </c>
      <c r="H215" s="279" t="e">
        <f ca="1">MOD(VLOOKUP(G216,PlanetData,3,0)+MATCH(G214,INDEX(VimFrac,0,9*G217+VLOOKUP(G216,PlanetData,3,0)+1),IF(G217,-1,1))-1,9)</f>
        <v>#N/A</v>
      </c>
      <c r="K215">
        <f>K207</f>
        <v>0</v>
      </c>
    </row>
    <row r="216" spans="1:11">
      <c r="A216" s="277" t="s">
        <v>459</v>
      </c>
      <c r="B216" s="278" t="str">
        <f>$B$4</f>
        <v>Moon</v>
      </c>
      <c r="C216" s="279" t="e">
        <f t="shared" ref="C216:H216" ca="1" si="51">INDEX(DasaYears,IF(C215=0,9,C215),1)</f>
        <v>#N/A</v>
      </c>
      <c r="D216" s="279" t="e">
        <f t="shared" ca="1" si="51"/>
        <v>#N/A</v>
      </c>
      <c r="E216" s="279" t="e">
        <f t="shared" ca="1" si="51"/>
        <v>#N/A</v>
      </c>
      <c r="F216" s="279" t="e">
        <f t="shared" ca="1" si="51"/>
        <v>#N/A</v>
      </c>
      <c r="G216" s="279" t="e">
        <f t="shared" ca="1" si="51"/>
        <v>#N/A</v>
      </c>
      <c r="H216" s="279" t="e">
        <f t="shared" ca="1" si="51"/>
        <v>#N/A</v>
      </c>
      <c r="I216" s="261">
        <f ca="1">INDIRECT("'JHora'!$B$"&amp;($K216))</f>
        <v>0</v>
      </c>
      <c r="J216" s="261">
        <f ca="1">INDIRECT("'JHora'!$C$"&amp;($K216))</f>
        <v>0</v>
      </c>
      <c r="K216">
        <f>K208+1</f>
        <v>26</v>
      </c>
    </row>
    <row r="217" spans="1:11">
      <c r="A217" s="277" t="s">
        <v>444</v>
      </c>
      <c r="B217" s="278" t="b">
        <f>FALSE()</f>
        <v>0</v>
      </c>
      <c r="C217" s="279" t="e">
        <f ca="1">IF(VLOOKUP(C216,ChartInfo,11,0),1,0)*B217</f>
        <v>#N/A</v>
      </c>
      <c r="D217" s="279" t="e">
        <f ca="1">IF(VLOOKUP(D216,ChartInfo,11,0),1,0)*B217</f>
        <v>#N/A</v>
      </c>
      <c r="E217" s="279" t="e">
        <f ca="1">IF(VLOOKUP(E216,ChartInfo,11,0),1,0)*B217</f>
        <v>#N/A</v>
      </c>
      <c r="F217" s="279" t="e">
        <f ca="1">IF(VLOOKUP(F216,ChartInfo,11,0),1,0)*B217</f>
        <v>#N/A</v>
      </c>
      <c r="G217" s="279" t="e">
        <f ca="1">IF(VLOOKUP(G216,ChartInfo,11,0),1,0)*B217</f>
        <v>#N/A</v>
      </c>
      <c r="H217" s="279" t="e">
        <f ca="1">IF(VLOOKUP(H216,ChartInfo,11,0),1,0)*B217</f>
        <v>#N/A</v>
      </c>
      <c r="K217">
        <f>K209</f>
        <v>0</v>
      </c>
    </row>
    <row r="218" spans="1:11">
      <c r="K218">
        <f>K210+1</f>
        <v>26</v>
      </c>
    </row>
    <row r="219" spans="1:11">
      <c r="A219" s="274" t="s">
        <v>454</v>
      </c>
      <c r="B219" s="275">
        <f>DoB-$E$6*DaysInYear</f>
        <v>22567.7812953188</v>
      </c>
      <c r="C219" s="276" t="e">
        <f ca="1">B219+B221*INDEX(INDEX(VimFrac,,VLOOKUP(B224,PlanetData,3,0)+1),MATCH(B222,INDEX(VimFrac,,VLOOKUP(B224,PlanetData,3,0)+1),1))</f>
        <v>#N/A</v>
      </c>
      <c r="D219" s="276" t="e">
        <f ca="1">C219+C221*INDEX(INDEX(VimFrac,0,9*C225+VLOOKUP(C224,PlanetData,3,0)+1),IF(C225,1,0)+MATCH(C222,INDEX(VimFrac,0,9*C225+VLOOKUP(C224,PlanetData,3,0)+1),IF(C225,-1,1)))</f>
        <v>#N/A</v>
      </c>
      <c r="E219" s="276" t="e">
        <f ca="1">D219+D221*INDEX(INDEX(VimFrac,0,9*D225+VLOOKUP(D224,PlanetData,3,0)+1),IF(D225,1,0)+MATCH(D222,INDEX(VimFrac,0,9*D225+VLOOKUP(D224,PlanetData,3,0)+1),IF(D225,-1,1)))</f>
        <v>#N/A</v>
      </c>
      <c r="F219" s="276" t="e">
        <f ca="1">E219+E221*INDEX(INDEX(VimFrac,0,9*E225+VLOOKUP(E224,PlanetData,3,0)+1),IF(E225,1,0)+MATCH(E222,INDEX(VimFrac,0,9*E225+VLOOKUP(E224,PlanetData,3,0)+1),IF(E225,-1,1)))</f>
        <v>#N/A</v>
      </c>
      <c r="G219" s="276" t="e">
        <f ca="1">F219+F221*INDEX(INDEX(VimFrac,0,9*F225+VLOOKUP(F224,PlanetData,3,0)+1),IF(F225,1,0)+MATCH(F222,INDEX(VimFrac,0,9*F225+VLOOKUP(F224,PlanetData,3,0)+1),IF(F225,-1,1)))</f>
        <v>#N/A</v>
      </c>
      <c r="H219" s="276" t="e">
        <f ca="1">G219+G221*INDEX(INDEX(VimFrac,0,9*G225+VLOOKUP(G224,PlanetData,3,0)+1),IF(G225,1,0)+MATCH(G222,INDEX(VimFrac,0,9*G225+VLOOKUP(G224,PlanetData,3,0)+1),IF(G225,-1,1)))</f>
        <v>#N/A</v>
      </c>
      <c r="J219" s="259">
        <f ca="1">J224</f>
        <v>0</v>
      </c>
      <c r="K219">
        <f>K211+1</f>
        <v>27</v>
      </c>
    </row>
    <row r="220" spans="1:11">
      <c r="A220" s="274" t="s">
        <v>455</v>
      </c>
      <c r="B220" s="275">
        <f>B219+B221</f>
        <v>66398.36601754064</v>
      </c>
      <c r="C220" s="276" t="e">
        <f ca="1">B219+B221*INDEX(INDEX(VimFrac,,VLOOKUP(B224,PlanetData,3,0)+1),MATCH(B222,INDEX(VimFrac,,VLOOKUP(B224,PlanetData,3,0)+1),1)+1)</f>
        <v>#N/A</v>
      </c>
      <c r="D220" s="276" t="e">
        <f ca="1">C219+C221*INDEX(INDEX(VimFrac,0,9*C225+VLOOKUP(C224,PlanetData,3,0)+1),IF(C225,0,1)+MATCH(C222,INDEX(VimFrac,0,9*C225+VLOOKUP(C224,PlanetData,3,0)+1),IF(C225,-1,1)))</f>
        <v>#N/A</v>
      </c>
      <c r="E220" s="276" t="e">
        <f ca="1">D219+D221*INDEX(INDEX(VimFrac,0,9*D225+VLOOKUP(D224,PlanetData,3,0)+1),IF(D225,0,1)+MATCH(D222,INDEX(VimFrac,0,9*D225+VLOOKUP(D224,PlanetData,3,0)+1),IF(D225,-1,1)))</f>
        <v>#N/A</v>
      </c>
      <c r="F220" s="276" t="e">
        <f ca="1">E219+E221*INDEX(INDEX(VimFrac,0,9*E225+VLOOKUP(E224,PlanetData,3,0)+1),IF(E225,0,1)+MATCH(E222,INDEX(VimFrac,0,9*E225+VLOOKUP(E224,PlanetData,3,0)+1),IF(E225,-1,1)))</f>
        <v>#N/A</v>
      </c>
      <c r="G220" s="276" t="e">
        <f ca="1">F219+F221*INDEX(INDEX(VimFrac,0,9*F225+VLOOKUP(F224,PlanetData,3,0)+1),IF(F225,0,1)+MATCH(F222,INDEX(VimFrac,0,9*F225+VLOOKUP(F224,PlanetData,3,0)+1),IF(F225,-1,1)))</f>
        <v>#N/A</v>
      </c>
      <c r="H220" s="276" t="e">
        <f ca="1">G219+G221*INDEX(INDEX(VimFrac,0,9*G225+VLOOKUP(G224,PlanetData,3,0)+1),IF(G225,0,1)+MATCH(G222,INDEX(VimFrac,0,9*G225+VLOOKUP(G224,PlanetData,3,0)+1),IF(G225,-1,1)))</f>
        <v>#N/A</v>
      </c>
      <c r="J220" s="259">
        <f ca="1">J224</f>
        <v>0</v>
      </c>
      <c r="K220">
        <f>K212+1</f>
        <v>27</v>
      </c>
    </row>
    <row r="221" spans="1:11">
      <c r="A221" s="277" t="s">
        <v>456</v>
      </c>
      <c r="B221" s="278">
        <f>120*DaysInYear</f>
        <v>43830.584722221844</v>
      </c>
      <c r="C221" s="279" t="e">
        <f t="shared" ref="C221:H221" ca="1" si="52">C220-C219</f>
        <v>#N/A</v>
      </c>
      <c r="D221" s="279" t="e">
        <f t="shared" ca="1" si="52"/>
        <v>#N/A</v>
      </c>
      <c r="E221" s="279" t="e">
        <f t="shared" ca="1" si="52"/>
        <v>#N/A</v>
      </c>
      <c r="F221" s="279" t="e">
        <f t="shared" ca="1" si="52"/>
        <v>#N/A</v>
      </c>
      <c r="G221" s="279" t="e">
        <f t="shared" ca="1" si="52"/>
        <v>#N/A</v>
      </c>
      <c r="H221" s="279" t="e">
        <f t="shared" ca="1" si="52"/>
        <v>#N/A</v>
      </c>
      <c r="K221">
        <f>K213</f>
        <v>0</v>
      </c>
    </row>
    <row r="222" spans="1:11">
      <c r="A222" s="277" t="s">
        <v>457</v>
      </c>
      <c r="B222" s="280">
        <f ca="1">(I224-B219)/(B220-B219)</f>
        <v>-0.51488661258669155</v>
      </c>
      <c r="C222" s="281" t="e">
        <f ca="1">(I224-C219)/(C220-C219)</f>
        <v>#N/A</v>
      </c>
      <c r="D222" s="281" t="e">
        <f ca="1">(I224-D219)/(D220-D219)</f>
        <v>#N/A</v>
      </c>
      <c r="E222" s="281" t="e">
        <f ca="1">(I224-E219)/(E220-E219)</f>
        <v>#N/A</v>
      </c>
      <c r="F222" s="281" t="e">
        <f ca="1">(I224-F219)/(F220-F219)</f>
        <v>#N/A</v>
      </c>
      <c r="G222" s="281" t="e">
        <f ca="1">(I224-G219)/(G220-G219)</f>
        <v>#N/A</v>
      </c>
      <c r="H222" s="281" t="e">
        <f ca="1">(I224-H219)/(H220-H219)</f>
        <v>#N/A</v>
      </c>
      <c r="K222">
        <f>K214</f>
        <v>0</v>
      </c>
    </row>
    <row r="223" spans="1:11">
      <c r="A223" s="277" t="s">
        <v>458</v>
      </c>
      <c r="B223" s="278"/>
      <c r="C223" s="279" t="e">
        <f ca="1">MOD(VLOOKUP(B224,PlanetData,3,0)+MATCH(B222,INDEX(VimFrac,,VLOOKUP(B224,PlanetData,3,0)+1),1)-1,9)</f>
        <v>#N/A</v>
      </c>
      <c r="D223" s="279" t="e">
        <f ca="1">MOD(VLOOKUP(C224,PlanetData,3,0)+MATCH(C222,INDEX(VimFrac,0,9*C225+VLOOKUP(C224,PlanetData,3,0)+1),IF(C225,-1,1))-1,9)</f>
        <v>#N/A</v>
      </c>
      <c r="E223" s="279" t="e">
        <f ca="1">MOD(VLOOKUP(D224,PlanetData,3,0)+MATCH(D222,INDEX(VimFrac,0,9*D225+VLOOKUP(D224,PlanetData,3,0)+1),IF(D225,-1,1))-1,9)</f>
        <v>#N/A</v>
      </c>
      <c r="F223" s="279" t="e">
        <f ca="1">MOD(VLOOKUP(E224,PlanetData,3,0)+MATCH(E222,INDEX(VimFrac,0,9*E225+VLOOKUP(E224,PlanetData,3,0)+1),IF(E225,-1,1))-1,9)</f>
        <v>#N/A</v>
      </c>
      <c r="G223" s="279" t="e">
        <f ca="1">MOD(VLOOKUP(F224,PlanetData,3,0)+MATCH(F222,INDEX(VimFrac,0,9*F225+VLOOKUP(F224,PlanetData,3,0)+1),IF(F225,-1,1))-1,9)</f>
        <v>#N/A</v>
      </c>
      <c r="H223" s="279" t="e">
        <f ca="1">MOD(VLOOKUP(G224,PlanetData,3,0)+MATCH(G222,INDEX(VimFrac,0,9*G225+VLOOKUP(G224,PlanetData,3,0)+1),IF(G225,-1,1))-1,9)</f>
        <v>#N/A</v>
      </c>
      <c r="K223">
        <f>K215</f>
        <v>0</v>
      </c>
    </row>
    <row r="224" spans="1:11">
      <c r="A224" s="277" t="s">
        <v>459</v>
      </c>
      <c r="B224" s="278" t="str">
        <f>$B$4</f>
        <v>Moon</v>
      </c>
      <c r="C224" s="279" t="e">
        <f t="shared" ref="C224:H224" ca="1" si="53">INDEX(DasaYears,IF(C223=0,9,C223),1)</f>
        <v>#N/A</v>
      </c>
      <c r="D224" s="279" t="e">
        <f t="shared" ca="1" si="53"/>
        <v>#N/A</v>
      </c>
      <c r="E224" s="279" t="e">
        <f t="shared" ca="1" si="53"/>
        <v>#N/A</v>
      </c>
      <c r="F224" s="279" t="e">
        <f t="shared" ca="1" si="53"/>
        <v>#N/A</v>
      </c>
      <c r="G224" s="279" t="e">
        <f t="shared" ca="1" si="53"/>
        <v>#N/A</v>
      </c>
      <c r="H224" s="279" t="e">
        <f t="shared" ca="1" si="53"/>
        <v>#N/A</v>
      </c>
      <c r="I224" s="261">
        <f ca="1">INDIRECT("'JHora'!$B$"&amp;($K224))</f>
        <v>0</v>
      </c>
      <c r="J224" s="261">
        <f ca="1">INDIRECT("'JHora'!$C$"&amp;($K224))</f>
        <v>0</v>
      </c>
      <c r="K224">
        <f>K216+1</f>
        <v>27</v>
      </c>
    </row>
    <row r="225" spans="1:11">
      <c r="A225" s="277" t="s">
        <v>444</v>
      </c>
      <c r="B225" s="278" t="b">
        <f>$B$7</f>
        <v>1</v>
      </c>
      <c r="C225" s="279" t="e">
        <f ca="1">IF(VLOOKUP(C224,ChartInfo,11,0),1,0)*B225</f>
        <v>#N/A</v>
      </c>
      <c r="D225" s="279" t="e">
        <f ca="1">IF(VLOOKUP(D224,ChartInfo,11,0),1,0)*B225</f>
        <v>#N/A</v>
      </c>
      <c r="E225" s="279" t="e">
        <f ca="1">IF(VLOOKUP(E224,ChartInfo,11,0),1,0)*B225</f>
        <v>#N/A</v>
      </c>
      <c r="F225" s="279" t="e">
        <f ca="1">IF(VLOOKUP(F224,ChartInfo,11,0),1,0)*B225</f>
        <v>#N/A</v>
      </c>
      <c r="G225" s="279" t="e">
        <f ca="1">IF(VLOOKUP(G224,ChartInfo,11,0),1,0)*B225</f>
        <v>#N/A</v>
      </c>
      <c r="H225" s="279" t="e">
        <f ca="1">IF(VLOOKUP(H224,ChartInfo,11,0),1,0)*B225</f>
        <v>#N/A</v>
      </c>
      <c r="I225" s="149">
        <f ca="1">NOW()-I224</f>
        <v>45090.610316087965</v>
      </c>
      <c r="K225">
        <f>K217</f>
        <v>0</v>
      </c>
    </row>
    <row r="226" spans="1:11">
      <c r="K226">
        <f>K218+1</f>
        <v>27</v>
      </c>
    </row>
    <row r="227" spans="1:11">
      <c r="A227" s="274" t="s">
        <v>454</v>
      </c>
      <c r="B227" s="275">
        <f>DoB-$E$6*DaysInYear</f>
        <v>22567.7812953188</v>
      </c>
      <c r="C227" s="276" t="e">
        <f ca="1">B227+B229*INDEX(INDEX(VimFrac,,VLOOKUP(B232,PlanetData,3,0)+1),MATCH(B230,INDEX(VimFrac,,VLOOKUP(B232,PlanetData,3,0)+1),1))</f>
        <v>#N/A</v>
      </c>
      <c r="D227" s="276" t="e">
        <f ca="1">C227+C229*INDEX(INDEX(VimFrac,0,9*C233+VLOOKUP(C232,PlanetData,3,0)+1),IF(C233,1,0)+MATCH(C230,INDEX(VimFrac,0,9*C233+VLOOKUP(C232,PlanetData,3,0)+1),IF(C233,-1,1)))</f>
        <v>#N/A</v>
      </c>
      <c r="E227" s="276" t="e">
        <f ca="1">D227+D229*INDEX(INDEX(VimFrac,0,9*D233+VLOOKUP(D232,PlanetData,3,0)+1),IF(D233,1,0)+MATCH(D230,INDEX(VimFrac,0,9*D233+VLOOKUP(D232,PlanetData,3,0)+1),IF(D233,-1,1)))</f>
        <v>#N/A</v>
      </c>
      <c r="F227" s="276" t="e">
        <f ca="1">E227+E229*INDEX(INDEX(VimFrac,0,9*E233+VLOOKUP(E232,PlanetData,3,0)+1),IF(E233,1,0)+MATCH(E230,INDEX(VimFrac,0,9*E233+VLOOKUP(E232,PlanetData,3,0)+1),IF(E233,-1,1)))</f>
        <v>#N/A</v>
      </c>
      <c r="G227" s="276" t="e">
        <f ca="1">F227+F229*INDEX(INDEX(VimFrac,0,9*F233+VLOOKUP(F232,PlanetData,3,0)+1),IF(F233,1,0)+MATCH(F230,INDEX(VimFrac,0,9*F233+VLOOKUP(F232,PlanetData,3,0)+1),IF(F233,-1,1)))</f>
        <v>#N/A</v>
      </c>
      <c r="H227" s="276" t="e">
        <f ca="1">G227+G229*INDEX(INDEX(VimFrac,0,9*G233+VLOOKUP(G232,PlanetData,3,0)+1),IF(G233,1,0)+MATCH(G230,INDEX(VimFrac,0,9*G233+VLOOKUP(G232,PlanetData,3,0)+1),IF(G233,-1,1)))</f>
        <v>#N/A</v>
      </c>
      <c r="J227" s="259">
        <f ca="1">J232</f>
        <v>0</v>
      </c>
      <c r="K227">
        <f>K219+1</f>
        <v>28</v>
      </c>
    </row>
    <row r="228" spans="1:11">
      <c r="A228" s="274" t="s">
        <v>455</v>
      </c>
      <c r="B228" s="275">
        <f>B227+B229</f>
        <v>66398.36601754064</v>
      </c>
      <c r="C228" s="276" t="e">
        <f ca="1">B227+B229*INDEX(INDEX(VimFrac,,VLOOKUP(B232,PlanetData,3,0)+1),MATCH(B230,INDEX(VimFrac,,VLOOKUP(B232,PlanetData,3,0)+1),1)+1)</f>
        <v>#N/A</v>
      </c>
      <c r="D228" s="276" t="e">
        <f ca="1">C227+C229*INDEX(INDEX(VimFrac,0,9*C233+VLOOKUP(C232,PlanetData,3,0)+1),IF(C233,0,1)+MATCH(C230,INDEX(VimFrac,0,9*C233+VLOOKUP(C232,PlanetData,3,0)+1),IF(C233,-1,1)))</f>
        <v>#N/A</v>
      </c>
      <c r="E228" s="276" t="e">
        <f ca="1">D227+D229*INDEX(INDEX(VimFrac,0,9*D233+VLOOKUP(D232,PlanetData,3,0)+1),IF(D233,0,1)+MATCH(D230,INDEX(VimFrac,0,9*D233+VLOOKUP(D232,PlanetData,3,0)+1),IF(D233,-1,1)))</f>
        <v>#N/A</v>
      </c>
      <c r="F228" s="276" t="e">
        <f ca="1">E227+E229*INDEX(INDEX(VimFrac,0,9*E233+VLOOKUP(E232,PlanetData,3,0)+1),IF(E233,0,1)+MATCH(E230,INDEX(VimFrac,0,9*E233+VLOOKUP(E232,PlanetData,3,0)+1),IF(E233,-1,1)))</f>
        <v>#N/A</v>
      </c>
      <c r="G228" s="276" t="e">
        <f ca="1">F227+F229*INDEX(INDEX(VimFrac,0,9*F233+VLOOKUP(F232,PlanetData,3,0)+1),IF(F233,0,1)+MATCH(F230,INDEX(VimFrac,0,9*F233+VLOOKUP(F232,PlanetData,3,0)+1),IF(F233,-1,1)))</f>
        <v>#N/A</v>
      </c>
      <c r="H228" s="276" t="e">
        <f ca="1">G227+G229*INDEX(INDEX(VimFrac,0,9*G233+VLOOKUP(G232,PlanetData,3,0)+1),IF(G233,0,1)+MATCH(G230,INDEX(VimFrac,0,9*G233+VLOOKUP(G232,PlanetData,3,0)+1),IF(G233,-1,1)))</f>
        <v>#N/A</v>
      </c>
      <c r="J228" s="259">
        <f ca="1">J232</f>
        <v>0</v>
      </c>
      <c r="K228">
        <f>K220+1</f>
        <v>28</v>
      </c>
    </row>
    <row r="229" spans="1:11">
      <c r="A229" s="277" t="s">
        <v>456</v>
      </c>
      <c r="B229" s="278">
        <f>120*DaysInYear</f>
        <v>43830.584722221844</v>
      </c>
      <c r="C229" s="279" t="e">
        <f t="shared" ref="C229:H229" ca="1" si="54">C228-C227</f>
        <v>#N/A</v>
      </c>
      <c r="D229" s="279" t="e">
        <f t="shared" ca="1" si="54"/>
        <v>#N/A</v>
      </c>
      <c r="E229" s="279" t="e">
        <f t="shared" ca="1" si="54"/>
        <v>#N/A</v>
      </c>
      <c r="F229" s="279" t="e">
        <f t="shared" ca="1" si="54"/>
        <v>#N/A</v>
      </c>
      <c r="G229" s="279" t="e">
        <f t="shared" ca="1" si="54"/>
        <v>#N/A</v>
      </c>
      <c r="H229" s="279" t="e">
        <f t="shared" ca="1" si="54"/>
        <v>#N/A</v>
      </c>
      <c r="K229">
        <f>K221</f>
        <v>0</v>
      </c>
    </row>
    <row r="230" spans="1:11">
      <c r="A230" s="277" t="s">
        <v>457</v>
      </c>
      <c r="B230" s="280">
        <f ca="1">(I232-B227)/(B228-B227)</f>
        <v>-0.51488661258669155</v>
      </c>
      <c r="C230" s="281" t="e">
        <f ca="1">(I232-C227)/(C228-C227)</f>
        <v>#N/A</v>
      </c>
      <c r="D230" s="281" t="e">
        <f ca="1">(I232-D227)/(D228-D227)</f>
        <v>#N/A</v>
      </c>
      <c r="E230" s="281" t="e">
        <f ca="1">(I232-E227)/(E228-E227)</f>
        <v>#N/A</v>
      </c>
      <c r="F230" s="281" t="e">
        <f ca="1">(I232-F227)/(F228-F227)</f>
        <v>#N/A</v>
      </c>
      <c r="G230" s="281" t="e">
        <f ca="1">(I232-G227)/(G228-G227)</f>
        <v>#N/A</v>
      </c>
      <c r="H230" s="281" t="e">
        <f ca="1">(I232-H227)/(H228-H227)</f>
        <v>#N/A</v>
      </c>
      <c r="K230">
        <f>K222</f>
        <v>0</v>
      </c>
    </row>
    <row r="231" spans="1:11">
      <c r="A231" s="277" t="s">
        <v>458</v>
      </c>
      <c r="B231" s="278"/>
      <c r="C231" s="279" t="e">
        <f ca="1">MOD(VLOOKUP(B232,PlanetData,3,0)+MATCH(B230,INDEX(VimFrac,,VLOOKUP(B232,PlanetData,3,0)+1),1)-1,9)</f>
        <v>#N/A</v>
      </c>
      <c r="D231" s="279" t="e">
        <f ca="1">MOD(VLOOKUP(C232,PlanetData,3,0)+MATCH(C230,INDEX(VimFrac,0,9*C233+VLOOKUP(C232,PlanetData,3,0)+1),IF(C233,-1,1))-1,9)</f>
        <v>#N/A</v>
      </c>
      <c r="E231" s="279" t="e">
        <f ca="1">MOD(VLOOKUP(D232,PlanetData,3,0)+MATCH(D230,INDEX(VimFrac,0,9*D233+VLOOKUP(D232,PlanetData,3,0)+1),IF(D233,-1,1))-1,9)</f>
        <v>#N/A</v>
      </c>
      <c r="F231" s="279" t="e">
        <f ca="1">MOD(VLOOKUP(E232,PlanetData,3,0)+MATCH(E230,INDEX(VimFrac,0,9*E233+VLOOKUP(E232,PlanetData,3,0)+1),IF(E233,-1,1))-1,9)</f>
        <v>#N/A</v>
      </c>
      <c r="G231" s="279" t="e">
        <f ca="1">MOD(VLOOKUP(F232,PlanetData,3,0)+MATCH(F230,INDEX(VimFrac,0,9*F233+VLOOKUP(F232,PlanetData,3,0)+1),IF(F233,-1,1))-1,9)</f>
        <v>#N/A</v>
      </c>
      <c r="H231" s="279" t="e">
        <f ca="1">MOD(VLOOKUP(G232,PlanetData,3,0)+MATCH(G230,INDEX(VimFrac,0,9*G233+VLOOKUP(G232,PlanetData,3,0)+1),IF(G233,-1,1))-1,9)</f>
        <v>#N/A</v>
      </c>
      <c r="K231">
        <f>K223</f>
        <v>0</v>
      </c>
    </row>
    <row r="232" spans="1:11">
      <c r="A232" s="277" t="s">
        <v>459</v>
      </c>
      <c r="B232" s="278" t="str">
        <f>$B$4</f>
        <v>Moon</v>
      </c>
      <c r="C232" s="279" t="e">
        <f t="shared" ref="C232:H232" ca="1" si="55">INDEX(DasaYears,IF(C231=0,9,C231),1)</f>
        <v>#N/A</v>
      </c>
      <c r="D232" s="279" t="e">
        <f t="shared" ca="1" si="55"/>
        <v>#N/A</v>
      </c>
      <c r="E232" s="279" t="e">
        <f t="shared" ca="1" si="55"/>
        <v>#N/A</v>
      </c>
      <c r="F232" s="279" t="e">
        <f t="shared" ca="1" si="55"/>
        <v>#N/A</v>
      </c>
      <c r="G232" s="279" t="e">
        <f t="shared" ca="1" si="55"/>
        <v>#N/A</v>
      </c>
      <c r="H232" s="279" t="e">
        <f t="shared" ca="1" si="55"/>
        <v>#N/A</v>
      </c>
      <c r="I232" s="261">
        <f ca="1">INDIRECT("'JHora'!$B$"&amp;($K232))</f>
        <v>0</v>
      </c>
      <c r="J232" s="261">
        <f ca="1">INDIRECT("'JHora'!$C$"&amp;($K232))</f>
        <v>0</v>
      </c>
      <c r="K232">
        <f>K224+1</f>
        <v>28</v>
      </c>
    </row>
    <row r="233" spans="1:11">
      <c r="A233" s="277" t="s">
        <v>444</v>
      </c>
      <c r="B233" s="278" t="b">
        <f>$B$7</f>
        <v>1</v>
      </c>
      <c r="C233" s="279" t="e">
        <f ca="1">IF(VLOOKUP(C232,ChartInfo,11,0),1,0)*B233</f>
        <v>#N/A</v>
      </c>
      <c r="D233" s="279" t="e">
        <f ca="1">IF(VLOOKUP(D232,ChartInfo,11,0),1,0)*B233</f>
        <v>#N/A</v>
      </c>
      <c r="E233" s="279" t="e">
        <f ca="1">IF(VLOOKUP(E232,ChartInfo,11,0),1,0)*B233</f>
        <v>#N/A</v>
      </c>
      <c r="F233" s="279" t="e">
        <f ca="1">IF(VLOOKUP(F232,ChartInfo,11,0),1,0)*B233</f>
        <v>#N/A</v>
      </c>
      <c r="G233" s="279" t="e">
        <f ca="1">IF(VLOOKUP(G232,ChartInfo,11,0),1,0)*B233</f>
        <v>#N/A</v>
      </c>
      <c r="H233" s="279" t="e">
        <f ca="1">IF(VLOOKUP(H232,ChartInfo,11,0),1,0)*B233</f>
        <v>#N/A</v>
      </c>
      <c r="I233" s="149"/>
      <c r="K233">
        <f>K225</f>
        <v>0</v>
      </c>
    </row>
    <row r="234" spans="1:11">
      <c r="K234">
        <f>K226+1</f>
        <v>28</v>
      </c>
    </row>
    <row r="235" spans="1:11">
      <c r="A235" s="274" t="s">
        <v>454</v>
      </c>
      <c r="B235" s="275">
        <f>DoB-$E$6*DaysInYear</f>
        <v>22567.7812953188</v>
      </c>
      <c r="C235" s="276" t="e">
        <f ca="1">B235+B237*INDEX(INDEX(VimFrac,,VLOOKUP(B240,PlanetData,3,0)+1),MATCH(B238,INDEX(VimFrac,,VLOOKUP(B240,PlanetData,3,0)+1),1))</f>
        <v>#N/A</v>
      </c>
      <c r="D235" s="276" t="e">
        <f ca="1">C235+C237*INDEX(INDEX(VimFrac,0,9*C241+VLOOKUP(C240,PlanetData,3,0)+1),IF(C241,1,0)+MATCH(C238,INDEX(VimFrac,0,9*C241+VLOOKUP(C240,PlanetData,3,0)+1),IF(C241,-1,1)))</f>
        <v>#N/A</v>
      </c>
      <c r="E235" s="276" t="e">
        <f ca="1">D235+D237*INDEX(INDEX(VimFrac,0,9*D241+VLOOKUP(D240,PlanetData,3,0)+1),IF(D241,1,0)+MATCH(D238,INDEX(VimFrac,0,9*D241+VLOOKUP(D240,PlanetData,3,0)+1),IF(D241,-1,1)))</f>
        <v>#N/A</v>
      </c>
      <c r="F235" s="276" t="e">
        <f ca="1">E235+E237*INDEX(INDEX(VimFrac,0,9*E241+VLOOKUP(E240,PlanetData,3,0)+1),IF(E241,1,0)+MATCH(E238,INDEX(VimFrac,0,9*E241+VLOOKUP(E240,PlanetData,3,0)+1),IF(E241,-1,1)))</f>
        <v>#N/A</v>
      </c>
      <c r="G235" s="276" t="e">
        <f ca="1">F235+F237*INDEX(INDEX(VimFrac,0,9*F241+VLOOKUP(F240,PlanetData,3,0)+1),IF(F241,1,0)+MATCH(F238,INDEX(VimFrac,0,9*F241+VLOOKUP(F240,PlanetData,3,0)+1),IF(F241,-1,1)))</f>
        <v>#N/A</v>
      </c>
      <c r="H235" s="276" t="e">
        <f ca="1">G235+G237*INDEX(INDEX(VimFrac,0,9*G241+VLOOKUP(G240,PlanetData,3,0)+1),IF(G241,1,0)+MATCH(G238,INDEX(VimFrac,0,9*G241+VLOOKUP(G240,PlanetData,3,0)+1),IF(G241,-1,1)))</f>
        <v>#N/A</v>
      </c>
      <c r="J235" s="259">
        <f ca="1">J240</f>
        <v>0</v>
      </c>
      <c r="K235">
        <f>K227+1</f>
        <v>29</v>
      </c>
    </row>
    <row r="236" spans="1:11">
      <c r="A236" s="274" t="s">
        <v>455</v>
      </c>
      <c r="B236" s="275">
        <f>B235+B237</f>
        <v>66398.36601754064</v>
      </c>
      <c r="C236" s="276" t="e">
        <f ca="1">B235+B237*INDEX(INDEX(VimFrac,,VLOOKUP(B240,PlanetData,3,0)+1),MATCH(B238,INDEX(VimFrac,,VLOOKUP(B240,PlanetData,3,0)+1),1)+1)</f>
        <v>#N/A</v>
      </c>
      <c r="D236" s="276" t="e">
        <f ca="1">C235+C237*INDEX(INDEX(VimFrac,0,9*C241+VLOOKUP(C240,PlanetData,3,0)+1),IF(C241,0,1)+MATCH(C238,INDEX(VimFrac,0,9*C241+VLOOKUP(C240,PlanetData,3,0)+1),IF(C241,-1,1)))</f>
        <v>#N/A</v>
      </c>
      <c r="E236" s="276" t="e">
        <f ca="1">D235+D237*INDEX(INDEX(VimFrac,0,9*D241+VLOOKUP(D240,PlanetData,3,0)+1),IF(D241,0,1)+MATCH(D238,INDEX(VimFrac,0,9*D241+VLOOKUP(D240,PlanetData,3,0)+1),IF(D241,-1,1)))</f>
        <v>#N/A</v>
      </c>
      <c r="F236" s="276" t="e">
        <f ca="1">E235+E237*INDEX(INDEX(VimFrac,0,9*E241+VLOOKUP(E240,PlanetData,3,0)+1),IF(E241,0,1)+MATCH(E238,INDEX(VimFrac,0,9*E241+VLOOKUP(E240,PlanetData,3,0)+1),IF(E241,-1,1)))</f>
        <v>#N/A</v>
      </c>
      <c r="G236" s="276" t="e">
        <f ca="1">F235+F237*INDEX(INDEX(VimFrac,0,9*F241+VLOOKUP(F240,PlanetData,3,0)+1),IF(F241,0,1)+MATCH(F238,INDEX(VimFrac,0,9*F241+VLOOKUP(F240,PlanetData,3,0)+1),IF(F241,-1,1)))</f>
        <v>#N/A</v>
      </c>
      <c r="H236" s="276" t="e">
        <f ca="1">G235+G237*INDEX(INDEX(VimFrac,0,9*G241+VLOOKUP(G240,PlanetData,3,0)+1),IF(G241,0,1)+MATCH(G238,INDEX(VimFrac,0,9*G241+VLOOKUP(G240,PlanetData,3,0)+1),IF(G241,-1,1)))</f>
        <v>#N/A</v>
      </c>
      <c r="J236" s="259">
        <f ca="1">J240</f>
        <v>0</v>
      </c>
      <c r="K236">
        <f>K228+1</f>
        <v>29</v>
      </c>
    </row>
    <row r="237" spans="1:11">
      <c r="A237" s="277" t="s">
        <v>456</v>
      </c>
      <c r="B237" s="278">
        <f>120*DaysInYear</f>
        <v>43830.584722221844</v>
      </c>
      <c r="C237" s="279" t="e">
        <f t="shared" ref="C237:H237" ca="1" si="56">C236-C235</f>
        <v>#N/A</v>
      </c>
      <c r="D237" s="279" t="e">
        <f t="shared" ca="1" si="56"/>
        <v>#N/A</v>
      </c>
      <c r="E237" s="279" t="e">
        <f t="shared" ca="1" si="56"/>
        <v>#N/A</v>
      </c>
      <c r="F237" s="279" t="e">
        <f t="shared" ca="1" si="56"/>
        <v>#N/A</v>
      </c>
      <c r="G237" s="279" t="e">
        <f t="shared" ca="1" si="56"/>
        <v>#N/A</v>
      </c>
      <c r="H237" s="279" t="e">
        <f t="shared" ca="1" si="56"/>
        <v>#N/A</v>
      </c>
      <c r="K237">
        <f>K229</f>
        <v>0</v>
      </c>
    </row>
    <row r="238" spans="1:11">
      <c r="A238" s="277" t="s">
        <v>457</v>
      </c>
      <c r="B238" s="280">
        <f ca="1">(I240-B235)/(B236-B235)</f>
        <v>-0.51488661258669155</v>
      </c>
      <c r="C238" s="281" t="e">
        <f ca="1">(I240-C235)/(C236-C235)</f>
        <v>#N/A</v>
      </c>
      <c r="D238" s="281" t="e">
        <f ca="1">(I240-D235)/(D236-D235)</f>
        <v>#N/A</v>
      </c>
      <c r="E238" s="281" t="e">
        <f ca="1">(I240-E235)/(E236-E235)</f>
        <v>#N/A</v>
      </c>
      <c r="F238" s="281" t="e">
        <f ca="1">(I240-F235)/(F236-F235)</f>
        <v>#N/A</v>
      </c>
      <c r="G238" s="281" t="e">
        <f ca="1">(I240-G235)/(G236-G235)</f>
        <v>#N/A</v>
      </c>
      <c r="H238" s="281" t="e">
        <f ca="1">(I240-H235)/(H236-H235)</f>
        <v>#N/A</v>
      </c>
      <c r="K238">
        <f>K230</f>
        <v>0</v>
      </c>
    </row>
    <row r="239" spans="1:11">
      <c r="A239" s="277" t="s">
        <v>458</v>
      </c>
      <c r="B239" s="278"/>
      <c r="C239" s="279" t="e">
        <f ca="1">MOD(VLOOKUP(B240,PlanetData,3,0)+MATCH(B238,INDEX(VimFrac,,VLOOKUP(B240,PlanetData,3,0)+1),1)-1,9)</f>
        <v>#N/A</v>
      </c>
      <c r="D239" s="279" t="e">
        <f ca="1">MOD(VLOOKUP(C240,PlanetData,3,0)+MATCH(C238,INDEX(VimFrac,0,9*C241+VLOOKUP(C240,PlanetData,3,0)+1),IF(C241,-1,1))-1,9)</f>
        <v>#N/A</v>
      </c>
      <c r="E239" s="279" t="e">
        <f ca="1">MOD(VLOOKUP(D240,PlanetData,3,0)+MATCH(D238,INDEX(VimFrac,0,9*D241+VLOOKUP(D240,PlanetData,3,0)+1),IF(D241,-1,1))-1,9)</f>
        <v>#N/A</v>
      </c>
      <c r="F239" s="279" t="e">
        <f ca="1">MOD(VLOOKUP(E240,PlanetData,3,0)+MATCH(E238,INDEX(VimFrac,0,9*E241+VLOOKUP(E240,PlanetData,3,0)+1),IF(E241,-1,1))-1,9)</f>
        <v>#N/A</v>
      </c>
      <c r="G239" s="279" t="e">
        <f ca="1">MOD(VLOOKUP(F240,PlanetData,3,0)+MATCH(F238,INDEX(VimFrac,0,9*F241+VLOOKUP(F240,PlanetData,3,0)+1),IF(F241,-1,1))-1,9)</f>
        <v>#N/A</v>
      </c>
      <c r="H239" s="279" t="e">
        <f ca="1">MOD(VLOOKUP(G240,PlanetData,3,0)+MATCH(G238,INDEX(VimFrac,0,9*G241+VLOOKUP(G240,PlanetData,3,0)+1),IF(G241,-1,1))-1,9)</f>
        <v>#N/A</v>
      </c>
      <c r="K239">
        <f>K231</f>
        <v>0</v>
      </c>
    </row>
    <row r="240" spans="1:11">
      <c r="A240" s="277" t="s">
        <v>459</v>
      </c>
      <c r="B240" s="278" t="str">
        <f>$B$4</f>
        <v>Moon</v>
      </c>
      <c r="C240" s="279" t="e">
        <f t="shared" ref="C240:H240" ca="1" si="57">INDEX(DasaYears,IF(C239=0,9,C239),1)</f>
        <v>#N/A</v>
      </c>
      <c r="D240" s="279" t="e">
        <f t="shared" ca="1" si="57"/>
        <v>#N/A</v>
      </c>
      <c r="E240" s="279" t="e">
        <f t="shared" ca="1" si="57"/>
        <v>#N/A</v>
      </c>
      <c r="F240" s="279" t="e">
        <f t="shared" ca="1" si="57"/>
        <v>#N/A</v>
      </c>
      <c r="G240" s="279" t="e">
        <f t="shared" ca="1" si="57"/>
        <v>#N/A</v>
      </c>
      <c r="H240" s="279" t="e">
        <f t="shared" ca="1" si="57"/>
        <v>#N/A</v>
      </c>
      <c r="I240" s="261">
        <f ca="1">INDIRECT("'JHora'!$B$"&amp;($K240))</f>
        <v>0</v>
      </c>
      <c r="J240" s="261">
        <f ca="1">INDIRECT("'JHora'!$C$"&amp;($K240))</f>
        <v>0</v>
      </c>
      <c r="K240">
        <f>K232+1</f>
        <v>29</v>
      </c>
    </row>
    <row r="241" spans="1:11">
      <c r="A241" s="277" t="s">
        <v>444</v>
      </c>
      <c r="B241" s="278" t="b">
        <f>$B$7</f>
        <v>1</v>
      </c>
      <c r="C241" s="279" t="e">
        <f ca="1">IF(VLOOKUP(C240,ChartInfo,11,0),1,0)*B241</f>
        <v>#N/A</v>
      </c>
      <c r="D241" s="279" t="e">
        <f ca="1">IF(VLOOKUP(D240,ChartInfo,11,0),1,0)*B241</f>
        <v>#N/A</v>
      </c>
      <c r="E241" s="279" t="e">
        <f ca="1">IF(VLOOKUP(E240,ChartInfo,11,0),1,0)*B241</f>
        <v>#N/A</v>
      </c>
      <c r="F241" s="279" t="e">
        <f ca="1">IF(VLOOKUP(F240,ChartInfo,11,0),1,0)*B241</f>
        <v>#N/A</v>
      </c>
      <c r="G241" s="279" t="e">
        <f ca="1">IF(VLOOKUP(G240,ChartInfo,11,0),1,0)*B241</f>
        <v>#N/A</v>
      </c>
      <c r="H241" s="279" t="e">
        <f ca="1">IF(VLOOKUP(H240,ChartInfo,11,0),1,0)*B241</f>
        <v>#N/A</v>
      </c>
      <c r="I241" s="149"/>
      <c r="K241">
        <f>K233</f>
        <v>0</v>
      </c>
    </row>
    <row r="242" spans="1:11">
      <c r="K242">
        <f>K234+1</f>
        <v>29</v>
      </c>
    </row>
    <row r="243" spans="1:11">
      <c r="A243" s="274" t="s">
        <v>454</v>
      </c>
      <c r="B243" s="275">
        <f>DoB-$E$6*DaysInYear</f>
        <v>22567.7812953188</v>
      </c>
      <c r="C243" s="276" t="e">
        <f ca="1">B243+B245*INDEX(INDEX(VimFrac,,VLOOKUP(B248,PlanetData,3,0)+1),MATCH(B246,INDEX(VimFrac,,VLOOKUP(B248,PlanetData,3,0)+1),1))</f>
        <v>#N/A</v>
      </c>
      <c r="D243" s="276" t="e">
        <f ca="1">C243+C245*INDEX(INDEX(VimFrac,0,9*C249+VLOOKUP(C248,PlanetData,3,0)+1),IF(C249,1,0)+MATCH(C246,INDEX(VimFrac,0,9*C249+VLOOKUP(C248,PlanetData,3,0)+1),IF(C249,-1,1)))</f>
        <v>#N/A</v>
      </c>
      <c r="E243" s="276" t="e">
        <f ca="1">D243+D245*INDEX(INDEX(VimFrac,0,9*D249+VLOOKUP(D248,PlanetData,3,0)+1),IF(D249,1,0)+MATCH(D246,INDEX(VimFrac,0,9*D249+VLOOKUP(D248,PlanetData,3,0)+1),IF(D249,-1,1)))</f>
        <v>#N/A</v>
      </c>
      <c r="F243" s="276" t="e">
        <f ca="1">E243+E245*INDEX(INDEX(VimFrac,0,9*E249+VLOOKUP(E248,PlanetData,3,0)+1),IF(E249,1,0)+MATCH(E246,INDEX(VimFrac,0,9*E249+VLOOKUP(E248,PlanetData,3,0)+1),IF(E249,-1,1)))</f>
        <v>#N/A</v>
      </c>
      <c r="G243" s="276" t="e">
        <f ca="1">F243+F245*INDEX(INDEX(VimFrac,0,9*F249+VLOOKUP(F248,PlanetData,3,0)+1),IF(F249,1,0)+MATCH(F246,INDEX(VimFrac,0,9*F249+VLOOKUP(F248,PlanetData,3,0)+1),IF(F249,-1,1)))</f>
        <v>#N/A</v>
      </c>
      <c r="H243" s="276" t="e">
        <f ca="1">G243+G245*INDEX(INDEX(VimFrac,0,9*G249+VLOOKUP(G248,PlanetData,3,0)+1),IF(G249,1,0)+MATCH(G246,INDEX(VimFrac,0,9*G249+VLOOKUP(G248,PlanetData,3,0)+1),IF(G249,-1,1)))</f>
        <v>#N/A</v>
      </c>
      <c r="J243" s="259">
        <f ca="1">J248</f>
        <v>0</v>
      </c>
      <c r="K243">
        <f>K235+1</f>
        <v>30</v>
      </c>
    </row>
    <row r="244" spans="1:11">
      <c r="A244" s="274" t="s">
        <v>455</v>
      </c>
      <c r="B244" s="275">
        <f>B243+B245</f>
        <v>66398.36601754064</v>
      </c>
      <c r="C244" s="276" t="e">
        <f ca="1">B243+B245*INDEX(INDEX(VimFrac,,VLOOKUP(B248,PlanetData,3,0)+1),MATCH(B246,INDEX(VimFrac,,VLOOKUP(B248,PlanetData,3,0)+1),1)+1)</f>
        <v>#N/A</v>
      </c>
      <c r="D244" s="276" t="e">
        <f ca="1">C243+C245*INDEX(INDEX(VimFrac,0,9*C249+VLOOKUP(C248,PlanetData,3,0)+1),IF(C249,0,1)+MATCH(C246,INDEX(VimFrac,0,9*C249+VLOOKUP(C248,PlanetData,3,0)+1),IF(C249,-1,1)))</f>
        <v>#N/A</v>
      </c>
      <c r="E244" s="276" t="e">
        <f ca="1">D243+D245*INDEX(INDEX(VimFrac,0,9*D249+VLOOKUP(D248,PlanetData,3,0)+1),IF(D249,0,1)+MATCH(D246,INDEX(VimFrac,0,9*D249+VLOOKUP(D248,PlanetData,3,0)+1),IF(D249,-1,1)))</f>
        <v>#N/A</v>
      </c>
      <c r="F244" s="276" t="e">
        <f ca="1">E243+E245*INDEX(INDEX(VimFrac,0,9*E249+VLOOKUP(E248,PlanetData,3,0)+1),IF(E249,0,1)+MATCH(E246,INDEX(VimFrac,0,9*E249+VLOOKUP(E248,PlanetData,3,0)+1),IF(E249,-1,1)))</f>
        <v>#N/A</v>
      </c>
      <c r="G244" s="276" t="e">
        <f ca="1">F243+F245*INDEX(INDEX(VimFrac,0,9*F249+VLOOKUP(F248,PlanetData,3,0)+1),IF(F249,0,1)+MATCH(F246,INDEX(VimFrac,0,9*F249+VLOOKUP(F248,PlanetData,3,0)+1),IF(F249,-1,1)))</f>
        <v>#N/A</v>
      </c>
      <c r="H244" s="276" t="e">
        <f ca="1">G243+G245*INDEX(INDEX(VimFrac,0,9*G249+VLOOKUP(G248,PlanetData,3,0)+1),IF(G249,0,1)+MATCH(G246,INDEX(VimFrac,0,9*G249+VLOOKUP(G248,PlanetData,3,0)+1),IF(G249,-1,1)))</f>
        <v>#N/A</v>
      </c>
      <c r="J244" s="259">
        <f ca="1">J248</f>
        <v>0</v>
      </c>
      <c r="K244">
        <f>K236+1</f>
        <v>30</v>
      </c>
    </row>
    <row r="245" spans="1:11">
      <c r="A245" s="277" t="s">
        <v>456</v>
      </c>
      <c r="B245" s="278">
        <f>120*DaysInYear</f>
        <v>43830.584722221844</v>
      </c>
      <c r="C245" s="279" t="e">
        <f t="shared" ref="C245:H245" ca="1" si="58">C244-C243</f>
        <v>#N/A</v>
      </c>
      <c r="D245" s="279" t="e">
        <f t="shared" ca="1" si="58"/>
        <v>#N/A</v>
      </c>
      <c r="E245" s="279" t="e">
        <f t="shared" ca="1" si="58"/>
        <v>#N/A</v>
      </c>
      <c r="F245" s="279" t="e">
        <f t="shared" ca="1" si="58"/>
        <v>#N/A</v>
      </c>
      <c r="G245" s="279" t="e">
        <f t="shared" ca="1" si="58"/>
        <v>#N/A</v>
      </c>
      <c r="H245" s="279" t="e">
        <f t="shared" ca="1" si="58"/>
        <v>#N/A</v>
      </c>
      <c r="K245">
        <f>K237</f>
        <v>0</v>
      </c>
    </row>
    <row r="246" spans="1:11">
      <c r="A246" s="277" t="s">
        <v>457</v>
      </c>
      <c r="B246" s="280">
        <f ca="1">(I248-B243)/(B244-B243)</f>
        <v>-0.51488661258669155</v>
      </c>
      <c r="C246" s="281" t="e">
        <f ca="1">(I248-C243)/(C244-C243)</f>
        <v>#N/A</v>
      </c>
      <c r="D246" s="281" t="e">
        <f ca="1">(I248-D243)/(D244-D243)</f>
        <v>#N/A</v>
      </c>
      <c r="E246" s="281" t="e">
        <f ca="1">(I248-E243)/(E244-E243)</f>
        <v>#N/A</v>
      </c>
      <c r="F246" s="281" t="e">
        <f ca="1">(I248-F243)/(F244-F243)</f>
        <v>#N/A</v>
      </c>
      <c r="G246" s="281" t="e">
        <f ca="1">(I248-G243)/(G244-G243)</f>
        <v>#N/A</v>
      </c>
      <c r="H246" s="281" t="e">
        <f ca="1">(I248-H243)/(H244-H243)</f>
        <v>#N/A</v>
      </c>
      <c r="K246">
        <f>K238</f>
        <v>0</v>
      </c>
    </row>
    <row r="247" spans="1:11">
      <c r="A247" s="277" t="s">
        <v>458</v>
      </c>
      <c r="B247" s="278"/>
      <c r="C247" s="279" t="e">
        <f ca="1">MOD(VLOOKUP(B248,PlanetData,3,0)+MATCH(B246,INDEX(VimFrac,,VLOOKUP(B248,PlanetData,3,0)+1),1)-1,9)</f>
        <v>#N/A</v>
      </c>
      <c r="D247" s="279" t="e">
        <f ca="1">MOD(VLOOKUP(C248,PlanetData,3,0)+MATCH(C246,INDEX(VimFrac,0,9*C249+VLOOKUP(C248,PlanetData,3,0)+1),IF(C249,-1,1))-1,9)</f>
        <v>#N/A</v>
      </c>
      <c r="E247" s="279" t="e">
        <f ca="1">MOD(VLOOKUP(D248,PlanetData,3,0)+MATCH(D246,INDEX(VimFrac,0,9*D249+VLOOKUP(D248,PlanetData,3,0)+1),IF(D249,-1,1))-1,9)</f>
        <v>#N/A</v>
      </c>
      <c r="F247" s="279" t="e">
        <f ca="1">MOD(VLOOKUP(E248,PlanetData,3,0)+MATCH(E246,INDEX(VimFrac,0,9*E249+VLOOKUP(E248,PlanetData,3,0)+1),IF(E249,-1,1))-1,9)</f>
        <v>#N/A</v>
      </c>
      <c r="G247" s="279" t="e">
        <f ca="1">MOD(VLOOKUP(F248,PlanetData,3,0)+MATCH(F246,INDEX(VimFrac,0,9*F249+VLOOKUP(F248,PlanetData,3,0)+1),IF(F249,-1,1))-1,9)</f>
        <v>#N/A</v>
      </c>
      <c r="H247" s="279" t="e">
        <f ca="1">MOD(VLOOKUP(G248,PlanetData,3,0)+MATCH(G246,INDEX(VimFrac,0,9*G249+VLOOKUP(G248,PlanetData,3,0)+1),IF(G249,-1,1))-1,9)</f>
        <v>#N/A</v>
      </c>
      <c r="K247">
        <f>K239</f>
        <v>0</v>
      </c>
    </row>
    <row r="248" spans="1:11">
      <c r="A248" s="277" t="s">
        <v>459</v>
      </c>
      <c r="B248" s="278" t="str">
        <f>$B$4</f>
        <v>Moon</v>
      </c>
      <c r="C248" s="279" t="e">
        <f t="shared" ref="C248:H248" ca="1" si="59">INDEX(DasaYears,IF(C247=0,9,C247),1)</f>
        <v>#N/A</v>
      </c>
      <c r="D248" s="279" t="e">
        <f t="shared" ca="1" si="59"/>
        <v>#N/A</v>
      </c>
      <c r="E248" s="279" t="e">
        <f t="shared" ca="1" si="59"/>
        <v>#N/A</v>
      </c>
      <c r="F248" s="279" t="e">
        <f t="shared" ca="1" si="59"/>
        <v>#N/A</v>
      </c>
      <c r="G248" s="279" t="e">
        <f t="shared" ca="1" si="59"/>
        <v>#N/A</v>
      </c>
      <c r="H248" s="279" t="e">
        <f t="shared" ca="1" si="59"/>
        <v>#N/A</v>
      </c>
      <c r="I248" s="261">
        <f ca="1">INDIRECT("'JHora'!$B$"&amp;($K248))</f>
        <v>0</v>
      </c>
      <c r="J248" s="261">
        <f ca="1">INDIRECT("'JHora'!$C$"&amp;($K248))</f>
        <v>0</v>
      </c>
      <c r="K248">
        <f>K240+1</f>
        <v>30</v>
      </c>
    </row>
    <row r="249" spans="1:11">
      <c r="A249" s="277" t="s">
        <v>444</v>
      </c>
      <c r="B249" s="278" t="b">
        <f>$B$7</f>
        <v>1</v>
      </c>
      <c r="C249" s="279" t="e">
        <f ca="1">IF(VLOOKUP(C248,ChartInfo,11,0),1,0)*B249</f>
        <v>#N/A</v>
      </c>
      <c r="D249" s="279" t="e">
        <f ca="1">IF(VLOOKUP(D248,ChartInfo,11,0),1,0)*B249</f>
        <v>#N/A</v>
      </c>
      <c r="E249" s="279" t="e">
        <f ca="1">IF(VLOOKUP(E248,ChartInfo,11,0),1,0)*B249</f>
        <v>#N/A</v>
      </c>
      <c r="F249" s="279" t="e">
        <f ca="1">IF(VLOOKUP(F248,ChartInfo,11,0),1,0)*B249</f>
        <v>#N/A</v>
      </c>
      <c r="G249" s="279" t="e">
        <f ca="1">IF(VLOOKUP(G248,ChartInfo,11,0),1,0)*B249</f>
        <v>#N/A</v>
      </c>
      <c r="H249" s="279" t="e">
        <f ca="1">IF(VLOOKUP(H248,ChartInfo,11,0),1,0)*B249</f>
        <v>#N/A</v>
      </c>
      <c r="I249" s="149"/>
      <c r="K249">
        <f>K241</f>
        <v>0</v>
      </c>
    </row>
    <row r="250" spans="1:11">
      <c r="K250">
        <f>K242+1</f>
        <v>30</v>
      </c>
    </row>
    <row r="251" spans="1:11">
      <c r="A251" s="274" t="s">
        <v>454</v>
      </c>
      <c r="B251" s="275">
        <f>DoB-$E$6*DaysInYear</f>
        <v>22567.7812953188</v>
      </c>
      <c r="C251" s="276" t="e">
        <f ca="1">B251+B253*INDEX(INDEX(VimFrac,,VLOOKUP(B256,PlanetData,3,0)+1),MATCH(B254,INDEX(VimFrac,,VLOOKUP(B256,PlanetData,3,0)+1),1))</f>
        <v>#N/A</v>
      </c>
      <c r="D251" s="276" t="e">
        <f ca="1">C251+C253*INDEX(INDEX(VimFrac,0,9*C257+VLOOKUP(C256,PlanetData,3,0)+1),IF(C257,1,0)+MATCH(C254,INDEX(VimFrac,0,9*C257+VLOOKUP(C256,PlanetData,3,0)+1),IF(C257,-1,1)))</f>
        <v>#N/A</v>
      </c>
      <c r="E251" s="276" t="e">
        <f ca="1">D251+D253*INDEX(INDEX(VimFrac,0,9*D257+VLOOKUP(D256,PlanetData,3,0)+1),IF(D257,1,0)+MATCH(D254,INDEX(VimFrac,0,9*D257+VLOOKUP(D256,PlanetData,3,0)+1),IF(D257,-1,1)))</f>
        <v>#N/A</v>
      </c>
      <c r="F251" s="276" t="e">
        <f ca="1">E251+E253*INDEX(INDEX(VimFrac,0,9*E257+VLOOKUP(E256,PlanetData,3,0)+1),IF(E257,1,0)+MATCH(E254,INDEX(VimFrac,0,9*E257+VLOOKUP(E256,PlanetData,3,0)+1),IF(E257,-1,1)))</f>
        <v>#N/A</v>
      </c>
      <c r="G251" s="276" t="e">
        <f ca="1">F251+F253*INDEX(INDEX(VimFrac,0,9*F257+VLOOKUP(F256,PlanetData,3,0)+1),IF(F257,1,0)+MATCH(F254,INDEX(VimFrac,0,9*F257+VLOOKUP(F256,PlanetData,3,0)+1),IF(F257,-1,1)))</f>
        <v>#N/A</v>
      </c>
      <c r="H251" s="276" t="e">
        <f ca="1">G251+G253*INDEX(INDEX(VimFrac,0,9*G257+VLOOKUP(G256,PlanetData,3,0)+1),IF(G257,1,0)+MATCH(G254,INDEX(VimFrac,0,9*G257+VLOOKUP(G256,PlanetData,3,0)+1),IF(G257,-1,1)))</f>
        <v>#N/A</v>
      </c>
      <c r="J251" s="259">
        <f ca="1">J256</f>
        <v>0</v>
      </c>
      <c r="K251">
        <f>K243+1</f>
        <v>31</v>
      </c>
    </row>
    <row r="252" spans="1:11">
      <c r="A252" s="274" t="s">
        <v>455</v>
      </c>
      <c r="B252" s="275">
        <f>B251+B253</f>
        <v>66398.36601754064</v>
      </c>
      <c r="C252" s="276" t="e">
        <f ca="1">B251+B253*INDEX(INDEX(VimFrac,,VLOOKUP(B256,PlanetData,3,0)+1),MATCH(B254,INDEX(VimFrac,,VLOOKUP(B256,PlanetData,3,0)+1),1)+1)</f>
        <v>#N/A</v>
      </c>
      <c r="D252" s="276" t="e">
        <f ca="1">C251+C253*INDEX(INDEX(VimFrac,0,9*C257+VLOOKUP(C256,PlanetData,3,0)+1),IF(C257,0,1)+MATCH(C254,INDEX(VimFrac,0,9*C257+VLOOKUP(C256,PlanetData,3,0)+1),IF(C257,-1,1)))</f>
        <v>#N/A</v>
      </c>
      <c r="E252" s="276" t="e">
        <f ca="1">D251+D253*INDEX(INDEX(VimFrac,0,9*D257+VLOOKUP(D256,PlanetData,3,0)+1),IF(D257,0,1)+MATCH(D254,INDEX(VimFrac,0,9*D257+VLOOKUP(D256,PlanetData,3,0)+1),IF(D257,-1,1)))</f>
        <v>#N/A</v>
      </c>
      <c r="F252" s="276" t="e">
        <f ca="1">E251+E253*INDEX(INDEX(VimFrac,0,9*E257+VLOOKUP(E256,PlanetData,3,0)+1),IF(E257,0,1)+MATCH(E254,INDEX(VimFrac,0,9*E257+VLOOKUP(E256,PlanetData,3,0)+1),IF(E257,-1,1)))</f>
        <v>#N/A</v>
      </c>
      <c r="G252" s="276" t="e">
        <f ca="1">F251+F253*INDEX(INDEX(VimFrac,0,9*F257+VLOOKUP(F256,PlanetData,3,0)+1),IF(F257,0,1)+MATCH(F254,INDEX(VimFrac,0,9*F257+VLOOKUP(F256,PlanetData,3,0)+1),IF(F257,-1,1)))</f>
        <v>#N/A</v>
      </c>
      <c r="H252" s="276" t="e">
        <f ca="1">G251+G253*INDEX(INDEX(VimFrac,0,9*G257+VLOOKUP(G256,PlanetData,3,0)+1),IF(G257,0,1)+MATCH(G254,INDEX(VimFrac,0,9*G257+VLOOKUP(G256,PlanetData,3,0)+1),IF(G257,-1,1)))</f>
        <v>#N/A</v>
      </c>
      <c r="J252" s="259">
        <f ca="1">J256</f>
        <v>0</v>
      </c>
      <c r="K252">
        <f>K244+1</f>
        <v>31</v>
      </c>
    </row>
    <row r="253" spans="1:11">
      <c r="A253" s="277" t="s">
        <v>456</v>
      </c>
      <c r="B253" s="278">
        <f>120*DaysInYear</f>
        <v>43830.584722221844</v>
      </c>
      <c r="C253" s="279" t="e">
        <f t="shared" ref="C253:H253" ca="1" si="60">C252-C251</f>
        <v>#N/A</v>
      </c>
      <c r="D253" s="279" t="e">
        <f t="shared" ca="1" si="60"/>
        <v>#N/A</v>
      </c>
      <c r="E253" s="279" t="e">
        <f t="shared" ca="1" si="60"/>
        <v>#N/A</v>
      </c>
      <c r="F253" s="279" t="e">
        <f t="shared" ca="1" si="60"/>
        <v>#N/A</v>
      </c>
      <c r="G253" s="279" t="e">
        <f t="shared" ca="1" si="60"/>
        <v>#N/A</v>
      </c>
      <c r="H253" s="279" t="e">
        <f t="shared" ca="1" si="60"/>
        <v>#N/A</v>
      </c>
      <c r="K253">
        <f>K245</f>
        <v>0</v>
      </c>
    </row>
    <row r="254" spans="1:11">
      <c r="A254" s="277" t="s">
        <v>457</v>
      </c>
      <c r="B254" s="280">
        <f ca="1">(I256-B251)/(B252-B251)</f>
        <v>-0.51488661258669155</v>
      </c>
      <c r="C254" s="281" t="e">
        <f ca="1">(I256-C251)/(C252-C251)</f>
        <v>#N/A</v>
      </c>
      <c r="D254" s="281" t="e">
        <f ca="1">(I256-D251)/(D252-D251)</f>
        <v>#N/A</v>
      </c>
      <c r="E254" s="281" t="e">
        <f ca="1">(I256-E251)/(E252-E251)</f>
        <v>#N/A</v>
      </c>
      <c r="F254" s="281" t="e">
        <f ca="1">(I256-F251)/(F252-F251)</f>
        <v>#N/A</v>
      </c>
      <c r="G254" s="281" t="e">
        <f ca="1">(I256-G251)/(G252-G251)</f>
        <v>#N/A</v>
      </c>
      <c r="H254" s="281" t="e">
        <f ca="1">(I256-H251)/(H252-H251)</f>
        <v>#N/A</v>
      </c>
      <c r="K254">
        <f>K246</f>
        <v>0</v>
      </c>
    </row>
    <row r="255" spans="1:11">
      <c r="A255" s="277" t="s">
        <v>458</v>
      </c>
      <c r="B255" s="278"/>
      <c r="C255" s="279" t="e">
        <f ca="1">MOD(VLOOKUP(B256,PlanetData,3,0)+MATCH(B254,INDEX(VimFrac,,VLOOKUP(B256,PlanetData,3,0)+1),1)-1,9)</f>
        <v>#N/A</v>
      </c>
      <c r="D255" s="279" t="e">
        <f ca="1">MOD(VLOOKUP(C256,PlanetData,3,0)+MATCH(C254,INDEX(VimFrac,0,9*C257+VLOOKUP(C256,PlanetData,3,0)+1),IF(C257,-1,1))-1,9)</f>
        <v>#N/A</v>
      </c>
      <c r="E255" s="279" t="e">
        <f ca="1">MOD(VLOOKUP(D256,PlanetData,3,0)+MATCH(D254,INDEX(VimFrac,0,9*D257+VLOOKUP(D256,PlanetData,3,0)+1),IF(D257,-1,1))-1,9)</f>
        <v>#N/A</v>
      </c>
      <c r="F255" s="279" t="e">
        <f ca="1">MOD(VLOOKUP(E256,PlanetData,3,0)+MATCH(E254,INDEX(VimFrac,0,9*E257+VLOOKUP(E256,PlanetData,3,0)+1),IF(E257,-1,1))-1,9)</f>
        <v>#N/A</v>
      </c>
      <c r="G255" s="279" t="e">
        <f ca="1">MOD(VLOOKUP(F256,PlanetData,3,0)+MATCH(F254,INDEX(VimFrac,0,9*F257+VLOOKUP(F256,PlanetData,3,0)+1),IF(F257,-1,1))-1,9)</f>
        <v>#N/A</v>
      </c>
      <c r="H255" s="279" t="e">
        <f ca="1">MOD(VLOOKUP(G256,PlanetData,3,0)+MATCH(G254,INDEX(VimFrac,0,9*G257+VLOOKUP(G256,PlanetData,3,0)+1),IF(G257,-1,1))-1,9)</f>
        <v>#N/A</v>
      </c>
      <c r="K255">
        <f>K247</f>
        <v>0</v>
      </c>
    </row>
    <row r="256" spans="1:11">
      <c r="A256" s="277" t="s">
        <v>459</v>
      </c>
      <c r="B256" s="278" t="str">
        <f>$B$4</f>
        <v>Moon</v>
      </c>
      <c r="C256" s="279" t="e">
        <f t="shared" ref="C256:H256" ca="1" si="61">INDEX(DasaYears,IF(C255=0,9,C255),1)</f>
        <v>#N/A</v>
      </c>
      <c r="D256" s="279" t="e">
        <f t="shared" ca="1" si="61"/>
        <v>#N/A</v>
      </c>
      <c r="E256" s="279" t="e">
        <f t="shared" ca="1" si="61"/>
        <v>#N/A</v>
      </c>
      <c r="F256" s="279" t="e">
        <f t="shared" ca="1" si="61"/>
        <v>#N/A</v>
      </c>
      <c r="G256" s="279" t="e">
        <f t="shared" ca="1" si="61"/>
        <v>#N/A</v>
      </c>
      <c r="H256" s="279" t="e">
        <f t="shared" ca="1" si="61"/>
        <v>#N/A</v>
      </c>
      <c r="I256" s="261">
        <f ca="1">INDIRECT("'JHora'!$B$"&amp;($K256))</f>
        <v>0</v>
      </c>
      <c r="J256" s="261">
        <f ca="1">INDIRECT("'JHora'!$C$"&amp;($K256))</f>
        <v>0</v>
      </c>
      <c r="K256">
        <f>K248+1</f>
        <v>31</v>
      </c>
    </row>
    <row r="257" spans="1:11">
      <c r="A257" s="277" t="s">
        <v>444</v>
      </c>
      <c r="B257" s="278" t="b">
        <f>$B$7</f>
        <v>1</v>
      </c>
      <c r="C257" s="279" t="e">
        <f ca="1">IF(VLOOKUP(C256,ChartInfo,11,0),1,0)*B257</f>
        <v>#N/A</v>
      </c>
      <c r="D257" s="279" t="e">
        <f ca="1">IF(VLOOKUP(D256,ChartInfo,11,0),1,0)*B257</f>
        <v>#N/A</v>
      </c>
      <c r="E257" s="279" t="e">
        <f ca="1">IF(VLOOKUP(E256,ChartInfo,11,0),1,0)*B257</f>
        <v>#N/A</v>
      </c>
      <c r="F257" s="279" t="e">
        <f ca="1">IF(VLOOKUP(F256,ChartInfo,11,0),1,0)*B257</f>
        <v>#N/A</v>
      </c>
      <c r="G257" s="279" t="e">
        <f ca="1">IF(VLOOKUP(G256,ChartInfo,11,0),1,0)*B257</f>
        <v>#N/A</v>
      </c>
      <c r="H257" s="279" t="e">
        <f ca="1">IF(VLOOKUP(H256,ChartInfo,11,0),1,0)*B257</f>
        <v>#N/A</v>
      </c>
      <c r="I257" s="149"/>
      <c r="K257">
        <f>K249</f>
        <v>0</v>
      </c>
    </row>
    <row r="258" spans="1:11">
      <c r="K258">
        <f>K250+1</f>
        <v>31</v>
      </c>
    </row>
    <row r="259" spans="1:11">
      <c r="A259" s="274" t="s">
        <v>454</v>
      </c>
      <c r="B259" s="275">
        <f>DoB-$E$6*DaysInYear</f>
        <v>22567.7812953188</v>
      </c>
      <c r="C259" s="276" t="e">
        <f ca="1">B259+B261*INDEX(INDEX(VimFrac,,VLOOKUP(B264,PlanetData,3,0)+1),MATCH(B262,INDEX(VimFrac,,VLOOKUP(B264,PlanetData,3,0)+1),1))</f>
        <v>#N/A</v>
      </c>
      <c r="D259" s="276" t="e">
        <f ca="1">C259+C261*INDEX(INDEX(VimFrac,0,9*C265+VLOOKUP(C264,PlanetData,3,0)+1),IF(C265,1,0)+MATCH(C262,INDEX(VimFrac,0,9*C265+VLOOKUP(C264,PlanetData,3,0)+1),IF(C265,-1,1)))</f>
        <v>#N/A</v>
      </c>
      <c r="E259" s="276" t="e">
        <f ca="1">D259+D261*INDEX(INDEX(VimFrac,0,9*D265+VLOOKUP(D264,PlanetData,3,0)+1),IF(D265,1,0)+MATCH(D262,INDEX(VimFrac,0,9*D265+VLOOKUP(D264,PlanetData,3,0)+1),IF(D265,-1,1)))</f>
        <v>#N/A</v>
      </c>
      <c r="F259" s="276" t="e">
        <f ca="1">E259+E261*INDEX(INDEX(VimFrac,0,9*E265+VLOOKUP(E264,PlanetData,3,0)+1),IF(E265,1,0)+MATCH(E262,INDEX(VimFrac,0,9*E265+VLOOKUP(E264,PlanetData,3,0)+1),IF(E265,-1,1)))</f>
        <v>#N/A</v>
      </c>
      <c r="G259" s="276" t="e">
        <f ca="1">F259+F261*INDEX(INDEX(VimFrac,0,9*F265+VLOOKUP(F264,PlanetData,3,0)+1),IF(F265,1,0)+MATCH(F262,INDEX(VimFrac,0,9*F265+VLOOKUP(F264,PlanetData,3,0)+1),IF(F265,-1,1)))</f>
        <v>#N/A</v>
      </c>
      <c r="H259" s="276" t="e">
        <f ca="1">G259+G261*INDEX(INDEX(VimFrac,0,9*G265+VLOOKUP(G264,PlanetData,3,0)+1),IF(G265,1,0)+MATCH(G262,INDEX(VimFrac,0,9*G265+VLOOKUP(G264,PlanetData,3,0)+1),IF(G265,-1,1)))</f>
        <v>#N/A</v>
      </c>
      <c r="J259" s="259">
        <f ca="1">J264</f>
        <v>0</v>
      </c>
      <c r="K259">
        <f>K251+1</f>
        <v>32</v>
      </c>
    </row>
    <row r="260" spans="1:11">
      <c r="A260" s="274" t="s">
        <v>455</v>
      </c>
      <c r="B260" s="275">
        <f>B259+B261</f>
        <v>66398.36601754064</v>
      </c>
      <c r="C260" s="276" t="e">
        <f ca="1">B259+B261*INDEX(INDEX(VimFrac,,VLOOKUP(B264,PlanetData,3,0)+1),MATCH(B262,INDEX(VimFrac,,VLOOKUP(B264,PlanetData,3,0)+1),1)+1)</f>
        <v>#N/A</v>
      </c>
      <c r="D260" s="276" t="e">
        <f ca="1">C259+C261*INDEX(INDEX(VimFrac,0,9*C265+VLOOKUP(C264,PlanetData,3,0)+1),IF(C265,0,1)+MATCH(C262,INDEX(VimFrac,0,9*C265+VLOOKUP(C264,PlanetData,3,0)+1),IF(C265,-1,1)))</f>
        <v>#N/A</v>
      </c>
      <c r="E260" s="276" t="e">
        <f ca="1">D259+D261*INDEX(INDEX(VimFrac,0,9*D265+VLOOKUP(D264,PlanetData,3,0)+1),IF(D265,0,1)+MATCH(D262,INDEX(VimFrac,0,9*D265+VLOOKUP(D264,PlanetData,3,0)+1),IF(D265,-1,1)))</f>
        <v>#N/A</v>
      </c>
      <c r="F260" s="276" t="e">
        <f ca="1">E259+E261*INDEX(INDEX(VimFrac,0,9*E265+VLOOKUP(E264,PlanetData,3,0)+1),IF(E265,0,1)+MATCH(E262,INDEX(VimFrac,0,9*E265+VLOOKUP(E264,PlanetData,3,0)+1),IF(E265,-1,1)))</f>
        <v>#N/A</v>
      </c>
      <c r="G260" s="276" t="e">
        <f ca="1">F259+F261*INDEX(INDEX(VimFrac,0,9*F265+VLOOKUP(F264,PlanetData,3,0)+1),IF(F265,0,1)+MATCH(F262,INDEX(VimFrac,0,9*F265+VLOOKUP(F264,PlanetData,3,0)+1),IF(F265,-1,1)))</f>
        <v>#N/A</v>
      </c>
      <c r="H260" s="276" t="e">
        <f ca="1">G259+G261*INDEX(INDEX(VimFrac,0,9*G265+VLOOKUP(G264,PlanetData,3,0)+1),IF(G265,0,1)+MATCH(G262,INDEX(VimFrac,0,9*G265+VLOOKUP(G264,PlanetData,3,0)+1),IF(G265,-1,1)))</f>
        <v>#N/A</v>
      </c>
      <c r="J260" s="259">
        <f ca="1">J264</f>
        <v>0</v>
      </c>
      <c r="K260">
        <f>K252+1</f>
        <v>32</v>
      </c>
    </row>
    <row r="261" spans="1:11">
      <c r="A261" s="277" t="s">
        <v>456</v>
      </c>
      <c r="B261" s="278">
        <f>120*DaysInYear</f>
        <v>43830.584722221844</v>
      </c>
      <c r="C261" s="279" t="e">
        <f t="shared" ref="C261:H261" ca="1" si="62">C260-C259</f>
        <v>#N/A</v>
      </c>
      <c r="D261" s="279" t="e">
        <f t="shared" ca="1" si="62"/>
        <v>#N/A</v>
      </c>
      <c r="E261" s="279" t="e">
        <f t="shared" ca="1" si="62"/>
        <v>#N/A</v>
      </c>
      <c r="F261" s="279" t="e">
        <f t="shared" ca="1" si="62"/>
        <v>#N/A</v>
      </c>
      <c r="G261" s="279" t="e">
        <f t="shared" ca="1" si="62"/>
        <v>#N/A</v>
      </c>
      <c r="H261" s="279" t="e">
        <f t="shared" ca="1" si="62"/>
        <v>#N/A</v>
      </c>
      <c r="K261">
        <f>K253</f>
        <v>0</v>
      </c>
    </row>
    <row r="262" spans="1:11">
      <c r="A262" s="277" t="s">
        <v>457</v>
      </c>
      <c r="B262" s="280">
        <f ca="1">(I264-B259)/(B260-B259)</f>
        <v>-0.51488661258669155</v>
      </c>
      <c r="C262" s="281" t="e">
        <f ca="1">(I264-C259)/(C260-C259)</f>
        <v>#N/A</v>
      </c>
      <c r="D262" s="281" t="e">
        <f ca="1">(I264-D259)/(D260-D259)</f>
        <v>#N/A</v>
      </c>
      <c r="E262" s="281" t="e">
        <f ca="1">(I264-E259)/(E260-E259)</f>
        <v>#N/A</v>
      </c>
      <c r="F262" s="281" t="e">
        <f ca="1">(I264-F259)/(F260-F259)</f>
        <v>#N/A</v>
      </c>
      <c r="G262" s="281" t="e">
        <f ca="1">(I264-G259)/(G260-G259)</f>
        <v>#N/A</v>
      </c>
      <c r="H262" s="281" t="e">
        <f ca="1">(I264-H259)/(H260-H259)</f>
        <v>#N/A</v>
      </c>
      <c r="K262">
        <f>K254</f>
        <v>0</v>
      </c>
    </row>
    <row r="263" spans="1:11">
      <c r="A263" s="277" t="s">
        <v>458</v>
      </c>
      <c r="B263" s="278"/>
      <c r="C263" s="279" t="e">
        <f ca="1">MOD(VLOOKUP(B264,PlanetData,3,0)+MATCH(B262,INDEX(VimFrac,,VLOOKUP(B264,PlanetData,3,0)+1),1)-1,9)</f>
        <v>#N/A</v>
      </c>
      <c r="D263" s="279" t="e">
        <f ca="1">MOD(VLOOKUP(C264,PlanetData,3,0)+MATCH(C262,INDEX(VimFrac,0,9*C265+VLOOKUP(C264,PlanetData,3,0)+1),IF(C265,-1,1))-1,9)</f>
        <v>#N/A</v>
      </c>
      <c r="E263" s="279" t="e">
        <f ca="1">MOD(VLOOKUP(D264,PlanetData,3,0)+MATCH(D262,INDEX(VimFrac,0,9*D265+VLOOKUP(D264,PlanetData,3,0)+1),IF(D265,-1,1))-1,9)</f>
        <v>#N/A</v>
      </c>
      <c r="F263" s="279" t="e">
        <f ca="1">MOD(VLOOKUP(E264,PlanetData,3,0)+MATCH(E262,INDEX(VimFrac,0,9*E265+VLOOKUP(E264,PlanetData,3,0)+1),IF(E265,-1,1))-1,9)</f>
        <v>#N/A</v>
      </c>
      <c r="G263" s="279" t="e">
        <f ca="1">MOD(VLOOKUP(F264,PlanetData,3,0)+MATCH(F262,INDEX(VimFrac,0,9*F265+VLOOKUP(F264,PlanetData,3,0)+1),IF(F265,-1,1))-1,9)</f>
        <v>#N/A</v>
      </c>
      <c r="H263" s="279" t="e">
        <f ca="1">MOD(VLOOKUP(G264,PlanetData,3,0)+MATCH(G262,INDEX(VimFrac,0,9*G265+VLOOKUP(G264,PlanetData,3,0)+1),IF(G265,-1,1))-1,9)</f>
        <v>#N/A</v>
      </c>
      <c r="K263">
        <f>K255</f>
        <v>0</v>
      </c>
    </row>
    <row r="264" spans="1:11">
      <c r="A264" s="277" t="s">
        <v>459</v>
      </c>
      <c r="B264" s="278" t="str">
        <f>$B$4</f>
        <v>Moon</v>
      </c>
      <c r="C264" s="279" t="e">
        <f t="shared" ref="C264:H264" ca="1" si="63">INDEX(DasaYears,IF(C263=0,9,C263),1)</f>
        <v>#N/A</v>
      </c>
      <c r="D264" s="279" t="e">
        <f t="shared" ca="1" si="63"/>
        <v>#N/A</v>
      </c>
      <c r="E264" s="279" t="e">
        <f t="shared" ca="1" si="63"/>
        <v>#N/A</v>
      </c>
      <c r="F264" s="279" t="e">
        <f t="shared" ca="1" si="63"/>
        <v>#N/A</v>
      </c>
      <c r="G264" s="279" t="e">
        <f t="shared" ca="1" si="63"/>
        <v>#N/A</v>
      </c>
      <c r="H264" s="279" t="e">
        <f t="shared" ca="1" si="63"/>
        <v>#N/A</v>
      </c>
      <c r="I264" s="261">
        <f ca="1">INDIRECT("'JHora'!$B$"&amp;($K264))</f>
        <v>0</v>
      </c>
      <c r="J264" s="261">
        <f ca="1">INDIRECT("'JHora'!$C$"&amp;($K264))</f>
        <v>0</v>
      </c>
      <c r="K264">
        <f>K256+1</f>
        <v>32</v>
      </c>
    </row>
    <row r="265" spans="1:11">
      <c r="A265" s="277" t="s">
        <v>444</v>
      </c>
      <c r="B265" s="278" t="b">
        <f>$B$7</f>
        <v>1</v>
      </c>
      <c r="C265" s="279" t="e">
        <f ca="1">IF(VLOOKUP(C264,ChartInfo,11,0),1,0)*B265</f>
        <v>#N/A</v>
      </c>
      <c r="D265" s="279" t="e">
        <f ca="1">IF(VLOOKUP(D264,ChartInfo,11,0),1,0)*B265</f>
        <v>#N/A</v>
      </c>
      <c r="E265" s="279" t="e">
        <f ca="1">IF(VLOOKUP(E264,ChartInfo,11,0),1,0)*B265</f>
        <v>#N/A</v>
      </c>
      <c r="F265" s="279" t="e">
        <f ca="1">IF(VLOOKUP(F264,ChartInfo,11,0),1,0)*B265</f>
        <v>#N/A</v>
      </c>
      <c r="G265" s="279" t="e">
        <f ca="1">IF(VLOOKUP(G264,ChartInfo,11,0),1,0)*B265</f>
        <v>#N/A</v>
      </c>
      <c r="H265" s="279" t="e">
        <f ca="1">IF(VLOOKUP(H264,ChartInfo,11,0),1,0)*B265</f>
        <v>#N/A</v>
      </c>
      <c r="I265" s="149"/>
      <c r="K265">
        <f>K257</f>
        <v>0</v>
      </c>
    </row>
    <row r="266" spans="1:11">
      <c r="K266">
        <f>K258+1</f>
        <v>32</v>
      </c>
    </row>
    <row r="267" spans="1:11">
      <c r="A267" s="274" t="s">
        <v>454</v>
      </c>
      <c r="B267" s="275">
        <f>DoB-$E$6*DaysInYear</f>
        <v>22567.7812953188</v>
      </c>
      <c r="C267" s="276" t="e">
        <f ca="1">B267+B269*INDEX(INDEX(VimFrac,,VLOOKUP(B272,PlanetData,3,0)+1),MATCH(B270,INDEX(VimFrac,,VLOOKUP(B272,PlanetData,3,0)+1),1))</f>
        <v>#N/A</v>
      </c>
      <c r="D267" s="276" t="e">
        <f ca="1">C267+C269*INDEX(INDEX(VimFrac,0,9*C273+VLOOKUP(C272,PlanetData,3,0)+1),IF(C273,1,0)+MATCH(C270,INDEX(VimFrac,0,9*C273+VLOOKUP(C272,PlanetData,3,0)+1),IF(C273,-1,1)))</f>
        <v>#N/A</v>
      </c>
      <c r="E267" s="276" t="e">
        <f ca="1">D267+D269*INDEX(INDEX(VimFrac,0,9*D273+VLOOKUP(D272,PlanetData,3,0)+1),IF(D273,1,0)+MATCH(D270,INDEX(VimFrac,0,9*D273+VLOOKUP(D272,PlanetData,3,0)+1),IF(D273,-1,1)))</f>
        <v>#N/A</v>
      </c>
      <c r="F267" s="276" t="e">
        <f ca="1">E267+E269*INDEX(INDEX(VimFrac,0,9*E273+VLOOKUP(E272,PlanetData,3,0)+1),IF(E273,1,0)+MATCH(E270,INDEX(VimFrac,0,9*E273+VLOOKUP(E272,PlanetData,3,0)+1),IF(E273,-1,1)))</f>
        <v>#N/A</v>
      </c>
      <c r="G267" s="276" t="e">
        <f ca="1">F267+F269*INDEX(INDEX(VimFrac,0,9*F273+VLOOKUP(F272,PlanetData,3,0)+1),IF(F273,1,0)+MATCH(F270,INDEX(VimFrac,0,9*F273+VLOOKUP(F272,PlanetData,3,0)+1),IF(F273,-1,1)))</f>
        <v>#N/A</v>
      </c>
      <c r="H267" s="276" t="e">
        <f ca="1">G267+G269*INDEX(INDEX(VimFrac,0,9*G273+VLOOKUP(G272,PlanetData,3,0)+1),IF(G273,1,0)+MATCH(G270,INDEX(VimFrac,0,9*G273+VLOOKUP(G272,PlanetData,3,0)+1),IF(G273,-1,1)))</f>
        <v>#N/A</v>
      </c>
      <c r="J267" s="259">
        <f ca="1">J272</f>
        <v>0</v>
      </c>
      <c r="K267">
        <f>K259+1</f>
        <v>33</v>
      </c>
    </row>
    <row r="268" spans="1:11">
      <c r="A268" s="274" t="s">
        <v>455</v>
      </c>
      <c r="B268" s="275">
        <f>B267+B269</f>
        <v>66398.36601754064</v>
      </c>
      <c r="C268" s="276" t="e">
        <f ca="1">B267+B269*INDEX(INDEX(VimFrac,,VLOOKUP(B272,PlanetData,3,0)+1),MATCH(B270,INDEX(VimFrac,,VLOOKUP(B272,PlanetData,3,0)+1),1)+1)</f>
        <v>#N/A</v>
      </c>
      <c r="D268" s="276" t="e">
        <f ca="1">C267+C269*INDEX(INDEX(VimFrac,0,9*C273+VLOOKUP(C272,PlanetData,3,0)+1),IF(C273,0,1)+MATCH(C270,INDEX(VimFrac,0,9*C273+VLOOKUP(C272,PlanetData,3,0)+1),IF(C273,-1,1)))</f>
        <v>#N/A</v>
      </c>
      <c r="E268" s="276" t="e">
        <f ca="1">D267+D269*INDEX(INDEX(VimFrac,0,9*D273+VLOOKUP(D272,PlanetData,3,0)+1),IF(D273,0,1)+MATCH(D270,INDEX(VimFrac,0,9*D273+VLOOKUP(D272,PlanetData,3,0)+1),IF(D273,-1,1)))</f>
        <v>#N/A</v>
      </c>
      <c r="F268" s="276" t="e">
        <f ca="1">E267+E269*INDEX(INDEX(VimFrac,0,9*E273+VLOOKUP(E272,PlanetData,3,0)+1),IF(E273,0,1)+MATCH(E270,INDEX(VimFrac,0,9*E273+VLOOKUP(E272,PlanetData,3,0)+1),IF(E273,-1,1)))</f>
        <v>#N/A</v>
      </c>
      <c r="G268" s="276" t="e">
        <f ca="1">F267+F269*INDEX(INDEX(VimFrac,0,9*F273+VLOOKUP(F272,PlanetData,3,0)+1),IF(F273,0,1)+MATCH(F270,INDEX(VimFrac,0,9*F273+VLOOKUP(F272,PlanetData,3,0)+1),IF(F273,-1,1)))</f>
        <v>#N/A</v>
      </c>
      <c r="H268" s="276" t="e">
        <f ca="1">G267+G269*INDEX(INDEX(VimFrac,0,9*G273+VLOOKUP(G272,PlanetData,3,0)+1),IF(G273,0,1)+MATCH(G270,INDEX(VimFrac,0,9*G273+VLOOKUP(G272,PlanetData,3,0)+1),IF(G273,-1,1)))</f>
        <v>#N/A</v>
      </c>
      <c r="J268" s="259">
        <f ca="1">J272</f>
        <v>0</v>
      </c>
      <c r="K268">
        <f>K260+1</f>
        <v>33</v>
      </c>
    </row>
    <row r="269" spans="1:11">
      <c r="A269" s="277" t="s">
        <v>456</v>
      </c>
      <c r="B269" s="278">
        <f>120*DaysInYear</f>
        <v>43830.584722221844</v>
      </c>
      <c r="C269" s="279" t="e">
        <f t="shared" ref="C269:H269" ca="1" si="64">C268-C267</f>
        <v>#N/A</v>
      </c>
      <c r="D269" s="279" t="e">
        <f t="shared" ca="1" si="64"/>
        <v>#N/A</v>
      </c>
      <c r="E269" s="279" t="e">
        <f t="shared" ca="1" si="64"/>
        <v>#N/A</v>
      </c>
      <c r="F269" s="279" t="e">
        <f t="shared" ca="1" si="64"/>
        <v>#N/A</v>
      </c>
      <c r="G269" s="279" t="e">
        <f t="shared" ca="1" si="64"/>
        <v>#N/A</v>
      </c>
      <c r="H269" s="279" t="e">
        <f t="shared" ca="1" si="64"/>
        <v>#N/A</v>
      </c>
      <c r="K269">
        <f>K261</f>
        <v>0</v>
      </c>
    </row>
    <row r="270" spans="1:11">
      <c r="A270" s="277" t="s">
        <v>457</v>
      </c>
      <c r="B270" s="280">
        <f ca="1">(I272-B267)/(B268-B267)</f>
        <v>-0.51488661258669155</v>
      </c>
      <c r="C270" s="281" t="e">
        <f ca="1">(I272-C267)/(C268-C267)</f>
        <v>#N/A</v>
      </c>
      <c r="D270" s="281" t="e">
        <f ca="1">(I272-D267)/(D268-D267)</f>
        <v>#N/A</v>
      </c>
      <c r="E270" s="281" t="e">
        <f ca="1">(I272-E267)/(E268-E267)</f>
        <v>#N/A</v>
      </c>
      <c r="F270" s="281" t="e">
        <f ca="1">(I272-F267)/(F268-F267)</f>
        <v>#N/A</v>
      </c>
      <c r="G270" s="281" t="e">
        <f ca="1">(I272-G267)/(G268-G267)</f>
        <v>#N/A</v>
      </c>
      <c r="H270" s="281" t="e">
        <f ca="1">(I272-H267)/(H268-H267)</f>
        <v>#N/A</v>
      </c>
      <c r="K270">
        <f>K262</f>
        <v>0</v>
      </c>
    </row>
    <row r="271" spans="1:11">
      <c r="A271" s="277" t="s">
        <v>458</v>
      </c>
      <c r="B271" s="278"/>
      <c r="C271" s="279" t="e">
        <f ca="1">MOD(VLOOKUP(B272,PlanetData,3,0)+MATCH(B270,INDEX(VimFrac,,VLOOKUP(B272,PlanetData,3,0)+1),1)-1,9)</f>
        <v>#N/A</v>
      </c>
      <c r="D271" s="279" t="e">
        <f ca="1">MOD(VLOOKUP(C272,PlanetData,3,0)+MATCH(C270,INDEX(VimFrac,0,9*C273+VLOOKUP(C272,PlanetData,3,0)+1),IF(C273,-1,1))-1,9)</f>
        <v>#N/A</v>
      </c>
      <c r="E271" s="279" t="e">
        <f ca="1">MOD(VLOOKUP(D272,PlanetData,3,0)+MATCH(D270,INDEX(VimFrac,0,9*D273+VLOOKUP(D272,PlanetData,3,0)+1),IF(D273,-1,1))-1,9)</f>
        <v>#N/A</v>
      </c>
      <c r="F271" s="279" t="e">
        <f ca="1">MOD(VLOOKUP(E272,PlanetData,3,0)+MATCH(E270,INDEX(VimFrac,0,9*E273+VLOOKUP(E272,PlanetData,3,0)+1),IF(E273,-1,1))-1,9)</f>
        <v>#N/A</v>
      </c>
      <c r="G271" s="279" t="e">
        <f ca="1">MOD(VLOOKUP(F272,PlanetData,3,0)+MATCH(F270,INDEX(VimFrac,0,9*F273+VLOOKUP(F272,PlanetData,3,0)+1),IF(F273,-1,1))-1,9)</f>
        <v>#N/A</v>
      </c>
      <c r="H271" s="279" t="e">
        <f ca="1">MOD(VLOOKUP(G272,PlanetData,3,0)+MATCH(G270,INDEX(VimFrac,0,9*G273+VLOOKUP(G272,PlanetData,3,0)+1),IF(G273,-1,1))-1,9)</f>
        <v>#N/A</v>
      </c>
      <c r="K271">
        <f>K263</f>
        <v>0</v>
      </c>
    </row>
    <row r="272" spans="1:11">
      <c r="A272" s="277" t="s">
        <v>459</v>
      </c>
      <c r="B272" s="278" t="str">
        <f>$B$4</f>
        <v>Moon</v>
      </c>
      <c r="C272" s="279" t="e">
        <f t="shared" ref="C272:H272" ca="1" si="65">INDEX(DasaYears,IF(C271=0,9,C271),1)</f>
        <v>#N/A</v>
      </c>
      <c r="D272" s="279" t="e">
        <f t="shared" ca="1" si="65"/>
        <v>#N/A</v>
      </c>
      <c r="E272" s="279" t="e">
        <f t="shared" ca="1" si="65"/>
        <v>#N/A</v>
      </c>
      <c r="F272" s="279" t="e">
        <f t="shared" ca="1" si="65"/>
        <v>#N/A</v>
      </c>
      <c r="G272" s="279" t="e">
        <f t="shared" ca="1" si="65"/>
        <v>#N/A</v>
      </c>
      <c r="H272" s="279" t="e">
        <f t="shared" ca="1" si="65"/>
        <v>#N/A</v>
      </c>
      <c r="I272" s="261">
        <f ca="1">INDIRECT("'JHora'!$B$"&amp;($K272))</f>
        <v>0</v>
      </c>
      <c r="J272" s="261">
        <f ca="1">INDIRECT("'JHora'!$C$"&amp;($K272))</f>
        <v>0</v>
      </c>
      <c r="K272">
        <f>K264+1</f>
        <v>33</v>
      </c>
    </row>
    <row r="273" spans="1:11">
      <c r="A273" s="277" t="s">
        <v>444</v>
      </c>
      <c r="B273" s="278" t="b">
        <f>$B$7</f>
        <v>1</v>
      </c>
      <c r="C273" s="279" t="e">
        <f ca="1">IF(VLOOKUP(C272,ChartInfo,11,0),1,0)*B273</f>
        <v>#N/A</v>
      </c>
      <c r="D273" s="279" t="e">
        <f ca="1">IF(VLOOKUP(D272,ChartInfo,11,0),1,0)*B273</f>
        <v>#N/A</v>
      </c>
      <c r="E273" s="279" t="e">
        <f ca="1">IF(VLOOKUP(E272,ChartInfo,11,0),1,0)*B273</f>
        <v>#N/A</v>
      </c>
      <c r="F273" s="279" t="e">
        <f ca="1">IF(VLOOKUP(F272,ChartInfo,11,0),1,0)*B273</f>
        <v>#N/A</v>
      </c>
      <c r="G273" s="279" t="e">
        <f ca="1">IF(VLOOKUP(G272,ChartInfo,11,0),1,0)*B273</f>
        <v>#N/A</v>
      </c>
      <c r="H273" s="279" t="e">
        <f ca="1">IF(VLOOKUP(H272,ChartInfo,11,0),1,0)*B273</f>
        <v>#N/A</v>
      </c>
      <c r="I273" s="149"/>
      <c r="K273">
        <f>K265</f>
        <v>0</v>
      </c>
    </row>
    <row r="274" spans="1:11">
      <c r="K274">
        <f>K266+1</f>
        <v>33</v>
      </c>
    </row>
    <row r="275" spans="1:11">
      <c r="A275" s="274" t="s">
        <v>454</v>
      </c>
      <c r="B275" s="275">
        <f>DoB-$E$6*DaysInYear</f>
        <v>22567.7812953188</v>
      </c>
      <c r="C275" s="276" t="e">
        <f ca="1">B275+B277*INDEX(INDEX(VimFrac,,VLOOKUP(B280,PlanetData,3,0)+1),MATCH(B278,INDEX(VimFrac,,VLOOKUP(B280,PlanetData,3,0)+1),1))</f>
        <v>#N/A</v>
      </c>
      <c r="D275" s="276" t="e">
        <f ca="1">C275+C277*INDEX(INDEX(VimFrac,0,9*C281+VLOOKUP(C280,PlanetData,3,0)+1),IF(C281,1,0)+MATCH(C278,INDEX(VimFrac,0,9*C281+VLOOKUP(C280,PlanetData,3,0)+1),IF(C281,-1,1)))</f>
        <v>#N/A</v>
      </c>
      <c r="E275" s="276" t="e">
        <f ca="1">D275+D277*INDEX(INDEX(VimFrac,0,9*D281+VLOOKUP(D280,PlanetData,3,0)+1),IF(D281,1,0)+MATCH(D278,INDEX(VimFrac,0,9*D281+VLOOKUP(D280,PlanetData,3,0)+1),IF(D281,-1,1)))</f>
        <v>#N/A</v>
      </c>
      <c r="F275" s="276" t="e">
        <f ca="1">E275+E277*INDEX(INDEX(VimFrac,0,9*E281+VLOOKUP(E280,PlanetData,3,0)+1),IF(E281,1,0)+MATCH(E278,INDEX(VimFrac,0,9*E281+VLOOKUP(E280,PlanetData,3,0)+1),IF(E281,-1,1)))</f>
        <v>#N/A</v>
      </c>
      <c r="G275" s="276" t="e">
        <f ca="1">F275+F277*INDEX(INDEX(VimFrac,0,9*F281+VLOOKUP(F280,PlanetData,3,0)+1),IF(F281,1,0)+MATCH(F278,INDEX(VimFrac,0,9*F281+VLOOKUP(F280,PlanetData,3,0)+1),IF(F281,-1,1)))</f>
        <v>#N/A</v>
      </c>
      <c r="H275" s="276" t="e">
        <f ca="1">G275+G277*INDEX(INDEX(VimFrac,0,9*G281+VLOOKUP(G280,PlanetData,3,0)+1),IF(G281,1,0)+MATCH(G278,INDEX(VimFrac,0,9*G281+VLOOKUP(G280,PlanetData,3,0)+1),IF(G281,-1,1)))</f>
        <v>#N/A</v>
      </c>
      <c r="J275" s="259">
        <f ca="1">J280</f>
        <v>0</v>
      </c>
      <c r="K275">
        <f>K267+1</f>
        <v>34</v>
      </c>
    </row>
    <row r="276" spans="1:11">
      <c r="A276" s="274" t="s">
        <v>455</v>
      </c>
      <c r="B276" s="275">
        <f>B275+B277</f>
        <v>66398.36601754064</v>
      </c>
      <c r="C276" s="276" t="e">
        <f ca="1">B275+B277*INDEX(INDEX(VimFrac,,VLOOKUP(B280,PlanetData,3,0)+1),MATCH(B278,INDEX(VimFrac,,VLOOKUP(B280,PlanetData,3,0)+1),1)+1)</f>
        <v>#N/A</v>
      </c>
      <c r="D276" s="276" t="e">
        <f ca="1">C275+C277*INDEX(INDEX(VimFrac,0,9*C281+VLOOKUP(C280,PlanetData,3,0)+1),IF(C281,0,1)+MATCH(C278,INDEX(VimFrac,0,9*C281+VLOOKUP(C280,PlanetData,3,0)+1),IF(C281,-1,1)))</f>
        <v>#N/A</v>
      </c>
      <c r="E276" s="276" t="e">
        <f ca="1">D275+D277*INDEX(INDEX(VimFrac,0,9*D281+VLOOKUP(D280,PlanetData,3,0)+1),IF(D281,0,1)+MATCH(D278,INDEX(VimFrac,0,9*D281+VLOOKUP(D280,PlanetData,3,0)+1),IF(D281,-1,1)))</f>
        <v>#N/A</v>
      </c>
      <c r="F276" s="276" t="e">
        <f ca="1">E275+E277*INDEX(INDEX(VimFrac,0,9*E281+VLOOKUP(E280,PlanetData,3,0)+1),IF(E281,0,1)+MATCH(E278,INDEX(VimFrac,0,9*E281+VLOOKUP(E280,PlanetData,3,0)+1),IF(E281,-1,1)))</f>
        <v>#N/A</v>
      </c>
      <c r="G276" s="276" t="e">
        <f ca="1">F275+F277*INDEX(INDEX(VimFrac,0,9*F281+VLOOKUP(F280,PlanetData,3,0)+1),IF(F281,0,1)+MATCH(F278,INDEX(VimFrac,0,9*F281+VLOOKUP(F280,PlanetData,3,0)+1),IF(F281,-1,1)))</f>
        <v>#N/A</v>
      </c>
      <c r="H276" s="276" t="e">
        <f ca="1">G275+G277*INDEX(INDEX(VimFrac,0,9*G281+VLOOKUP(G280,PlanetData,3,0)+1),IF(G281,0,1)+MATCH(G278,INDEX(VimFrac,0,9*G281+VLOOKUP(G280,PlanetData,3,0)+1),IF(G281,-1,1)))</f>
        <v>#N/A</v>
      </c>
      <c r="J276" s="259">
        <f ca="1">J280</f>
        <v>0</v>
      </c>
      <c r="K276">
        <f>K268+1</f>
        <v>34</v>
      </c>
    </row>
    <row r="277" spans="1:11">
      <c r="A277" s="277" t="s">
        <v>456</v>
      </c>
      <c r="B277" s="278">
        <f>120*DaysInYear</f>
        <v>43830.584722221844</v>
      </c>
      <c r="C277" s="279" t="e">
        <f t="shared" ref="C277:H277" ca="1" si="66">C276-C275</f>
        <v>#N/A</v>
      </c>
      <c r="D277" s="279" t="e">
        <f t="shared" ca="1" si="66"/>
        <v>#N/A</v>
      </c>
      <c r="E277" s="279" t="e">
        <f t="shared" ca="1" si="66"/>
        <v>#N/A</v>
      </c>
      <c r="F277" s="279" t="e">
        <f t="shared" ca="1" si="66"/>
        <v>#N/A</v>
      </c>
      <c r="G277" s="279" t="e">
        <f t="shared" ca="1" si="66"/>
        <v>#N/A</v>
      </c>
      <c r="H277" s="279" t="e">
        <f t="shared" ca="1" si="66"/>
        <v>#N/A</v>
      </c>
      <c r="K277">
        <f>K269</f>
        <v>0</v>
      </c>
    </row>
    <row r="278" spans="1:11">
      <c r="A278" s="277" t="s">
        <v>457</v>
      </c>
      <c r="B278" s="280">
        <f ca="1">(I280-B275)/(B276-B275)</f>
        <v>-0.51488661258669155</v>
      </c>
      <c r="C278" s="281" t="e">
        <f ca="1">(I280-C275)/(C276-C275)</f>
        <v>#N/A</v>
      </c>
      <c r="D278" s="281" t="e">
        <f ca="1">(I280-D275)/(D276-D275)</f>
        <v>#N/A</v>
      </c>
      <c r="E278" s="281" t="e">
        <f ca="1">(I280-E275)/(E276-E275)</f>
        <v>#N/A</v>
      </c>
      <c r="F278" s="281" t="e">
        <f ca="1">(I280-F275)/(F276-F275)</f>
        <v>#N/A</v>
      </c>
      <c r="G278" s="281" t="e">
        <f ca="1">(I280-G275)/(G276-G275)</f>
        <v>#N/A</v>
      </c>
      <c r="H278" s="281" t="e">
        <f ca="1">(I280-H275)/(H276-H275)</f>
        <v>#N/A</v>
      </c>
      <c r="K278">
        <f>K270</f>
        <v>0</v>
      </c>
    </row>
    <row r="279" spans="1:11">
      <c r="A279" s="277" t="s">
        <v>458</v>
      </c>
      <c r="B279" s="278"/>
      <c r="C279" s="279" t="e">
        <f ca="1">MOD(VLOOKUP(B280,PlanetData,3,0)+MATCH(B278,INDEX(VimFrac,,VLOOKUP(B280,PlanetData,3,0)+1),1)-1,9)</f>
        <v>#N/A</v>
      </c>
      <c r="D279" s="279" t="e">
        <f ca="1">MOD(VLOOKUP(C280,PlanetData,3,0)+MATCH(C278,INDEX(VimFrac,0,9*C281+VLOOKUP(C280,PlanetData,3,0)+1),IF(C281,-1,1))-1,9)</f>
        <v>#N/A</v>
      </c>
      <c r="E279" s="279" t="e">
        <f ca="1">MOD(VLOOKUP(D280,PlanetData,3,0)+MATCH(D278,INDEX(VimFrac,0,9*D281+VLOOKUP(D280,PlanetData,3,0)+1),IF(D281,-1,1))-1,9)</f>
        <v>#N/A</v>
      </c>
      <c r="F279" s="279" t="e">
        <f ca="1">MOD(VLOOKUP(E280,PlanetData,3,0)+MATCH(E278,INDEX(VimFrac,0,9*E281+VLOOKUP(E280,PlanetData,3,0)+1),IF(E281,-1,1))-1,9)</f>
        <v>#N/A</v>
      </c>
      <c r="G279" s="279" t="e">
        <f ca="1">MOD(VLOOKUP(F280,PlanetData,3,0)+MATCH(F278,INDEX(VimFrac,0,9*F281+VLOOKUP(F280,PlanetData,3,0)+1),IF(F281,-1,1))-1,9)</f>
        <v>#N/A</v>
      </c>
      <c r="H279" s="279" t="e">
        <f ca="1">MOD(VLOOKUP(G280,PlanetData,3,0)+MATCH(G278,INDEX(VimFrac,0,9*G281+VLOOKUP(G280,PlanetData,3,0)+1),IF(G281,-1,1))-1,9)</f>
        <v>#N/A</v>
      </c>
      <c r="K279">
        <f>K271</f>
        <v>0</v>
      </c>
    </row>
    <row r="280" spans="1:11">
      <c r="A280" s="277" t="s">
        <v>459</v>
      </c>
      <c r="B280" s="278" t="str">
        <f>$B$4</f>
        <v>Moon</v>
      </c>
      <c r="C280" s="279" t="e">
        <f t="shared" ref="C280:H280" ca="1" si="67">INDEX(DasaYears,IF(C279=0,9,C279),1)</f>
        <v>#N/A</v>
      </c>
      <c r="D280" s="279" t="e">
        <f t="shared" ca="1" si="67"/>
        <v>#N/A</v>
      </c>
      <c r="E280" s="279" t="e">
        <f t="shared" ca="1" si="67"/>
        <v>#N/A</v>
      </c>
      <c r="F280" s="279" t="e">
        <f t="shared" ca="1" si="67"/>
        <v>#N/A</v>
      </c>
      <c r="G280" s="279" t="e">
        <f t="shared" ca="1" si="67"/>
        <v>#N/A</v>
      </c>
      <c r="H280" s="279" t="e">
        <f t="shared" ca="1" si="67"/>
        <v>#N/A</v>
      </c>
      <c r="I280" s="261">
        <f ca="1">INDIRECT("'JHora'!$B$"&amp;($K280))</f>
        <v>0</v>
      </c>
      <c r="J280" s="261">
        <f ca="1">INDIRECT("'JHora'!$C$"&amp;($K280))</f>
        <v>0</v>
      </c>
      <c r="K280">
        <f>K272+1</f>
        <v>34</v>
      </c>
    </row>
    <row r="281" spans="1:11">
      <c r="A281" s="277" t="s">
        <v>444</v>
      </c>
      <c r="B281" s="278" t="b">
        <f>$B$7</f>
        <v>1</v>
      </c>
      <c r="C281" s="279" t="e">
        <f ca="1">IF(VLOOKUP(C280,ChartInfo,11,0),1,0)*B281</f>
        <v>#N/A</v>
      </c>
      <c r="D281" s="279" t="e">
        <f ca="1">IF(VLOOKUP(D280,ChartInfo,11,0),1,0)*B281</f>
        <v>#N/A</v>
      </c>
      <c r="E281" s="279" t="e">
        <f ca="1">IF(VLOOKUP(E280,ChartInfo,11,0),1,0)*B281</f>
        <v>#N/A</v>
      </c>
      <c r="F281" s="279" t="e">
        <f ca="1">IF(VLOOKUP(F280,ChartInfo,11,0),1,0)*B281</f>
        <v>#N/A</v>
      </c>
      <c r="G281" s="279" t="e">
        <f ca="1">IF(VLOOKUP(G280,ChartInfo,11,0),1,0)*B281</f>
        <v>#N/A</v>
      </c>
      <c r="H281" s="279" t="e">
        <f ca="1">IF(VLOOKUP(H280,ChartInfo,11,0),1,0)*B281</f>
        <v>#N/A</v>
      </c>
      <c r="I281" s="149"/>
      <c r="K281">
        <f>K273</f>
        <v>0</v>
      </c>
    </row>
    <row r="282" spans="1:11">
      <c r="K282">
        <f>K274+1</f>
        <v>34</v>
      </c>
    </row>
    <row r="283" spans="1:11">
      <c r="A283" s="274" t="s">
        <v>454</v>
      </c>
      <c r="B283" s="275">
        <f>DoB-$E$6*DaysInYear</f>
        <v>22567.7812953188</v>
      </c>
      <c r="C283" s="276" t="e">
        <f ca="1">B283+B285*INDEX(INDEX(VimFrac,,VLOOKUP(B288,PlanetData,3,0)+1),MATCH(B286,INDEX(VimFrac,,VLOOKUP(B288,PlanetData,3,0)+1),1))</f>
        <v>#N/A</v>
      </c>
      <c r="D283" s="276" t="e">
        <f ca="1">C283+C285*INDEX(INDEX(VimFrac,0,9*C289+VLOOKUP(C288,PlanetData,3,0)+1),IF(C289,1,0)+MATCH(C286,INDEX(VimFrac,0,9*C289+VLOOKUP(C288,PlanetData,3,0)+1),IF(C289,-1,1)))</f>
        <v>#N/A</v>
      </c>
      <c r="E283" s="276" t="e">
        <f ca="1">D283+D285*INDEX(INDEX(VimFrac,0,9*D289+VLOOKUP(D288,PlanetData,3,0)+1),IF(D289,1,0)+MATCH(D286,INDEX(VimFrac,0,9*D289+VLOOKUP(D288,PlanetData,3,0)+1),IF(D289,-1,1)))</f>
        <v>#N/A</v>
      </c>
      <c r="F283" s="276" t="e">
        <f ca="1">E283+E285*INDEX(INDEX(VimFrac,0,9*E289+VLOOKUP(E288,PlanetData,3,0)+1),IF(E289,1,0)+MATCH(E286,INDEX(VimFrac,0,9*E289+VLOOKUP(E288,PlanetData,3,0)+1),IF(E289,-1,1)))</f>
        <v>#N/A</v>
      </c>
      <c r="G283" s="276" t="e">
        <f ca="1">F283+F285*INDEX(INDEX(VimFrac,0,9*F289+VLOOKUP(F288,PlanetData,3,0)+1),IF(F289,1,0)+MATCH(F286,INDEX(VimFrac,0,9*F289+VLOOKUP(F288,PlanetData,3,0)+1),IF(F289,-1,1)))</f>
        <v>#N/A</v>
      </c>
      <c r="H283" s="276" t="e">
        <f ca="1">G283+G285*INDEX(INDEX(VimFrac,0,9*G289+VLOOKUP(G288,PlanetData,3,0)+1),IF(G289,1,0)+MATCH(G286,INDEX(VimFrac,0,9*G289+VLOOKUP(G288,PlanetData,3,0)+1),IF(G289,-1,1)))</f>
        <v>#N/A</v>
      </c>
      <c r="J283" s="259">
        <f ca="1">J288</f>
        <v>0</v>
      </c>
      <c r="K283">
        <f>K275+1</f>
        <v>35</v>
      </c>
    </row>
    <row r="284" spans="1:11">
      <c r="A284" s="274" t="s">
        <v>455</v>
      </c>
      <c r="B284" s="275">
        <f>B283+B285</f>
        <v>66398.36601754064</v>
      </c>
      <c r="C284" s="276" t="e">
        <f ca="1">B283+B285*INDEX(INDEX(VimFrac,,VLOOKUP(B288,PlanetData,3,0)+1),MATCH(B286,INDEX(VimFrac,,VLOOKUP(B288,PlanetData,3,0)+1),1)+1)</f>
        <v>#N/A</v>
      </c>
      <c r="D284" s="276" t="e">
        <f ca="1">C283+C285*INDEX(INDEX(VimFrac,0,9*C289+VLOOKUP(C288,PlanetData,3,0)+1),IF(C289,0,1)+MATCH(C286,INDEX(VimFrac,0,9*C289+VLOOKUP(C288,PlanetData,3,0)+1),IF(C289,-1,1)))</f>
        <v>#N/A</v>
      </c>
      <c r="E284" s="276" t="e">
        <f ca="1">D283+D285*INDEX(INDEX(VimFrac,0,9*D289+VLOOKUP(D288,PlanetData,3,0)+1),IF(D289,0,1)+MATCH(D286,INDEX(VimFrac,0,9*D289+VLOOKUP(D288,PlanetData,3,0)+1),IF(D289,-1,1)))</f>
        <v>#N/A</v>
      </c>
      <c r="F284" s="276" t="e">
        <f ca="1">E283+E285*INDEX(INDEX(VimFrac,0,9*E289+VLOOKUP(E288,PlanetData,3,0)+1),IF(E289,0,1)+MATCH(E286,INDEX(VimFrac,0,9*E289+VLOOKUP(E288,PlanetData,3,0)+1),IF(E289,-1,1)))</f>
        <v>#N/A</v>
      </c>
      <c r="G284" s="276" t="e">
        <f ca="1">F283+F285*INDEX(INDEX(VimFrac,0,9*F289+VLOOKUP(F288,PlanetData,3,0)+1),IF(F289,0,1)+MATCH(F286,INDEX(VimFrac,0,9*F289+VLOOKUP(F288,PlanetData,3,0)+1),IF(F289,-1,1)))</f>
        <v>#N/A</v>
      </c>
      <c r="H284" s="276" t="e">
        <f ca="1">G283+G285*INDEX(INDEX(VimFrac,0,9*G289+VLOOKUP(G288,PlanetData,3,0)+1),IF(G289,0,1)+MATCH(G286,INDEX(VimFrac,0,9*G289+VLOOKUP(G288,PlanetData,3,0)+1),IF(G289,-1,1)))</f>
        <v>#N/A</v>
      </c>
      <c r="J284" s="259">
        <f ca="1">J288</f>
        <v>0</v>
      </c>
      <c r="K284">
        <f>K276+1</f>
        <v>35</v>
      </c>
    </row>
    <row r="285" spans="1:11">
      <c r="A285" s="277" t="s">
        <v>456</v>
      </c>
      <c r="B285" s="278">
        <f>120*DaysInYear</f>
        <v>43830.584722221844</v>
      </c>
      <c r="C285" s="279" t="e">
        <f t="shared" ref="C285:H285" ca="1" si="68">C284-C283</f>
        <v>#N/A</v>
      </c>
      <c r="D285" s="279" t="e">
        <f t="shared" ca="1" si="68"/>
        <v>#N/A</v>
      </c>
      <c r="E285" s="279" t="e">
        <f t="shared" ca="1" si="68"/>
        <v>#N/A</v>
      </c>
      <c r="F285" s="279" t="e">
        <f t="shared" ca="1" si="68"/>
        <v>#N/A</v>
      </c>
      <c r="G285" s="279" t="e">
        <f t="shared" ca="1" si="68"/>
        <v>#N/A</v>
      </c>
      <c r="H285" s="279" t="e">
        <f t="shared" ca="1" si="68"/>
        <v>#N/A</v>
      </c>
      <c r="K285">
        <f>K277</f>
        <v>0</v>
      </c>
    </row>
    <row r="286" spans="1:11">
      <c r="A286" s="277" t="s">
        <v>457</v>
      </c>
      <c r="B286" s="280">
        <f ca="1">(I288-B283)/(B284-B283)</f>
        <v>-0.51488661258669155</v>
      </c>
      <c r="C286" s="281" t="e">
        <f ca="1">(I288-C283)/(C284-C283)</f>
        <v>#N/A</v>
      </c>
      <c r="D286" s="281" t="e">
        <f ca="1">(I288-D283)/(D284-D283)</f>
        <v>#N/A</v>
      </c>
      <c r="E286" s="281" t="e">
        <f ca="1">(I288-E283)/(E284-E283)</f>
        <v>#N/A</v>
      </c>
      <c r="F286" s="281" t="e">
        <f ca="1">(I288-F283)/(F284-F283)</f>
        <v>#N/A</v>
      </c>
      <c r="G286" s="281" t="e">
        <f ca="1">(I288-G283)/(G284-G283)</f>
        <v>#N/A</v>
      </c>
      <c r="H286" s="281" t="e">
        <f ca="1">(I288-H283)/(H284-H283)</f>
        <v>#N/A</v>
      </c>
      <c r="K286">
        <f>K278</f>
        <v>0</v>
      </c>
    </row>
    <row r="287" spans="1:11">
      <c r="A287" s="277" t="s">
        <v>458</v>
      </c>
      <c r="B287" s="278"/>
      <c r="C287" s="279" t="e">
        <f ca="1">MOD(VLOOKUP(B288,PlanetData,3,0)+MATCH(B286,INDEX(VimFrac,,VLOOKUP(B288,PlanetData,3,0)+1),1)-1,9)</f>
        <v>#N/A</v>
      </c>
      <c r="D287" s="279" t="e">
        <f ca="1">MOD(VLOOKUP(C288,PlanetData,3,0)+MATCH(C286,INDEX(VimFrac,0,9*C289+VLOOKUP(C288,PlanetData,3,0)+1),IF(C289,-1,1))-1,9)</f>
        <v>#N/A</v>
      </c>
      <c r="E287" s="279" t="e">
        <f ca="1">MOD(VLOOKUP(D288,PlanetData,3,0)+MATCH(D286,INDEX(VimFrac,0,9*D289+VLOOKUP(D288,PlanetData,3,0)+1),IF(D289,-1,1))-1,9)</f>
        <v>#N/A</v>
      </c>
      <c r="F287" s="279" t="e">
        <f ca="1">MOD(VLOOKUP(E288,PlanetData,3,0)+MATCH(E286,INDEX(VimFrac,0,9*E289+VLOOKUP(E288,PlanetData,3,0)+1),IF(E289,-1,1))-1,9)</f>
        <v>#N/A</v>
      </c>
      <c r="G287" s="279" t="e">
        <f ca="1">MOD(VLOOKUP(F288,PlanetData,3,0)+MATCH(F286,INDEX(VimFrac,0,9*F289+VLOOKUP(F288,PlanetData,3,0)+1),IF(F289,-1,1))-1,9)</f>
        <v>#N/A</v>
      </c>
      <c r="H287" s="279" t="e">
        <f ca="1">MOD(VLOOKUP(G288,PlanetData,3,0)+MATCH(G286,INDEX(VimFrac,0,9*G289+VLOOKUP(G288,PlanetData,3,0)+1),IF(G289,-1,1))-1,9)</f>
        <v>#N/A</v>
      </c>
      <c r="K287">
        <f>K279</f>
        <v>0</v>
      </c>
    </row>
    <row r="288" spans="1:11">
      <c r="A288" s="277" t="s">
        <v>459</v>
      </c>
      <c r="B288" s="278" t="str">
        <f>$B$4</f>
        <v>Moon</v>
      </c>
      <c r="C288" s="279" t="e">
        <f t="shared" ref="C288:H288" ca="1" si="69">INDEX(DasaYears,IF(C287=0,9,C287),1)</f>
        <v>#N/A</v>
      </c>
      <c r="D288" s="279" t="e">
        <f t="shared" ca="1" si="69"/>
        <v>#N/A</v>
      </c>
      <c r="E288" s="279" t="e">
        <f t="shared" ca="1" si="69"/>
        <v>#N/A</v>
      </c>
      <c r="F288" s="279" t="e">
        <f t="shared" ca="1" si="69"/>
        <v>#N/A</v>
      </c>
      <c r="G288" s="279" t="e">
        <f t="shared" ca="1" si="69"/>
        <v>#N/A</v>
      </c>
      <c r="H288" s="279" t="e">
        <f t="shared" ca="1" si="69"/>
        <v>#N/A</v>
      </c>
      <c r="I288" s="261">
        <f ca="1">INDIRECT("'JHora'!$B$"&amp;($K288))</f>
        <v>0</v>
      </c>
      <c r="J288" s="261">
        <f ca="1">INDIRECT("'JHora'!$C$"&amp;($K288))</f>
        <v>0</v>
      </c>
      <c r="K288">
        <f>K280+1</f>
        <v>35</v>
      </c>
    </row>
    <row r="289" spans="1:11">
      <c r="A289" s="277" t="s">
        <v>444</v>
      </c>
      <c r="B289" s="278" t="b">
        <f>$B$7</f>
        <v>1</v>
      </c>
      <c r="C289" s="279" t="e">
        <f ca="1">IF(VLOOKUP(C288,ChartInfo,11,0),1,0)*B289</f>
        <v>#N/A</v>
      </c>
      <c r="D289" s="279" t="e">
        <f ca="1">IF(VLOOKUP(D288,ChartInfo,11,0),1,0)*B289</f>
        <v>#N/A</v>
      </c>
      <c r="E289" s="279" t="e">
        <f ca="1">IF(VLOOKUP(E288,ChartInfo,11,0),1,0)*B289</f>
        <v>#N/A</v>
      </c>
      <c r="F289" s="279" t="e">
        <f ca="1">IF(VLOOKUP(F288,ChartInfo,11,0),1,0)*B289</f>
        <v>#N/A</v>
      </c>
      <c r="G289" s="279" t="e">
        <f ca="1">IF(VLOOKUP(G288,ChartInfo,11,0),1,0)*B289</f>
        <v>#N/A</v>
      </c>
      <c r="H289" s="279" t="e">
        <f ca="1">IF(VLOOKUP(H288,ChartInfo,11,0),1,0)*B289</f>
        <v>#N/A</v>
      </c>
      <c r="I289" s="149"/>
      <c r="K289">
        <f>K281</f>
        <v>0</v>
      </c>
    </row>
    <row r="290" spans="1:11">
      <c r="K290">
        <f>K282+1</f>
        <v>35</v>
      </c>
    </row>
    <row r="291" spans="1:11">
      <c r="A291" s="274" t="s">
        <v>454</v>
      </c>
      <c r="B291" s="275">
        <f>DoB-$E$6*DaysInYear</f>
        <v>22567.7812953188</v>
      </c>
      <c r="C291" s="276" t="e">
        <f ca="1">B291+B293*INDEX(INDEX(VimFrac,,VLOOKUP(B296,PlanetData,3,0)+1),MATCH(B294,INDEX(VimFrac,,VLOOKUP(B296,PlanetData,3,0)+1),1))</f>
        <v>#N/A</v>
      </c>
      <c r="D291" s="276" t="e">
        <f ca="1">C291+C293*INDEX(INDEX(VimFrac,0,9*C297+VLOOKUP(C296,PlanetData,3,0)+1),IF(C297,1,0)+MATCH(C294,INDEX(VimFrac,0,9*C297+VLOOKUP(C296,PlanetData,3,0)+1),IF(C297,-1,1)))</f>
        <v>#N/A</v>
      </c>
      <c r="E291" s="276" t="e">
        <f ca="1">D291+D293*INDEX(INDEX(VimFrac,0,9*D297+VLOOKUP(D296,PlanetData,3,0)+1),IF(D297,1,0)+MATCH(D294,INDEX(VimFrac,0,9*D297+VLOOKUP(D296,PlanetData,3,0)+1),IF(D297,-1,1)))</f>
        <v>#N/A</v>
      </c>
      <c r="F291" s="276" t="e">
        <f ca="1">E291+E293*INDEX(INDEX(VimFrac,0,9*E297+VLOOKUP(E296,PlanetData,3,0)+1),IF(E297,1,0)+MATCH(E294,INDEX(VimFrac,0,9*E297+VLOOKUP(E296,PlanetData,3,0)+1),IF(E297,-1,1)))</f>
        <v>#N/A</v>
      </c>
      <c r="G291" s="276" t="e">
        <f ca="1">F291+F293*INDEX(INDEX(VimFrac,0,9*F297+VLOOKUP(F296,PlanetData,3,0)+1),IF(F297,1,0)+MATCH(F294,INDEX(VimFrac,0,9*F297+VLOOKUP(F296,PlanetData,3,0)+1),IF(F297,-1,1)))</f>
        <v>#N/A</v>
      </c>
      <c r="H291" s="276" t="e">
        <f ca="1">G291+G293*INDEX(INDEX(VimFrac,0,9*G297+VLOOKUP(G296,PlanetData,3,0)+1),IF(G297,1,0)+MATCH(G294,INDEX(VimFrac,0,9*G297+VLOOKUP(G296,PlanetData,3,0)+1),IF(G297,-1,1)))</f>
        <v>#N/A</v>
      </c>
      <c r="J291" s="259">
        <f ca="1">J296</f>
        <v>0</v>
      </c>
      <c r="K291">
        <f>K283+1</f>
        <v>36</v>
      </c>
    </row>
    <row r="292" spans="1:11">
      <c r="A292" s="274" t="s">
        <v>455</v>
      </c>
      <c r="B292" s="275">
        <f>B291+B293</f>
        <v>66398.36601754064</v>
      </c>
      <c r="C292" s="276" t="e">
        <f ca="1">B291+B293*INDEX(INDEX(VimFrac,,VLOOKUP(B296,PlanetData,3,0)+1),MATCH(B294,INDEX(VimFrac,,VLOOKUP(B296,PlanetData,3,0)+1),1)+1)</f>
        <v>#N/A</v>
      </c>
      <c r="D292" s="276" t="e">
        <f ca="1">C291+C293*INDEX(INDEX(VimFrac,0,9*C297+VLOOKUP(C296,PlanetData,3,0)+1),IF(C297,0,1)+MATCH(C294,INDEX(VimFrac,0,9*C297+VLOOKUP(C296,PlanetData,3,0)+1),IF(C297,-1,1)))</f>
        <v>#N/A</v>
      </c>
      <c r="E292" s="276" t="e">
        <f ca="1">D291+D293*INDEX(INDEX(VimFrac,0,9*D297+VLOOKUP(D296,PlanetData,3,0)+1),IF(D297,0,1)+MATCH(D294,INDEX(VimFrac,0,9*D297+VLOOKUP(D296,PlanetData,3,0)+1),IF(D297,-1,1)))</f>
        <v>#N/A</v>
      </c>
      <c r="F292" s="276" t="e">
        <f ca="1">E291+E293*INDEX(INDEX(VimFrac,0,9*E297+VLOOKUP(E296,PlanetData,3,0)+1),IF(E297,0,1)+MATCH(E294,INDEX(VimFrac,0,9*E297+VLOOKUP(E296,PlanetData,3,0)+1),IF(E297,-1,1)))</f>
        <v>#N/A</v>
      </c>
      <c r="G292" s="276" t="e">
        <f ca="1">F291+F293*INDEX(INDEX(VimFrac,0,9*F297+VLOOKUP(F296,PlanetData,3,0)+1),IF(F297,0,1)+MATCH(F294,INDEX(VimFrac,0,9*F297+VLOOKUP(F296,PlanetData,3,0)+1),IF(F297,-1,1)))</f>
        <v>#N/A</v>
      </c>
      <c r="H292" s="276" t="e">
        <f ca="1">G291+G293*INDEX(INDEX(VimFrac,0,9*G297+VLOOKUP(G296,PlanetData,3,0)+1),IF(G297,0,1)+MATCH(G294,INDEX(VimFrac,0,9*G297+VLOOKUP(G296,PlanetData,3,0)+1),IF(G297,-1,1)))</f>
        <v>#N/A</v>
      </c>
      <c r="J292" s="259">
        <f ca="1">J296</f>
        <v>0</v>
      </c>
      <c r="K292">
        <f>K284+1</f>
        <v>36</v>
      </c>
    </row>
    <row r="293" spans="1:11">
      <c r="A293" s="277" t="s">
        <v>456</v>
      </c>
      <c r="B293" s="278">
        <f>120*DaysInYear</f>
        <v>43830.584722221844</v>
      </c>
      <c r="C293" s="279" t="e">
        <f t="shared" ref="C293:H293" ca="1" si="70">C292-C291</f>
        <v>#N/A</v>
      </c>
      <c r="D293" s="279" t="e">
        <f t="shared" ca="1" si="70"/>
        <v>#N/A</v>
      </c>
      <c r="E293" s="279" t="e">
        <f t="shared" ca="1" si="70"/>
        <v>#N/A</v>
      </c>
      <c r="F293" s="279" t="e">
        <f t="shared" ca="1" si="70"/>
        <v>#N/A</v>
      </c>
      <c r="G293" s="279" t="e">
        <f t="shared" ca="1" si="70"/>
        <v>#N/A</v>
      </c>
      <c r="H293" s="279" t="e">
        <f t="shared" ca="1" si="70"/>
        <v>#N/A</v>
      </c>
      <c r="K293">
        <f>K285</f>
        <v>0</v>
      </c>
    </row>
    <row r="294" spans="1:11">
      <c r="A294" s="277" t="s">
        <v>457</v>
      </c>
      <c r="B294" s="280">
        <f ca="1">(I296-B291)/(B292-B291)</f>
        <v>-0.51488661258669155</v>
      </c>
      <c r="C294" s="281" t="e">
        <f ca="1">(I296-C291)/(C292-C291)</f>
        <v>#N/A</v>
      </c>
      <c r="D294" s="281" t="e">
        <f ca="1">(I296-D291)/(D292-D291)</f>
        <v>#N/A</v>
      </c>
      <c r="E294" s="281" t="e">
        <f ca="1">(I296-E291)/(E292-E291)</f>
        <v>#N/A</v>
      </c>
      <c r="F294" s="281" t="e">
        <f ca="1">(I296-F291)/(F292-F291)</f>
        <v>#N/A</v>
      </c>
      <c r="G294" s="281" t="e">
        <f ca="1">(I296-G291)/(G292-G291)</f>
        <v>#N/A</v>
      </c>
      <c r="H294" s="281" t="e">
        <f ca="1">(I296-H291)/(H292-H291)</f>
        <v>#N/A</v>
      </c>
      <c r="K294">
        <f>K286</f>
        <v>0</v>
      </c>
    </row>
    <row r="295" spans="1:11">
      <c r="A295" s="277" t="s">
        <v>458</v>
      </c>
      <c r="B295" s="278"/>
      <c r="C295" s="279" t="e">
        <f ca="1">MOD(VLOOKUP(B296,PlanetData,3,0)+MATCH(B294,INDEX(VimFrac,,VLOOKUP(B296,PlanetData,3,0)+1),1)-1,9)</f>
        <v>#N/A</v>
      </c>
      <c r="D295" s="279" t="e">
        <f ca="1">MOD(VLOOKUP(C296,PlanetData,3,0)+MATCH(C294,INDEX(VimFrac,0,9*C297+VLOOKUP(C296,PlanetData,3,0)+1),IF(C297,-1,1))-1,9)</f>
        <v>#N/A</v>
      </c>
      <c r="E295" s="279" t="e">
        <f ca="1">MOD(VLOOKUP(D296,PlanetData,3,0)+MATCH(D294,INDEX(VimFrac,0,9*D297+VLOOKUP(D296,PlanetData,3,0)+1),IF(D297,-1,1))-1,9)</f>
        <v>#N/A</v>
      </c>
      <c r="F295" s="279" t="e">
        <f ca="1">MOD(VLOOKUP(E296,PlanetData,3,0)+MATCH(E294,INDEX(VimFrac,0,9*E297+VLOOKUP(E296,PlanetData,3,0)+1),IF(E297,-1,1))-1,9)</f>
        <v>#N/A</v>
      </c>
      <c r="G295" s="279" t="e">
        <f ca="1">MOD(VLOOKUP(F296,PlanetData,3,0)+MATCH(F294,INDEX(VimFrac,0,9*F297+VLOOKUP(F296,PlanetData,3,0)+1),IF(F297,-1,1))-1,9)</f>
        <v>#N/A</v>
      </c>
      <c r="H295" s="279" t="e">
        <f ca="1">MOD(VLOOKUP(G296,PlanetData,3,0)+MATCH(G294,INDEX(VimFrac,0,9*G297+VLOOKUP(G296,PlanetData,3,0)+1),IF(G297,-1,1))-1,9)</f>
        <v>#N/A</v>
      </c>
      <c r="K295">
        <f>K287</f>
        <v>0</v>
      </c>
    </row>
    <row r="296" spans="1:11">
      <c r="A296" s="277" t="s">
        <v>459</v>
      </c>
      <c r="B296" s="278" t="str">
        <f>$B$4</f>
        <v>Moon</v>
      </c>
      <c r="C296" s="279" t="e">
        <f t="shared" ref="C296:H296" ca="1" si="71">INDEX(DasaYears,IF(C295=0,9,C295),1)</f>
        <v>#N/A</v>
      </c>
      <c r="D296" s="279" t="e">
        <f t="shared" ca="1" si="71"/>
        <v>#N/A</v>
      </c>
      <c r="E296" s="279" t="e">
        <f t="shared" ca="1" si="71"/>
        <v>#N/A</v>
      </c>
      <c r="F296" s="279" t="e">
        <f t="shared" ca="1" si="71"/>
        <v>#N/A</v>
      </c>
      <c r="G296" s="279" t="e">
        <f t="shared" ca="1" si="71"/>
        <v>#N/A</v>
      </c>
      <c r="H296" s="279" t="e">
        <f t="shared" ca="1" si="71"/>
        <v>#N/A</v>
      </c>
      <c r="I296" s="261">
        <f ca="1">INDIRECT("'JHora'!$B$"&amp;($K296))</f>
        <v>0</v>
      </c>
      <c r="J296" s="261">
        <f ca="1">INDIRECT("'JHora'!$C$"&amp;($K296))</f>
        <v>0</v>
      </c>
      <c r="K296">
        <f>K288+1</f>
        <v>36</v>
      </c>
    </row>
    <row r="297" spans="1:11">
      <c r="A297" s="277" t="s">
        <v>444</v>
      </c>
      <c r="B297" s="278" t="b">
        <f>$B$7</f>
        <v>1</v>
      </c>
      <c r="C297" s="279" t="e">
        <f ca="1">IF(VLOOKUP(C296,ChartInfo,11,0),1,0)*B297</f>
        <v>#N/A</v>
      </c>
      <c r="D297" s="279" t="e">
        <f ca="1">IF(VLOOKUP(D296,ChartInfo,11,0),1,0)*B297</f>
        <v>#N/A</v>
      </c>
      <c r="E297" s="279" t="e">
        <f ca="1">IF(VLOOKUP(E296,ChartInfo,11,0),1,0)*B297</f>
        <v>#N/A</v>
      </c>
      <c r="F297" s="279" t="e">
        <f ca="1">IF(VLOOKUP(F296,ChartInfo,11,0),1,0)*B297</f>
        <v>#N/A</v>
      </c>
      <c r="G297" s="279" t="e">
        <f ca="1">IF(VLOOKUP(G296,ChartInfo,11,0),1,0)*B297</f>
        <v>#N/A</v>
      </c>
      <c r="H297" s="279" t="e">
        <f ca="1">IF(VLOOKUP(H296,ChartInfo,11,0),1,0)*B297</f>
        <v>#N/A</v>
      </c>
      <c r="I297" s="149"/>
      <c r="K297">
        <f>K289</f>
        <v>0</v>
      </c>
    </row>
    <row r="298" spans="1:11">
      <c r="K298">
        <f>K290+1</f>
        <v>36</v>
      </c>
    </row>
    <row r="299" spans="1:11">
      <c r="A299" s="274" t="s">
        <v>454</v>
      </c>
      <c r="B299" s="275">
        <f>DoB-$E$6*DaysInYear</f>
        <v>22567.7812953188</v>
      </c>
      <c r="C299" s="276" t="e">
        <f ca="1">B299+B301*INDEX(INDEX(VimFrac,,VLOOKUP(B304,PlanetData,3,0)+1),MATCH(B302,INDEX(VimFrac,,VLOOKUP(B304,PlanetData,3,0)+1),1))</f>
        <v>#N/A</v>
      </c>
      <c r="D299" s="276" t="e">
        <f ca="1">C299+C301*INDEX(INDEX(VimFrac,0,9*C305+VLOOKUP(C304,PlanetData,3,0)+1),IF(C305,1,0)+MATCH(C302,INDEX(VimFrac,0,9*C305+VLOOKUP(C304,PlanetData,3,0)+1),IF(C305,-1,1)))</f>
        <v>#N/A</v>
      </c>
      <c r="E299" s="276" t="e">
        <f ca="1">D299+D301*INDEX(INDEX(VimFrac,0,9*D305+VLOOKUP(D304,PlanetData,3,0)+1),IF(D305,1,0)+MATCH(D302,INDEX(VimFrac,0,9*D305+VLOOKUP(D304,PlanetData,3,0)+1),IF(D305,-1,1)))</f>
        <v>#N/A</v>
      </c>
      <c r="F299" s="276" t="e">
        <f ca="1">E299+E301*INDEX(INDEX(VimFrac,0,9*E305+VLOOKUP(E304,PlanetData,3,0)+1),IF(E305,1,0)+MATCH(E302,INDEX(VimFrac,0,9*E305+VLOOKUP(E304,PlanetData,3,0)+1),IF(E305,-1,1)))</f>
        <v>#N/A</v>
      </c>
      <c r="G299" s="276" t="e">
        <f ca="1">F299+F301*INDEX(INDEX(VimFrac,0,9*F305+VLOOKUP(F304,PlanetData,3,0)+1),IF(F305,1,0)+MATCH(F302,INDEX(VimFrac,0,9*F305+VLOOKUP(F304,PlanetData,3,0)+1),IF(F305,-1,1)))</f>
        <v>#N/A</v>
      </c>
      <c r="H299" s="276" t="e">
        <f ca="1">G299+G301*INDEX(INDEX(VimFrac,0,9*G305+VLOOKUP(G304,PlanetData,3,0)+1),IF(G305,1,0)+MATCH(G302,INDEX(VimFrac,0,9*G305+VLOOKUP(G304,PlanetData,3,0)+1),IF(G305,-1,1)))</f>
        <v>#N/A</v>
      </c>
      <c r="J299" s="259">
        <f ca="1">J304</f>
        <v>0</v>
      </c>
      <c r="K299">
        <f>K291+1</f>
        <v>37</v>
      </c>
    </row>
    <row r="300" spans="1:11">
      <c r="A300" s="274" t="s">
        <v>455</v>
      </c>
      <c r="B300" s="275">
        <f>B299+B301</f>
        <v>66398.36601754064</v>
      </c>
      <c r="C300" s="276" t="e">
        <f ca="1">B299+B301*INDEX(INDEX(VimFrac,,VLOOKUP(B304,PlanetData,3,0)+1),MATCH(B302,INDEX(VimFrac,,VLOOKUP(B304,PlanetData,3,0)+1),1)+1)</f>
        <v>#N/A</v>
      </c>
      <c r="D300" s="276" t="e">
        <f ca="1">C299+C301*INDEX(INDEX(VimFrac,0,9*C305+VLOOKUP(C304,PlanetData,3,0)+1),IF(C305,0,1)+MATCH(C302,INDEX(VimFrac,0,9*C305+VLOOKUP(C304,PlanetData,3,0)+1),IF(C305,-1,1)))</f>
        <v>#N/A</v>
      </c>
      <c r="E300" s="276" t="e">
        <f ca="1">D299+D301*INDEX(INDEX(VimFrac,0,9*D305+VLOOKUP(D304,PlanetData,3,0)+1),IF(D305,0,1)+MATCH(D302,INDEX(VimFrac,0,9*D305+VLOOKUP(D304,PlanetData,3,0)+1),IF(D305,-1,1)))</f>
        <v>#N/A</v>
      </c>
      <c r="F300" s="276" t="e">
        <f ca="1">E299+E301*INDEX(INDEX(VimFrac,0,9*E305+VLOOKUP(E304,PlanetData,3,0)+1),IF(E305,0,1)+MATCH(E302,INDEX(VimFrac,0,9*E305+VLOOKUP(E304,PlanetData,3,0)+1),IF(E305,-1,1)))</f>
        <v>#N/A</v>
      </c>
      <c r="G300" s="276" t="e">
        <f ca="1">F299+F301*INDEX(INDEX(VimFrac,0,9*F305+VLOOKUP(F304,PlanetData,3,0)+1),IF(F305,0,1)+MATCH(F302,INDEX(VimFrac,0,9*F305+VLOOKUP(F304,PlanetData,3,0)+1),IF(F305,-1,1)))</f>
        <v>#N/A</v>
      </c>
      <c r="H300" s="276" t="e">
        <f ca="1">G299+G301*INDEX(INDEX(VimFrac,0,9*G305+VLOOKUP(G304,PlanetData,3,0)+1),IF(G305,0,1)+MATCH(G302,INDEX(VimFrac,0,9*G305+VLOOKUP(G304,PlanetData,3,0)+1),IF(G305,-1,1)))</f>
        <v>#N/A</v>
      </c>
      <c r="J300" s="259">
        <f ca="1">J304</f>
        <v>0</v>
      </c>
      <c r="K300">
        <f>K292+1</f>
        <v>37</v>
      </c>
    </row>
    <row r="301" spans="1:11">
      <c r="A301" s="277" t="s">
        <v>456</v>
      </c>
      <c r="B301" s="278">
        <f>120*DaysInYear</f>
        <v>43830.584722221844</v>
      </c>
      <c r="C301" s="279" t="e">
        <f t="shared" ref="C301:H301" ca="1" si="72">C300-C299</f>
        <v>#N/A</v>
      </c>
      <c r="D301" s="279" t="e">
        <f t="shared" ca="1" si="72"/>
        <v>#N/A</v>
      </c>
      <c r="E301" s="279" t="e">
        <f t="shared" ca="1" si="72"/>
        <v>#N/A</v>
      </c>
      <c r="F301" s="279" t="e">
        <f t="shared" ca="1" si="72"/>
        <v>#N/A</v>
      </c>
      <c r="G301" s="279" t="e">
        <f t="shared" ca="1" si="72"/>
        <v>#N/A</v>
      </c>
      <c r="H301" s="279" t="e">
        <f t="shared" ca="1" si="72"/>
        <v>#N/A</v>
      </c>
      <c r="K301">
        <f>K293</f>
        <v>0</v>
      </c>
    </row>
    <row r="302" spans="1:11">
      <c r="A302" s="277" t="s">
        <v>457</v>
      </c>
      <c r="B302" s="280">
        <f ca="1">(I304-B299)/(B300-B299)</f>
        <v>-0.51488661258669155</v>
      </c>
      <c r="C302" s="281" t="e">
        <f ca="1">(I304-C299)/(C300-C299)</f>
        <v>#N/A</v>
      </c>
      <c r="D302" s="281" t="e">
        <f ca="1">(I304-D299)/(D300-D299)</f>
        <v>#N/A</v>
      </c>
      <c r="E302" s="281" t="e">
        <f ca="1">(I304-E299)/(E300-E299)</f>
        <v>#N/A</v>
      </c>
      <c r="F302" s="281" t="e">
        <f ca="1">(I304-F299)/(F300-F299)</f>
        <v>#N/A</v>
      </c>
      <c r="G302" s="281" t="e">
        <f ca="1">(I304-G299)/(G300-G299)</f>
        <v>#N/A</v>
      </c>
      <c r="H302" s="281" t="e">
        <f ca="1">(I304-H299)/(H300-H299)</f>
        <v>#N/A</v>
      </c>
      <c r="K302">
        <f>K294</f>
        <v>0</v>
      </c>
    </row>
    <row r="303" spans="1:11">
      <c r="A303" s="277" t="s">
        <v>458</v>
      </c>
      <c r="B303" s="278"/>
      <c r="C303" s="279" t="e">
        <f ca="1">MOD(VLOOKUP(B304,PlanetData,3,0)+MATCH(B302,INDEX(VimFrac,,VLOOKUP(B304,PlanetData,3,0)+1),1)-1,9)</f>
        <v>#N/A</v>
      </c>
      <c r="D303" s="279" t="e">
        <f ca="1">MOD(VLOOKUP(C304,PlanetData,3,0)+MATCH(C302,INDEX(VimFrac,0,9*C305+VLOOKUP(C304,PlanetData,3,0)+1),IF(C305,-1,1))-1,9)</f>
        <v>#N/A</v>
      </c>
      <c r="E303" s="279" t="e">
        <f ca="1">MOD(VLOOKUP(D304,PlanetData,3,0)+MATCH(D302,INDEX(VimFrac,0,9*D305+VLOOKUP(D304,PlanetData,3,0)+1),IF(D305,-1,1))-1,9)</f>
        <v>#N/A</v>
      </c>
      <c r="F303" s="279" t="e">
        <f ca="1">MOD(VLOOKUP(E304,PlanetData,3,0)+MATCH(E302,INDEX(VimFrac,0,9*E305+VLOOKUP(E304,PlanetData,3,0)+1),IF(E305,-1,1))-1,9)</f>
        <v>#N/A</v>
      </c>
      <c r="G303" s="279" t="e">
        <f ca="1">MOD(VLOOKUP(F304,PlanetData,3,0)+MATCH(F302,INDEX(VimFrac,0,9*F305+VLOOKUP(F304,PlanetData,3,0)+1),IF(F305,-1,1))-1,9)</f>
        <v>#N/A</v>
      </c>
      <c r="H303" s="279" t="e">
        <f ca="1">MOD(VLOOKUP(G304,PlanetData,3,0)+MATCH(G302,INDEX(VimFrac,0,9*G305+VLOOKUP(G304,PlanetData,3,0)+1),IF(G305,-1,1))-1,9)</f>
        <v>#N/A</v>
      </c>
      <c r="K303">
        <f>K295</f>
        <v>0</v>
      </c>
    </row>
    <row r="304" spans="1:11">
      <c r="A304" s="277" t="s">
        <v>459</v>
      </c>
      <c r="B304" s="278" t="str">
        <f>$B$4</f>
        <v>Moon</v>
      </c>
      <c r="C304" s="279" t="e">
        <f t="shared" ref="C304:H304" ca="1" si="73">INDEX(DasaYears,IF(C303=0,9,C303),1)</f>
        <v>#N/A</v>
      </c>
      <c r="D304" s="279" t="e">
        <f t="shared" ca="1" si="73"/>
        <v>#N/A</v>
      </c>
      <c r="E304" s="279" t="e">
        <f t="shared" ca="1" si="73"/>
        <v>#N/A</v>
      </c>
      <c r="F304" s="279" t="e">
        <f t="shared" ca="1" si="73"/>
        <v>#N/A</v>
      </c>
      <c r="G304" s="279" t="e">
        <f t="shared" ca="1" si="73"/>
        <v>#N/A</v>
      </c>
      <c r="H304" s="279" t="e">
        <f t="shared" ca="1" si="73"/>
        <v>#N/A</v>
      </c>
      <c r="I304" s="261">
        <f ca="1">INDIRECT("'JHora'!$B$"&amp;($K304))</f>
        <v>0</v>
      </c>
      <c r="J304" s="261">
        <f ca="1">INDIRECT("'JHora'!$C$"&amp;($K304))</f>
        <v>0</v>
      </c>
      <c r="K304">
        <f>K296+1</f>
        <v>37</v>
      </c>
    </row>
    <row r="305" spans="1:11">
      <c r="A305" s="277" t="s">
        <v>444</v>
      </c>
      <c r="B305" s="278" t="b">
        <f>$B$7</f>
        <v>1</v>
      </c>
      <c r="C305" s="279" t="e">
        <f ca="1">IF(VLOOKUP(C304,ChartInfo,11,0),1,0)*B305</f>
        <v>#N/A</v>
      </c>
      <c r="D305" s="279" t="e">
        <f ca="1">IF(VLOOKUP(D304,ChartInfo,11,0),1,0)*B305</f>
        <v>#N/A</v>
      </c>
      <c r="E305" s="279" t="e">
        <f ca="1">IF(VLOOKUP(E304,ChartInfo,11,0),1,0)*B305</f>
        <v>#N/A</v>
      </c>
      <c r="F305" s="279" t="e">
        <f ca="1">IF(VLOOKUP(F304,ChartInfo,11,0),1,0)*B305</f>
        <v>#N/A</v>
      </c>
      <c r="G305" s="279" t="e">
        <f ca="1">IF(VLOOKUP(G304,ChartInfo,11,0),1,0)*B305</f>
        <v>#N/A</v>
      </c>
      <c r="H305" s="279" t="e">
        <f ca="1">IF(VLOOKUP(H304,ChartInfo,11,0),1,0)*B305</f>
        <v>#N/A</v>
      </c>
      <c r="I305" s="149"/>
      <c r="K305">
        <f>K297</f>
        <v>0</v>
      </c>
    </row>
    <row r="306" spans="1:11">
      <c r="K306">
        <f>K298+1</f>
        <v>37</v>
      </c>
    </row>
    <row r="307" spans="1:11">
      <c r="A307" s="274" t="s">
        <v>454</v>
      </c>
      <c r="B307" s="275">
        <f>DoB-$E$6*DaysInYear</f>
        <v>22567.7812953188</v>
      </c>
      <c r="C307" s="276" t="e">
        <f ca="1">B307+B309*INDEX(INDEX(VimFrac,,VLOOKUP(B312,PlanetData,3,0)+1),MATCH(B310,INDEX(VimFrac,,VLOOKUP(B312,PlanetData,3,0)+1),1))</f>
        <v>#N/A</v>
      </c>
      <c r="D307" s="276" t="e">
        <f ca="1">C307+C309*INDEX(INDEX(VimFrac,0,9*C313+VLOOKUP(C312,PlanetData,3,0)+1),IF(C313,1,0)+MATCH(C310,INDEX(VimFrac,0,9*C313+VLOOKUP(C312,PlanetData,3,0)+1),IF(C313,-1,1)))</f>
        <v>#N/A</v>
      </c>
      <c r="E307" s="276" t="e">
        <f ca="1">D307+D309*INDEX(INDEX(VimFrac,0,9*D313+VLOOKUP(D312,PlanetData,3,0)+1),IF(D313,1,0)+MATCH(D310,INDEX(VimFrac,0,9*D313+VLOOKUP(D312,PlanetData,3,0)+1),IF(D313,-1,1)))</f>
        <v>#N/A</v>
      </c>
      <c r="F307" s="276" t="e">
        <f ca="1">E307+E309*INDEX(INDEX(VimFrac,0,9*E313+VLOOKUP(E312,PlanetData,3,0)+1),IF(E313,1,0)+MATCH(E310,INDEX(VimFrac,0,9*E313+VLOOKUP(E312,PlanetData,3,0)+1),IF(E313,-1,1)))</f>
        <v>#N/A</v>
      </c>
      <c r="G307" s="276" t="e">
        <f ca="1">F307+F309*INDEX(INDEX(VimFrac,0,9*F313+VLOOKUP(F312,PlanetData,3,0)+1),IF(F313,1,0)+MATCH(F310,INDEX(VimFrac,0,9*F313+VLOOKUP(F312,PlanetData,3,0)+1),IF(F313,-1,1)))</f>
        <v>#N/A</v>
      </c>
      <c r="H307" s="276" t="e">
        <f ca="1">G307+G309*INDEX(INDEX(VimFrac,0,9*G313+VLOOKUP(G312,PlanetData,3,0)+1),IF(G313,1,0)+MATCH(G310,INDEX(VimFrac,0,9*G313+VLOOKUP(G312,PlanetData,3,0)+1),IF(G313,-1,1)))</f>
        <v>#N/A</v>
      </c>
      <c r="J307" s="259">
        <f ca="1">J312</f>
        <v>0</v>
      </c>
      <c r="K307">
        <f>K299+1</f>
        <v>38</v>
      </c>
    </row>
    <row r="308" spans="1:11">
      <c r="A308" s="274" t="s">
        <v>455</v>
      </c>
      <c r="B308" s="275">
        <f>B307+B309</f>
        <v>66398.36601754064</v>
      </c>
      <c r="C308" s="276" t="e">
        <f ca="1">B307+B309*INDEX(INDEX(VimFrac,,VLOOKUP(B312,PlanetData,3,0)+1),MATCH(B310,INDEX(VimFrac,,VLOOKUP(B312,PlanetData,3,0)+1),1)+1)</f>
        <v>#N/A</v>
      </c>
      <c r="D308" s="276" t="e">
        <f ca="1">C307+C309*INDEX(INDEX(VimFrac,0,9*C313+VLOOKUP(C312,PlanetData,3,0)+1),IF(C313,0,1)+MATCH(C310,INDEX(VimFrac,0,9*C313+VLOOKUP(C312,PlanetData,3,0)+1),IF(C313,-1,1)))</f>
        <v>#N/A</v>
      </c>
      <c r="E308" s="276" t="e">
        <f ca="1">D307+D309*INDEX(INDEX(VimFrac,0,9*D313+VLOOKUP(D312,PlanetData,3,0)+1),IF(D313,0,1)+MATCH(D310,INDEX(VimFrac,0,9*D313+VLOOKUP(D312,PlanetData,3,0)+1),IF(D313,-1,1)))</f>
        <v>#N/A</v>
      </c>
      <c r="F308" s="276" t="e">
        <f ca="1">E307+E309*INDEX(INDEX(VimFrac,0,9*E313+VLOOKUP(E312,PlanetData,3,0)+1),IF(E313,0,1)+MATCH(E310,INDEX(VimFrac,0,9*E313+VLOOKUP(E312,PlanetData,3,0)+1),IF(E313,-1,1)))</f>
        <v>#N/A</v>
      </c>
      <c r="G308" s="276" t="e">
        <f ca="1">F307+F309*INDEX(INDEX(VimFrac,0,9*F313+VLOOKUP(F312,PlanetData,3,0)+1),IF(F313,0,1)+MATCH(F310,INDEX(VimFrac,0,9*F313+VLOOKUP(F312,PlanetData,3,0)+1),IF(F313,-1,1)))</f>
        <v>#N/A</v>
      </c>
      <c r="H308" s="276" t="e">
        <f ca="1">G307+G309*INDEX(INDEX(VimFrac,0,9*G313+VLOOKUP(G312,PlanetData,3,0)+1),IF(G313,0,1)+MATCH(G310,INDEX(VimFrac,0,9*G313+VLOOKUP(G312,PlanetData,3,0)+1),IF(G313,-1,1)))</f>
        <v>#N/A</v>
      </c>
      <c r="J308" s="259">
        <f ca="1">J312</f>
        <v>0</v>
      </c>
      <c r="K308">
        <f>K300+1</f>
        <v>38</v>
      </c>
    </row>
    <row r="309" spans="1:11">
      <c r="A309" s="277" t="s">
        <v>456</v>
      </c>
      <c r="B309" s="278">
        <f>120*DaysInYear</f>
        <v>43830.584722221844</v>
      </c>
      <c r="C309" s="279" t="e">
        <f t="shared" ref="C309:H309" ca="1" si="74">C308-C307</f>
        <v>#N/A</v>
      </c>
      <c r="D309" s="279" t="e">
        <f t="shared" ca="1" si="74"/>
        <v>#N/A</v>
      </c>
      <c r="E309" s="279" t="e">
        <f t="shared" ca="1" si="74"/>
        <v>#N/A</v>
      </c>
      <c r="F309" s="279" t="e">
        <f t="shared" ca="1" si="74"/>
        <v>#N/A</v>
      </c>
      <c r="G309" s="279" t="e">
        <f t="shared" ca="1" si="74"/>
        <v>#N/A</v>
      </c>
      <c r="H309" s="279" t="e">
        <f t="shared" ca="1" si="74"/>
        <v>#N/A</v>
      </c>
      <c r="K309">
        <f>K301</f>
        <v>0</v>
      </c>
    </row>
    <row r="310" spans="1:11">
      <c r="A310" s="277" t="s">
        <v>457</v>
      </c>
      <c r="B310" s="280">
        <f ca="1">(I312-B307)/(B308-B307)</f>
        <v>-0.51488661258669155</v>
      </c>
      <c r="C310" s="281" t="e">
        <f ca="1">(I312-C307)/(C308-C307)</f>
        <v>#N/A</v>
      </c>
      <c r="D310" s="281" t="e">
        <f ca="1">(I312-D307)/(D308-D307)</f>
        <v>#N/A</v>
      </c>
      <c r="E310" s="281" t="e">
        <f ca="1">(I312-E307)/(E308-E307)</f>
        <v>#N/A</v>
      </c>
      <c r="F310" s="281" t="e">
        <f ca="1">(I312-F307)/(F308-F307)</f>
        <v>#N/A</v>
      </c>
      <c r="G310" s="281" t="e">
        <f ca="1">(I312-G307)/(G308-G307)</f>
        <v>#N/A</v>
      </c>
      <c r="H310" s="281" t="e">
        <f ca="1">(I312-H307)/(H308-H307)</f>
        <v>#N/A</v>
      </c>
      <c r="K310">
        <f>K302</f>
        <v>0</v>
      </c>
    </row>
    <row r="311" spans="1:11">
      <c r="A311" s="277" t="s">
        <v>458</v>
      </c>
      <c r="B311" s="278"/>
      <c r="C311" s="279" t="e">
        <f ca="1">MOD(VLOOKUP(B312,PlanetData,3,0)+MATCH(B310,INDEX(VimFrac,,VLOOKUP(B312,PlanetData,3,0)+1),1)-1,9)</f>
        <v>#N/A</v>
      </c>
      <c r="D311" s="279" t="e">
        <f ca="1">MOD(VLOOKUP(C312,PlanetData,3,0)+MATCH(C310,INDEX(VimFrac,0,9*C313+VLOOKUP(C312,PlanetData,3,0)+1),IF(C313,-1,1))-1,9)</f>
        <v>#N/A</v>
      </c>
      <c r="E311" s="279" t="e">
        <f ca="1">MOD(VLOOKUP(D312,PlanetData,3,0)+MATCH(D310,INDEX(VimFrac,0,9*D313+VLOOKUP(D312,PlanetData,3,0)+1),IF(D313,-1,1))-1,9)</f>
        <v>#N/A</v>
      </c>
      <c r="F311" s="279" t="e">
        <f ca="1">MOD(VLOOKUP(E312,PlanetData,3,0)+MATCH(E310,INDEX(VimFrac,0,9*E313+VLOOKUP(E312,PlanetData,3,0)+1),IF(E313,-1,1))-1,9)</f>
        <v>#N/A</v>
      </c>
      <c r="G311" s="279" t="e">
        <f ca="1">MOD(VLOOKUP(F312,PlanetData,3,0)+MATCH(F310,INDEX(VimFrac,0,9*F313+VLOOKUP(F312,PlanetData,3,0)+1),IF(F313,-1,1))-1,9)</f>
        <v>#N/A</v>
      </c>
      <c r="H311" s="279" t="e">
        <f ca="1">MOD(VLOOKUP(G312,PlanetData,3,0)+MATCH(G310,INDEX(VimFrac,0,9*G313+VLOOKUP(G312,PlanetData,3,0)+1),IF(G313,-1,1))-1,9)</f>
        <v>#N/A</v>
      </c>
      <c r="K311">
        <f>K303</f>
        <v>0</v>
      </c>
    </row>
    <row r="312" spans="1:11">
      <c r="A312" s="277" t="s">
        <v>459</v>
      </c>
      <c r="B312" s="278" t="str">
        <f>$B$4</f>
        <v>Moon</v>
      </c>
      <c r="C312" s="279" t="e">
        <f t="shared" ref="C312:H312" ca="1" si="75">INDEX(DasaYears,IF(C311=0,9,C311),1)</f>
        <v>#N/A</v>
      </c>
      <c r="D312" s="279" t="e">
        <f t="shared" ca="1" si="75"/>
        <v>#N/A</v>
      </c>
      <c r="E312" s="279" t="e">
        <f t="shared" ca="1" si="75"/>
        <v>#N/A</v>
      </c>
      <c r="F312" s="279" t="e">
        <f t="shared" ca="1" si="75"/>
        <v>#N/A</v>
      </c>
      <c r="G312" s="279" t="e">
        <f t="shared" ca="1" si="75"/>
        <v>#N/A</v>
      </c>
      <c r="H312" s="279" t="e">
        <f t="shared" ca="1" si="75"/>
        <v>#N/A</v>
      </c>
      <c r="I312" s="261">
        <f ca="1">INDIRECT("'JHora'!$B$"&amp;($K312))</f>
        <v>0</v>
      </c>
      <c r="J312" s="261">
        <f ca="1">INDIRECT("'JHora'!$C$"&amp;($K312))</f>
        <v>0</v>
      </c>
      <c r="K312">
        <f>K304+1</f>
        <v>38</v>
      </c>
    </row>
    <row r="313" spans="1:11">
      <c r="A313" s="277" t="s">
        <v>444</v>
      </c>
      <c r="B313" s="278" t="b">
        <f>$B$7</f>
        <v>1</v>
      </c>
      <c r="C313" s="279" t="e">
        <f ca="1">IF(VLOOKUP(C312,ChartInfo,11,0),1,0)*B313</f>
        <v>#N/A</v>
      </c>
      <c r="D313" s="279" t="e">
        <f ca="1">IF(VLOOKUP(D312,ChartInfo,11,0),1,0)*B313</f>
        <v>#N/A</v>
      </c>
      <c r="E313" s="279" t="e">
        <f ca="1">IF(VLOOKUP(E312,ChartInfo,11,0),1,0)*B313</f>
        <v>#N/A</v>
      </c>
      <c r="F313" s="279" t="e">
        <f ca="1">IF(VLOOKUP(F312,ChartInfo,11,0),1,0)*B313</f>
        <v>#N/A</v>
      </c>
      <c r="G313" s="279" t="e">
        <f ca="1">IF(VLOOKUP(G312,ChartInfo,11,0),1,0)*B313</f>
        <v>#N/A</v>
      </c>
      <c r="H313" s="279" t="e">
        <f ca="1">IF(VLOOKUP(H312,ChartInfo,11,0),1,0)*B313</f>
        <v>#N/A</v>
      </c>
      <c r="I313" s="149"/>
      <c r="K313">
        <f>K305</f>
        <v>0</v>
      </c>
    </row>
    <row r="314" spans="1:11">
      <c r="K314">
        <f>K306+1</f>
        <v>38</v>
      </c>
    </row>
    <row r="315" spans="1:11">
      <c r="A315" s="274" t="s">
        <v>454</v>
      </c>
      <c r="B315" s="275">
        <f>DoB-$E$6*DaysInYear</f>
        <v>22567.7812953188</v>
      </c>
      <c r="C315" s="276" t="e">
        <f ca="1">B315+B317*INDEX(INDEX(VimFrac,,VLOOKUP(B320,PlanetData,3,0)+1),MATCH(B318,INDEX(VimFrac,,VLOOKUP(B320,PlanetData,3,0)+1),1))</f>
        <v>#N/A</v>
      </c>
      <c r="D315" s="276" t="e">
        <f ca="1">C315+C317*INDEX(INDEX(VimFrac,0,9*C321+VLOOKUP(C320,PlanetData,3,0)+1),IF(C321,1,0)+MATCH(C318,INDEX(VimFrac,0,9*C321+VLOOKUP(C320,PlanetData,3,0)+1),IF(C321,-1,1)))</f>
        <v>#N/A</v>
      </c>
      <c r="E315" s="276" t="e">
        <f ca="1">D315+D317*INDEX(INDEX(VimFrac,0,9*D321+VLOOKUP(D320,PlanetData,3,0)+1),IF(D321,1,0)+MATCH(D318,INDEX(VimFrac,0,9*D321+VLOOKUP(D320,PlanetData,3,0)+1),IF(D321,-1,1)))</f>
        <v>#N/A</v>
      </c>
      <c r="F315" s="276" t="e">
        <f ca="1">E315+E317*INDEX(INDEX(VimFrac,0,9*E321+VLOOKUP(E320,PlanetData,3,0)+1),IF(E321,1,0)+MATCH(E318,INDEX(VimFrac,0,9*E321+VLOOKUP(E320,PlanetData,3,0)+1),IF(E321,-1,1)))</f>
        <v>#N/A</v>
      </c>
      <c r="G315" s="276" t="e">
        <f ca="1">F315+F317*INDEX(INDEX(VimFrac,0,9*F321+VLOOKUP(F320,PlanetData,3,0)+1),IF(F321,1,0)+MATCH(F318,INDEX(VimFrac,0,9*F321+VLOOKUP(F320,PlanetData,3,0)+1),IF(F321,-1,1)))</f>
        <v>#N/A</v>
      </c>
      <c r="H315" s="276" t="e">
        <f ca="1">G315+G317*INDEX(INDEX(VimFrac,0,9*G321+VLOOKUP(G320,PlanetData,3,0)+1),IF(G321,1,0)+MATCH(G318,INDEX(VimFrac,0,9*G321+VLOOKUP(G320,PlanetData,3,0)+1),IF(G321,-1,1)))</f>
        <v>#N/A</v>
      </c>
      <c r="J315" s="259">
        <f ca="1">J320</f>
        <v>0</v>
      </c>
      <c r="K315">
        <f>K307+1</f>
        <v>39</v>
      </c>
    </row>
    <row r="316" spans="1:11">
      <c r="A316" s="274" t="s">
        <v>455</v>
      </c>
      <c r="B316" s="275">
        <f>B315+B317</f>
        <v>66398.36601754064</v>
      </c>
      <c r="C316" s="276" t="e">
        <f ca="1">B315+B317*INDEX(INDEX(VimFrac,,VLOOKUP(B320,PlanetData,3,0)+1),MATCH(B318,INDEX(VimFrac,,VLOOKUP(B320,PlanetData,3,0)+1),1)+1)</f>
        <v>#N/A</v>
      </c>
      <c r="D316" s="276" t="e">
        <f ca="1">C315+C317*INDEX(INDEX(VimFrac,0,9*C321+VLOOKUP(C320,PlanetData,3,0)+1),IF(C321,0,1)+MATCH(C318,INDEX(VimFrac,0,9*C321+VLOOKUP(C320,PlanetData,3,0)+1),IF(C321,-1,1)))</f>
        <v>#N/A</v>
      </c>
      <c r="E316" s="276" t="e">
        <f ca="1">D315+D317*INDEX(INDEX(VimFrac,0,9*D321+VLOOKUP(D320,PlanetData,3,0)+1),IF(D321,0,1)+MATCH(D318,INDEX(VimFrac,0,9*D321+VLOOKUP(D320,PlanetData,3,0)+1),IF(D321,-1,1)))</f>
        <v>#N/A</v>
      </c>
      <c r="F316" s="276" t="e">
        <f ca="1">E315+E317*INDEX(INDEX(VimFrac,0,9*E321+VLOOKUP(E320,PlanetData,3,0)+1),IF(E321,0,1)+MATCH(E318,INDEX(VimFrac,0,9*E321+VLOOKUP(E320,PlanetData,3,0)+1),IF(E321,-1,1)))</f>
        <v>#N/A</v>
      </c>
      <c r="G316" s="276" t="e">
        <f ca="1">F315+F317*INDEX(INDEX(VimFrac,0,9*F321+VLOOKUP(F320,PlanetData,3,0)+1),IF(F321,0,1)+MATCH(F318,INDEX(VimFrac,0,9*F321+VLOOKUP(F320,PlanetData,3,0)+1),IF(F321,-1,1)))</f>
        <v>#N/A</v>
      </c>
      <c r="H316" s="276" t="e">
        <f ca="1">G315+G317*INDEX(INDEX(VimFrac,0,9*G321+VLOOKUP(G320,PlanetData,3,0)+1),IF(G321,0,1)+MATCH(G318,INDEX(VimFrac,0,9*G321+VLOOKUP(G320,PlanetData,3,0)+1),IF(G321,-1,1)))</f>
        <v>#N/A</v>
      </c>
      <c r="J316" s="259">
        <f ca="1">J320</f>
        <v>0</v>
      </c>
      <c r="K316">
        <f>K308+1</f>
        <v>39</v>
      </c>
    </row>
    <row r="317" spans="1:11">
      <c r="A317" s="277" t="s">
        <v>456</v>
      </c>
      <c r="B317" s="278">
        <f>120*DaysInYear</f>
        <v>43830.584722221844</v>
      </c>
      <c r="C317" s="279" t="e">
        <f t="shared" ref="C317:H317" ca="1" si="76">C316-C315</f>
        <v>#N/A</v>
      </c>
      <c r="D317" s="279" t="e">
        <f t="shared" ca="1" si="76"/>
        <v>#N/A</v>
      </c>
      <c r="E317" s="279" t="e">
        <f t="shared" ca="1" si="76"/>
        <v>#N/A</v>
      </c>
      <c r="F317" s="279" t="e">
        <f t="shared" ca="1" si="76"/>
        <v>#N/A</v>
      </c>
      <c r="G317" s="279" t="e">
        <f t="shared" ca="1" si="76"/>
        <v>#N/A</v>
      </c>
      <c r="H317" s="279" t="e">
        <f t="shared" ca="1" si="76"/>
        <v>#N/A</v>
      </c>
      <c r="K317">
        <f>K309</f>
        <v>0</v>
      </c>
    </row>
    <row r="318" spans="1:11">
      <c r="A318" s="277" t="s">
        <v>457</v>
      </c>
      <c r="B318" s="280">
        <f ca="1">(I320-B315)/(B316-B315)</f>
        <v>-0.51488661258669155</v>
      </c>
      <c r="C318" s="281" t="e">
        <f ca="1">(I320-C315)/(C316-C315)</f>
        <v>#N/A</v>
      </c>
      <c r="D318" s="281" t="e">
        <f ca="1">(I320-D315)/(D316-D315)</f>
        <v>#N/A</v>
      </c>
      <c r="E318" s="281" t="e">
        <f ca="1">(I320-E315)/(E316-E315)</f>
        <v>#N/A</v>
      </c>
      <c r="F318" s="281" t="e">
        <f ca="1">(I320-F315)/(F316-F315)</f>
        <v>#N/A</v>
      </c>
      <c r="G318" s="281" t="e">
        <f ca="1">(I320-G315)/(G316-G315)</f>
        <v>#N/A</v>
      </c>
      <c r="H318" s="281" t="e">
        <f ca="1">(I320-H315)/(H316-H315)</f>
        <v>#N/A</v>
      </c>
      <c r="K318">
        <f>K310</f>
        <v>0</v>
      </c>
    </row>
    <row r="319" spans="1:11">
      <c r="A319" s="277" t="s">
        <v>458</v>
      </c>
      <c r="B319" s="278"/>
      <c r="C319" s="279" t="e">
        <f ca="1">MOD(VLOOKUP(B320,PlanetData,3,0)+MATCH(B318,INDEX(VimFrac,,VLOOKUP(B320,PlanetData,3,0)+1),1)-1,9)</f>
        <v>#N/A</v>
      </c>
      <c r="D319" s="279" t="e">
        <f ca="1">MOD(VLOOKUP(C320,PlanetData,3,0)+MATCH(C318,INDEX(VimFrac,0,9*C321+VLOOKUP(C320,PlanetData,3,0)+1),IF(C321,-1,1))-1,9)</f>
        <v>#N/A</v>
      </c>
      <c r="E319" s="279" t="e">
        <f ca="1">MOD(VLOOKUP(D320,PlanetData,3,0)+MATCH(D318,INDEX(VimFrac,0,9*D321+VLOOKUP(D320,PlanetData,3,0)+1),IF(D321,-1,1))-1,9)</f>
        <v>#N/A</v>
      </c>
      <c r="F319" s="279" t="e">
        <f ca="1">MOD(VLOOKUP(E320,PlanetData,3,0)+MATCH(E318,INDEX(VimFrac,0,9*E321+VLOOKUP(E320,PlanetData,3,0)+1),IF(E321,-1,1))-1,9)</f>
        <v>#N/A</v>
      </c>
      <c r="G319" s="279" t="e">
        <f ca="1">MOD(VLOOKUP(F320,PlanetData,3,0)+MATCH(F318,INDEX(VimFrac,0,9*F321+VLOOKUP(F320,PlanetData,3,0)+1),IF(F321,-1,1))-1,9)</f>
        <v>#N/A</v>
      </c>
      <c r="H319" s="279" t="e">
        <f ca="1">MOD(VLOOKUP(G320,PlanetData,3,0)+MATCH(G318,INDEX(VimFrac,0,9*G321+VLOOKUP(G320,PlanetData,3,0)+1),IF(G321,-1,1))-1,9)</f>
        <v>#N/A</v>
      </c>
      <c r="K319">
        <f>K311</f>
        <v>0</v>
      </c>
    </row>
    <row r="320" spans="1:11">
      <c r="A320" s="277" t="s">
        <v>459</v>
      </c>
      <c r="B320" s="278" t="str">
        <f>$B$4</f>
        <v>Moon</v>
      </c>
      <c r="C320" s="279" t="e">
        <f t="shared" ref="C320:H320" ca="1" si="77">INDEX(DasaYears,IF(C319=0,9,C319),1)</f>
        <v>#N/A</v>
      </c>
      <c r="D320" s="279" t="e">
        <f t="shared" ca="1" si="77"/>
        <v>#N/A</v>
      </c>
      <c r="E320" s="279" t="e">
        <f t="shared" ca="1" si="77"/>
        <v>#N/A</v>
      </c>
      <c r="F320" s="279" t="e">
        <f t="shared" ca="1" si="77"/>
        <v>#N/A</v>
      </c>
      <c r="G320" s="279" t="e">
        <f t="shared" ca="1" si="77"/>
        <v>#N/A</v>
      </c>
      <c r="H320" s="279" t="e">
        <f t="shared" ca="1" si="77"/>
        <v>#N/A</v>
      </c>
      <c r="I320" s="261">
        <f ca="1">INDIRECT("'JHora'!$B$"&amp;($K320))</f>
        <v>0</v>
      </c>
      <c r="J320" s="261">
        <f ca="1">INDIRECT("'JHora'!$C$"&amp;($K320))</f>
        <v>0</v>
      </c>
      <c r="K320">
        <f>K312+1</f>
        <v>39</v>
      </c>
    </row>
    <row r="321" spans="1:11">
      <c r="A321" s="277" t="s">
        <v>444</v>
      </c>
      <c r="B321" s="278" t="b">
        <f>$B$7</f>
        <v>1</v>
      </c>
      <c r="C321" s="279" t="e">
        <f ca="1">IF(VLOOKUP(C320,ChartInfo,11,0),1,0)*B321</f>
        <v>#N/A</v>
      </c>
      <c r="D321" s="279" t="e">
        <f ca="1">IF(VLOOKUP(D320,ChartInfo,11,0),1,0)*B321</f>
        <v>#N/A</v>
      </c>
      <c r="E321" s="279" t="e">
        <f ca="1">IF(VLOOKUP(E320,ChartInfo,11,0),1,0)*B321</f>
        <v>#N/A</v>
      </c>
      <c r="F321" s="279" t="e">
        <f ca="1">IF(VLOOKUP(F320,ChartInfo,11,0),1,0)*B321</f>
        <v>#N/A</v>
      </c>
      <c r="G321" s="279" t="e">
        <f ca="1">IF(VLOOKUP(G320,ChartInfo,11,0),1,0)*B321</f>
        <v>#N/A</v>
      </c>
      <c r="H321" s="279" t="e">
        <f ca="1">IF(VLOOKUP(H320,ChartInfo,11,0),1,0)*B321</f>
        <v>#N/A</v>
      </c>
      <c r="I321" s="149"/>
      <c r="K321">
        <f>K313</f>
        <v>0</v>
      </c>
    </row>
    <row r="322" spans="1:11">
      <c r="K322">
        <f>K314+1</f>
        <v>39</v>
      </c>
    </row>
    <row r="323" spans="1:11">
      <c r="A323" s="274" t="s">
        <v>454</v>
      </c>
      <c r="B323" s="275">
        <f>DoB-$E$6*DaysInYear</f>
        <v>22567.7812953188</v>
      </c>
      <c r="C323" s="276" t="e">
        <f ca="1">B323+B325*INDEX(INDEX(VimFrac,,VLOOKUP(B328,PlanetData,3,0)+1),MATCH(B326,INDEX(VimFrac,,VLOOKUP(B328,PlanetData,3,0)+1),1))</f>
        <v>#N/A</v>
      </c>
      <c r="D323" s="276" t="e">
        <f ca="1">C323+C325*INDEX(INDEX(VimFrac,0,9*C329+VLOOKUP(C328,PlanetData,3,0)+1),IF(C329,1,0)+MATCH(C326,INDEX(VimFrac,0,9*C329+VLOOKUP(C328,PlanetData,3,0)+1),IF(C329,-1,1)))</f>
        <v>#N/A</v>
      </c>
      <c r="E323" s="276" t="e">
        <f ca="1">D323+D325*INDEX(INDEX(VimFrac,0,9*D329+VLOOKUP(D328,PlanetData,3,0)+1),IF(D329,1,0)+MATCH(D326,INDEX(VimFrac,0,9*D329+VLOOKUP(D328,PlanetData,3,0)+1),IF(D329,-1,1)))</f>
        <v>#N/A</v>
      </c>
      <c r="F323" s="276" t="e">
        <f ca="1">E323+E325*INDEX(INDEX(VimFrac,0,9*E329+VLOOKUP(E328,PlanetData,3,0)+1),IF(E329,1,0)+MATCH(E326,INDEX(VimFrac,0,9*E329+VLOOKUP(E328,PlanetData,3,0)+1),IF(E329,-1,1)))</f>
        <v>#N/A</v>
      </c>
      <c r="G323" s="276" t="e">
        <f ca="1">F323+F325*INDEX(INDEX(VimFrac,0,9*F329+VLOOKUP(F328,PlanetData,3,0)+1),IF(F329,1,0)+MATCH(F326,INDEX(VimFrac,0,9*F329+VLOOKUP(F328,PlanetData,3,0)+1),IF(F329,-1,1)))</f>
        <v>#N/A</v>
      </c>
      <c r="H323" s="276" t="e">
        <f ca="1">G323+G325*INDEX(INDEX(VimFrac,0,9*G329+VLOOKUP(G328,PlanetData,3,0)+1),IF(G329,1,0)+MATCH(G326,INDEX(VimFrac,0,9*G329+VLOOKUP(G328,PlanetData,3,0)+1),IF(G329,-1,1)))</f>
        <v>#N/A</v>
      </c>
      <c r="J323" s="259">
        <f ca="1">J328</f>
        <v>0</v>
      </c>
      <c r="K323">
        <f>K315+1</f>
        <v>40</v>
      </c>
    </row>
    <row r="324" spans="1:11">
      <c r="A324" s="274" t="s">
        <v>455</v>
      </c>
      <c r="B324" s="275">
        <f>B323+B325</f>
        <v>66398.36601754064</v>
      </c>
      <c r="C324" s="276" t="e">
        <f ca="1">B323+B325*INDEX(INDEX(VimFrac,,VLOOKUP(B328,PlanetData,3,0)+1),MATCH(B326,INDEX(VimFrac,,VLOOKUP(B328,PlanetData,3,0)+1),1)+1)</f>
        <v>#N/A</v>
      </c>
      <c r="D324" s="276" t="e">
        <f ca="1">C323+C325*INDEX(INDEX(VimFrac,0,9*C329+VLOOKUP(C328,PlanetData,3,0)+1),IF(C329,0,1)+MATCH(C326,INDEX(VimFrac,0,9*C329+VLOOKUP(C328,PlanetData,3,0)+1),IF(C329,-1,1)))</f>
        <v>#N/A</v>
      </c>
      <c r="E324" s="276" t="e">
        <f ca="1">D323+D325*INDEX(INDEX(VimFrac,0,9*D329+VLOOKUP(D328,PlanetData,3,0)+1),IF(D329,0,1)+MATCH(D326,INDEX(VimFrac,0,9*D329+VLOOKUP(D328,PlanetData,3,0)+1),IF(D329,-1,1)))</f>
        <v>#N/A</v>
      </c>
      <c r="F324" s="276" t="e">
        <f ca="1">E323+E325*INDEX(INDEX(VimFrac,0,9*E329+VLOOKUP(E328,PlanetData,3,0)+1),IF(E329,0,1)+MATCH(E326,INDEX(VimFrac,0,9*E329+VLOOKUP(E328,PlanetData,3,0)+1),IF(E329,-1,1)))</f>
        <v>#N/A</v>
      </c>
      <c r="G324" s="276" t="e">
        <f ca="1">F323+F325*INDEX(INDEX(VimFrac,0,9*F329+VLOOKUP(F328,PlanetData,3,0)+1),IF(F329,0,1)+MATCH(F326,INDEX(VimFrac,0,9*F329+VLOOKUP(F328,PlanetData,3,0)+1),IF(F329,-1,1)))</f>
        <v>#N/A</v>
      </c>
      <c r="H324" s="276" t="e">
        <f ca="1">G323+G325*INDEX(INDEX(VimFrac,0,9*G329+VLOOKUP(G328,PlanetData,3,0)+1),IF(G329,0,1)+MATCH(G326,INDEX(VimFrac,0,9*G329+VLOOKUP(G328,PlanetData,3,0)+1),IF(G329,-1,1)))</f>
        <v>#N/A</v>
      </c>
      <c r="J324" s="259">
        <f ca="1">J328</f>
        <v>0</v>
      </c>
      <c r="K324">
        <f>K316+1</f>
        <v>40</v>
      </c>
    </row>
    <row r="325" spans="1:11">
      <c r="A325" s="277" t="s">
        <v>456</v>
      </c>
      <c r="B325" s="278">
        <f>120*DaysInYear</f>
        <v>43830.584722221844</v>
      </c>
      <c r="C325" s="279" t="e">
        <f t="shared" ref="C325:H325" ca="1" si="78">C324-C323</f>
        <v>#N/A</v>
      </c>
      <c r="D325" s="279" t="e">
        <f t="shared" ca="1" si="78"/>
        <v>#N/A</v>
      </c>
      <c r="E325" s="279" t="e">
        <f t="shared" ca="1" si="78"/>
        <v>#N/A</v>
      </c>
      <c r="F325" s="279" t="e">
        <f t="shared" ca="1" si="78"/>
        <v>#N/A</v>
      </c>
      <c r="G325" s="279" t="e">
        <f t="shared" ca="1" si="78"/>
        <v>#N/A</v>
      </c>
      <c r="H325" s="279" t="e">
        <f t="shared" ca="1" si="78"/>
        <v>#N/A</v>
      </c>
      <c r="K325">
        <f>K317</f>
        <v>0</v>
      </c>
    </row>
    <row r="326" spans="1:11">
      <c r="A326" s="277" t="s">
        <v>457</v>
      </c>
      <c r="B326" s="280">
        <f ca="1">(I328-B323)/(B324-B323)</f>
        <v>-0.51488661258669155</v>
      </c>
      <c r="C326" s="281" t="e">
        <f ca="1">(I328-C323)/(C324-C323)</f>
        <v>#N/A</v>
      </c>
      <c r="D326" s="281" t="e">
        <f ca="1">(I328-D323)/(D324-D323)</f>
        <v>#N/A</v>
      </c>
      <c r="E326" s="281" t="e">
        <f ca="1">(I328-E323)/(E324-E323)</f>
        <v>#N/A</v>
      </c>
      <c r="F326" s="281" t="e">
        <f ca="1">(I328-F323)/(F324-F323)</f>
        <v>#N/A</v>
      </c>
      <c r="G326" s="281" t="e">
        <f ca="1">(I328-G323)/(G324-G323)</f>
        <v>#N/A</v>
      </c>
      <c r="H326" s="281" t="e">
        <f ca="1">(I328-H323)/(H324-H323)</f>
        <v>#N/A</v>
      </c>
      <c r="K326">
        <f>K318</f>
        <v>0</v>
      </c>
    </row>
    <row r="327" spans="1:11">
      <c r="A327" s="277" t="s">
        <v>458</v>
      </c>
      <c r="B327" s="278"/>
      <c r="C327" s="279" t="e">
        <f ca="1">MOD(VLOOKUP(B328,PlanetData,3,0)+MATCH(B326,INDEX(VimFrac,,VLOOKUP(B328,PlanetData,3,0)+1),1)-1,9)</f>
        <v>#N/A</v>
      </c>
      <c r="D327" s="279" t="e">
        <f ca="1">MOD(VLOOKUP(C328,PlanetData,3,0)+MATCH(C326,INDEX(VimFrac,0,9*C329+VLOOKUP(C328,PlanetData,3,0)+1),IF(C329,-1,1))-1,9)</f>
        <v>#N/A</v>
      </c>
      <c r="E327" s="279" t="e">
        <f ca="1">MOD(VLOOKUP(D328,PlanetData,3,0)+MATCH(D326,INDEX(VimFrac,0,9*D329+VLOOKUP(D328,PlanetData,3,0)+1),IF(D329,-1,1))-1,9)</f>
        <v>#N/A</v>
      </c>
      <c r="F327" s="279" t="e">
        <f ca="1">MOD(VLOOKUP(E328,PlanetData,3,0)+MATCH(E326,INDEX(VimFrac,0,9*E329+VLOOKUP(E328,PlanetData,3,0)+1),IF(E329,-1,1))-1,9)</f>
        <v>#N/A</v>
      </c>
      <c r="G327" s="279" t="e">
        <f ca="1">MOD(VLOOKUP(F328,PlanetData,3,0)+MATCH(F326,INDEX(VimFrac,0,9*F329+VLOOKUP(F328,PlanetData,3,0)+1),IF(F329,-1,1))-1,9)</f>
        <v>#N/A</v>
      </c>
      <c r="H327" s="279" t="e">
        <f ca="1">MOD(VLOOKUP(G328,PlanetData,3,0)+MATCH(G326,INDEX(VimFrac,0,9*G329+VLOOKUP(G328,PlanetData,3,0)+1),IF(G329,-1,1))-1,9)</f>
        <v>#N/A</v>
      </c>
      <c r="K327">
        <f>K319</f>
        <v>0</v>
      </c>
    </row>
    <row r="328" spans="1:11">
      <c r="A328" s="277" t="s">
        <v>459</v>
      </c>
      <c r="B328" s="278" t="str">
        <f>$B$4</f>
        <v>Moon</v>
      </c>
      <c r="C328" s="279" t="e">
        <f t="shared" ref="C328:H328" ca="1" si="79">INDEX(DasaYears,IF(C327=0,9,C327),1)</f>
        <v>#N/A</v>
      </c>
      <c r="D328" s="279" t="e">
        <f t="shared" ca="1" si="79"/>
        <v>#N/A</v>
      </c>
      <c r="E328" s="279" t="e">
        <f t="shared" ca="1" si="79"/>
        <v>#N/A</v>
      </c>
      <c r="F328" s="279" t="e">
        <f t="shared" ca="1" si="79"/>
        <v>#N/A</v>
      </c>
      <c r="G328" s="279" t="e">
        <f t="shared" ca="1" si="79"/>
        <v>#N/A</v>
      </c>
      <c r="H328" s="279" t="e">
        <f t="shared" ca="1" si="79"/>
        <v>#N/A</v>
      </c>
      <c r="I328" s="261">
        <f ca="1">INDIRECT("'JHora'!$B$"&amp;($K328))</f>
        <v>0</v>
      </c>
      <c r="J328" s="261">
        <f ca="1">INDIRECT("'JHora'!$C$"&amp;($K328))</f>
        <v>0</v>
      </c>
      <c r="K328">
        <f>K320+1</f>
        <v>40</v>
      </c>
    </row>
    <row r="329" spans="1:11">
      <c r="A329" s="277" t="s">
        <v>444</v>
      </c>
      <c r="B329" s="278" t="b">
        <f>$B$7</f>
        <v>1</v>
      </c>
      <c r="C329" s="279" t="e">
        <f ca="1">IF(VLOOKUP(C328,ChartInfo,11,0),1,0)*B329</f>
        <v>#N/A</v>
      </c>
      <c r="D329" s="279" t="e">
        <f ca="1">IF(VLOOKUP(D328,ChartInfo,11,0),1,0)*B329</f>
        <v>#N/A</v>
      </c>
      <c r="E329" s="279" t="e">
        <f ca="1">IF(VLOOKUP(E328,ChartInfo,11,0),1,0)*B329</f>
        <v>#N/A</v>
      </c>
      <c r="F329" s="279" t="e">
        <f ca="1">IF(VLOOKUP(F328,ChartInfo,11,0),1,0)*B329</f>
        <v>#N/A</v>
      </c>
      <c r="G329" s="279" t="e">
        <f ca="1">IF(VLOOKUP(G328,ChartInfo,11,0),1,0)*B329</f>
        <v>#N/A</v>
      </c>
      <c r="H329" s="279" t="e">
        <f ca="1">IF(VLOOKUP(H328,ChartInfo,11,0),1,0)*B329</f>
        <v>#N/A</v>
      </c>
      <c r="I329" s="149"/>
      <c r="K329">
        <f>K321</f>
        <v>0</v>
      </c>
    </row>
    <row r="330" spans="1:11">
      <c r="K330">
        <f>K322+1</f>
        <v>40</v>
      </c>
    </row>
  </sheetData>
  <autoFilter ref="A10:K330" xr:uid="{00000000-0009-0000-0000-000007000000}">
    <filterColumn colId="10">
      <customFilters and="1">
        <customFilter operator="notEqual" val="0"/>
      </customFilters>
    </filterColumn>
  </autoFilter>
  <mergeCells count="3">
    <mergeCell ref="B3:D3"/>
    <mergeCell ref="B5:E5"/>
    <mergeCell ref="B7:E7"/>
  </mergeCells>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28"/>
  <sheetViews>
    <sheetView zoomScaleNormal="100" workbookViewId="0">
      <selection activeCell="J13" sqref="J13"/>
    </sheetView>
  </sheetViews>
  <sheetFormatPr defaultColWidth="9.140625" defaultRowHeight="15"/>
  <cols>
    <col min="1" max="1" width="5.140625" style="283" customWidth="1"/>
    <col min="2" max="8" width="6.7109375" style="284" customWidth="1"/>
    <col min="9" max="9" width="9.42578125" style="284" customWidth="1"/>
    <col min="10" max="10" width="40.85546875" style="283" customWidth="1"/>
    <col min="11" max="11" width="30.42578125" style="283" customWidth="1"/>
    <col min="12" max="12" width="20.5703125" style="283" customWidth="1"/>
    <col min="13" max="13" width="7" style="283" hidden="1" customWidth="1"/>
    <col min="14" max="19" width="11.140625" style="283" hidden="1" customWidth="1"/>
    <col min="20" max="20" width="11.140625" style="283" customWidth="1"/>
    <col min="21" max="21" width="13.140625" style="283" customWidth="1"/>
    <col min="22" max="22" width="15.28515625" style="283" customWidth="1"/>
    <col min="23" max="1024" width="9.140625" style="283"/>
  </cols>
  <sheetData>
    <row r="1" spans="1:22">
      <c r="A1" s="285" t="s">
        <v>461</v>
      </c>
      <c r="B1" s="285" t="s">
        <v>462</v>
      </c>
      <c r="C1" s="285" t="s">
        <v>463</v>
      </c>
      <c r="D1" s="285" t="s">
        <v>464</v>
      </c>
      <c r="E1" s="285" t="s">
        <v>465</v>
      </c>
      <c r="F1" s="285" t="s">
        <v>466</v>
      </c>
      <c r="G1" s="285" t="s">
        <v>467</v>
      </c>
      <c r="H1" s="285" t="s">
        <v>468</v>
      </c>
      <c r="I1" s="285" t="s">
        <v>469</v>
      </c>
      <c r="J1" s="283" t="s">
        <v>470</v>
      </c>
      <c r="K1" s="283" t="s">
        <v>471</v>
      </c>
      <c r="L1" s="283" t="s">
        <v>472</v>
      </c>
      <c r="M1" s="283" t="s">
        <v>473</v>
      </c>
      <c r="N1" s="283" t="s">
        <v>474</v>
      </c>
      <c r="O1" s="283" t="s">
        <v>475</v>
      </c>
      <c r="P1" s="283" t="s">
        <v>476</v>
      </c>
      <c r="Q1" s="283" t="s">
        <v>477</v>
      </c>
      <c r="R1" s="283" t="s">
        <v>478</v>
      </c>
      <c r="S1" s="283" t="s">
        <v>479</v>
      </c>
    </row>
    <row r="2" spans="1:22" hidden="1">
      <c r="A2" s="286">
        <v>1</v>
      </c>
      <c r="B2" s="284">
        <f t="shared" ref="B2:B33" si="0">MOD(INT($A2/64),2)</f>
        <v>0</v>
      </c>
      <c r="C2" s="284">
        <f t="shared" ref="C2:C33" si="1">MOD(INT($A2/32),2)</f>
        <v>0</v>
      </c>
      <c r="D2" s="284">
        <f t="shared" ref="D2:D33" si="2">MOD(INT($A2/16),2)</f>
        <v>0</v>
      </c>
      <c r="E2" s="284">
        <f t="shared" ref="E2:E33" si="3">MOD(INT($A2/8),2)</f>
        <v>0</v>
      </c>
      <c r="F2" s="284">
        <f t="shared" ref="F2:F33" si="4">MOD(INT($A2/4),2)</f>
        <v>0</v>
      </c>
      <c r="G2" s="284">
        <f t="shared" ref="G2:G33" si="5">MOD(INT($A2/2),2)</f>
        <v>0</v>
      </c>
      <c r="H2" s="284">
        <f t="shared" ref="H2:H33" si="6">MOD(A2,2)</f>
        <v>1</v>
      </c>
      <c r="I2" s="287">
        <f>SUM(Table122[[#This Row],[Sat]:[Su]])</f>
        <v>1</v>
      </c>
      <c r="L2" s="283" t="str">
        <f>Table122[[#This Row],[Sat2]]&amp;" "&amp;Table122[[#This Row],[Column2]]&amp;" "&amp;Table122[[#This Row],[Column3]]&amp;" "&amp;Table122[[#This Row],[Column4]]&amp;" "&amp;Table122[[#This Row],[Column5]]&amp;" "&amp;Table122[[#This Row],[Column6]]&amp;" "&amp;Table122[[#This Row],[Column7]]</f>
        <v xml:space="preserve">      Su</v>
      </c>
      <c r="M2" s="283" t="str">
        <f>IF(Table122[[#This Row],[Sat]],Table122[[#Headers],[Sat]],"")</f>
        <v/>
      </c>
      <c r="N2" s="283" t="str">
        <f>IF(Table122[[#This Row],[Ve]],Table122[[#Headers],[Ve]],"")</f>
        <v/>
      </c>
      <c r="O2" s="283" t="str">
        <f>IF(Table122[[#This Row],[Ju]],Table122[[#Headers],[Ju]],"")</f>
        <v/>
      </c>
      <c r="P2" s="283" t="str">
        <f>IF(Table122[[#This Row],[Me]],Table122[[#Headers],[Me]],"")</f>
        <v/>
      </c>
      <c r="Q2" s="283" t="str">
        <f>IF(Table122[[#This Row],[Ma]],Table122[[#Headers],[Ma]],"")</f>
        <v/>
      </c>
      <c r="R2" s="283" t="str">
        <f>IF(Table122[[#This Row],[Mo]],Table122[[#Headers],[Mo]],"")</f>
        <v/>
      </c>
      <c r="S2" s="283" t="str">
        <f>IF(Table122[[#This Row],[Su]],Table122[[#Headers],[Su]],"")</f>
        <v>Su</v>
      </c>
    </row>
    <row r="3" spans="1:22" hidden="1">
      <c r="A3" s="286">
        <v>2</v>
      </c>
      <c r="B3" s="284">
        <f t="shared" si="0"/>
        <v>0</v>
      </c>
      <c r="C3" s="284">
        <f t="shared" si="1"/>
        <v>0</v>
      </c>
      <c r="D3" s="284">
        <f t="shared" si="2"/>
        <v>0</v>
      </c>
      <c r="E3" s="284">
        <f t="shared" si="3"/>
        <v>0</v>
      </c>
      <c r="F3" s="284">
        <f t="shared" si="4"/>
        <v>0</v>
      </c>
      <c r="G3" s="284">
        <f t="shared" si="5"/>
        <v>1</v>
      </c>
      <c r="H3" s="284">
        <f t="shared" si="6"/>
        <v>0</v>
      </c>
      <c r="I3" s="287">
        <f>SUM(Table122[[#This Row],[Sat]:[Su]])</f>
        <v>1</v>
      </c>
      <c r="L3" s="283" t="str">
        <f>Table122[[#This Row],[Sat2]]&amp;" "&amp;Table122[[#This Row],[Column2]]&amp;" "&amp;Table122[[#This Row],[Column3]]&amp;" "&amp;Table122[[#This Row],[Column4]]&amp;" "&amp;Table122[[#This Row],[Column5]]&amp;" "&amp;Table122[[#This Row],[Column6]]&amp;" "&amp;Table122[[#This Row],[Column7]]</f>
        <v xml:space="preserve">     Mo </v>
      </c>
      <c r="M3" s="283" t="str">
        <f>IF(Table122[[#This Row],[Sat]],Table122[[#Headers],[Sat]],"")</f>
        <v/>
      </c>
      <c r="N3" s="283" t="str">
        <f>IF(Table122[[#This Row],[Ve]],Table122[[#Headers],[Ve]],"")</f>
        <v/>
      </c>
      <c r="O3" s="283" t="str">
        <f>IF(Table122[[#This Row],[Ju]],Table122[[#Headers],[Ju]],"")</f>
        <v/>
      </c>
      <c r="P3" s="283" t="str">
        <f>IF(Table122[[#This Row],[Me]],Table122[[#Headers],[Me]],"")</f>
        <v/>
      </c>
      <c r="Q3" s="283" t="str">
        <f>IF(Table122[[#This Row],[Ma]],Table122[[#Headers],[Ma]],"")</f>
        <v/>
      </c>
      <c r="R3" s="283" t="str">
        <f>IF(Table122[[#This Row],[Mo]],Table122[[#Headers],[Mo]],"")</f>
        <v>Mo</v>
      </c>
      <c r="S3" s="283" t="str">
        <f>IF(Table122[[#This Row],[Su]],Table122[[#Headers],[Su]],"")</f>
        <v/>
      </c>
    </row>
    <row r="4" spans="1:22">
      <c r="A4" s="286">
        <v>3</v>
      </c>
      <c r="B4" s="284">
        <f t="shared" si="0"/>
        <v>0</v>
      </c>
      <c r="C4" s="284">
        <f t="shared" si="1"/>
        <v>0</v>
      </c>
      <c r="D4" s="284">
        <f t="shared" si="2"/>
        <v>0</v>
      </c>
      <c r="E4" s="284">
        <f t="shared" si="3"/>
        <v>0</v>
      </c>
      <c r="F4" s="284">
        <f t="shared" si="4"/>
        <v>0</v>
      </c>
      <c r="G4" s="284">
        <f t="shared" si="5"/>
        <v>1</v>
      </c>
      <c r="H4" s="284">
        <f t="shared" si="6"/>
        <v>1</v>
      </c>
      <c r="I4" s="287">
        <f>SUM(Table122[[#This Row],[Sat]:[Su]])</f>
        <v>2</v>
      </c>
      <c r="J4" s="283" t="s">
        <v>480</v>
      </c>
      <c r="K4" s="283" t="s">
        <v>481</v>
      </c>
      <c r="L4" s="283" t="str">
        <f>Table122[[#This Row],[Sat2]]&amp;" "&amp;Table122[[#This Row],[Column2]]&amp;" "&amp;Table122[[#This Row],[Column3]]&amp;" "&amp;Table122[[#This Row],[Column4]]&amp;" "&amp;Table122[[#This Row],[Column5]]&amp;" "&amp;Table122[[#This Row],[Column6]]&amp;" "&amp;Table122[[#This Row],[Column7]]</f>
        <v xml:space="preserve">     Mo Su</v>
      </c>
      <c r="M4" s="283" t="str">
        <f>IF(Table122[[#This Row],[Sat]],Table122[[#Headers],[Sat]],"")</f>
        <v/>
      </c>
      <c r="N4" s="283" t="str">
        <f>IF(Table122[[#This Row],[Ve]],Table122[[#Headers],[Ve]],"")</f>
        <v/>
      </c>
      <c r="O4" s="283" t="str">
        <f>IF(Table122[[#This Row],[Ju]],Table122[[#Headers],[Ju]],"")</f>
        <v/>
      </c>
      <c r="P4" s="283" t="str">
        <f>IF(Table122[[#This Row],[Me]],Table122[[#Headers],[Me]],"")</f>
        <v/>
      </c>
      <c r="Q4" s="283" t="str">
        <f>IF(Table122[[#This Row],[Ma]],Table122[[#Headers],[Ma]],"")</f>
        <v/>
      </c>
      <c r="R4" s="283" t="str">
        <f>IF(Table122[[#This Row],[Mo]],Table122[[#Headers],[Mo]],"")</f>
        <v>Mo</v>
      </c>
      <c r="S4" s="283" t="str">
        <f>IF(Table122[[#This Row],[Su]],Table122[[#Headers],[Su]],"")</f>
        <v>Su</v>
      </c>
    </row>
    <row r="5" spans="1:22" hidden="1">
      <c r="A5" s="286">
        <v>4</v>
      </c>
      <c r="B5" s="284">
        <f t="shared" si="0"/>
        <v>0</v>
      </c>
      <c r="C5" s="284">
        <f t="shared" si="1"/>
        <v>0</v>
      </c>
      <c r="D5" s="284">
        <f t="shared" si="2"/>
        <v>0</v>
      </c>
      <c r="E5" s="284">
        <f t="shared" si="3"/>
        <v>0</v>
      </c>
      <c r="F5" s="284">
        <f t="shared" si="4"/>
        <v>1</v>
      </c>
      <c r="G5" s="284">
        <f t="shared" si="5"/>
        <v>0</v>
      </c>
      <c r="H5" s="284">
        <f t="shared" si="6"/>
        <v>0</v>
      </c>
      <c r="I5" s="287">
        <f>SUM(Table122[[#This Row],[Sat]:[Su]])</f>
        <v>1</v>
      </c>
      <c r="L5" s="283" t="str">
        <f>Table122[[#This Row],[Sat2]]&amp;" "&amp;Table122[[#This Row],[Column2]]&amp;" "&amp;Table122[[#This Row],[Column3]]&amp;" "&amp;Table122[[#This Row],[Column4]]&amp;" "&amp;Table122[[#This Row],[Column5]]&amp;" "&amp;Table122[[#This Row],[Column6]]&amp;" "&amp;Table122[[#This Row],[Column7]]</f>
        <v xml:space="preserve">    Ma  </v>
      </c>
      <c r="M5" s="283" t="str">
        <f>IF(Table122[[#This Row],[Sat]],Table122[[#Headers],[Sat]],"")</f>
        <v/>
      </c>
      <c r="N5" s="283" t="str">
        <f>IF(Table122[[#This Row],[Ve]],Table122[[#Headers],[Ve]],"")</f>
        <v/>
      </c>
      <c r="O5" s="283" t="str">
        <f>IF(Table122[[#This Row],[Ju]],Table122[[#Headers],[Ju]],"")</f>
        <v/>
      </c>
      <c r="P5" s="283" t="str">
        <f>IF(Table122[[#This Row],[Me]],Table122[[#Headers],[Me]],"")</f>
        <v/>
      </c>
      <c r="Q5" s="283" t="str">
        <f>IF(Table122[[#This Row],[Ma]],Table122[[#Headers],[Ma]],"")</f>
        <v>Ma</v>
      </c>
      <c r="R5" s="283" t="str">
        <f>IF(Table122[[#This Row],[Mo]],Table122[[#Headers],[Mo]],"")</f>
        <v/>
      </c>
      <c r="S5" s="283" t="str">
        <f>IF(Table122[[#This Row],[Su]],Table122[[#Headers],[Su]],"")</f>
        <v/>
      </c>
      <c r="U5" s="288" t="s">
        <v>469</v>
      </c>
      <c r="V5" s="289" t="s">
        <v>482</v>
      </c>
    </row>
    <row r="6" spans="1:22">
      <c r="A6" s="286">
        <v>5</v>
      </c>
      <c r="B6" s="284">
        <f t="shared" si="0"/>
        <v>0</v>
      </c>
      <c r="C6" s="284">
        <f t="shared" si="1"/>
        <v>0</v>
      </c>
      <c r="D6" s="284">
        <f t="shared" si="2"/>
        <v>0</v>
      </c>
      <c r="E6" s="284">
        <f t="shared" si="3"/>
        <v>0</v>
      </c>
      <c r="F6" s="284">
        <f t="shared" si="4"/>
        <v>1</v>
      </c>
      <c r="G6" s="284">
        <f t="shared" si="5"/>
        <v>0</v>
      </c>
      <c r="H6" s="284">
        <f t="shared" si="6"/>
        <v>1</v>
      </c>
      <c r="I6" s="287">
        <f>SUM(Table122[[#This Row],[Sat]:[Su]])</f>
        <v>2</v>
      </c>
      <c r="J6" s="283" t="s">
        <v>483</v>
      </c>
      <c r="K6" s="283" t="s">
        <v>481</v>
      </c>
      <c r="L6" s="283" t="str">
        <f>Table122[[#This Row],[Sat2]]&amp;" "&amp;Table122[[#This Row],[Column2]]&amp;" "&amp;Table122[[#This Row],[Column3]]&amp;" "&amp;Table122[[#This Row],[Column4]]&amp;" "&amp;Table122[[#This Row],[Column5]]&amp;" "&amp;Table122[[#This Row],[Column6]]&amp;" "&amp;Table122[[#This Row],[Column7]]</f>
        <v xml:space="preserve">    Ma  Su</v>
      </c>
      <c r="M6" s="283" t="str">
        <f>IF(Table122[[#This Row],[Sat]],Table122[[#Headers],[Sat]],"")</f>
        <v/>
      </c>
      <c r="N6" s="283" t="str">
        <f>IF(Table122[[#This Row],[Ve]],Table122[[#Headers],[Ve]],"")</f>
        <v/>
      </c>
      <c r="O6" s="283" t="str">
        <f>IF(Table122[[#This Row],[Ju]],Table122[[#Headers],[Ju]],"")</f>
        <v/>
      </c>
      <c r="P6" s="283" t="str">
        <f>IF(Table122[[#This Row],[Me]],Table122[[#Headers],[Me]],"")</f>
        <v/>
      </c>
      <c r="Q6" s="283" t="str">
        <f>IF(Table122[[#This Row],[Ma]],Table122[[#Headers],[Ma]],"")</f>
        <v>Ma</v>
      </c>
      <c r="R6" s="283" t="str">
        <f>IF(Table122[[#This Row],[Mo]],Table122[[#Headers],[Mo]],"")</f>
        <v/>
      </c>
      <c r="S6" s="283" t="str">
        <f>IF(Table122[[#This Row],[Su]],Table122[[#Headers],[Su]],"")</f>
        <v>Su</v>
      </c>
      <c r="U6" s="290">
        <v>1</v>
      </c>
      <c r="V6" s="291">
        <v>7</v>
      </c>
    </row>
    <row r="7" spans="1:22">
      <c r="A7" s="286">
        <v>6</v>
      </c>
      <c r="B7" s="284">
        <f t="shared" si="0"/>
        <v>0</v>
      </c>
      <c r="C7" s="284">
        <f t="shared" si="1"/>
        <v>0</v>
      </c>
      <c r="D7" s="284">
        <f t="shared" si="2"/>
        <v>0</v>
      </c>
      <c r="E7" s="284">
        <f t="shared" si="3"/>
        <v>0</v>
      </c>
      <c r="F7" s="284">
        <f t="shared" si="4"/>
        <v>1</v>
      </c>
      <c r="G7" s="284">
        <f t="shared" si="5"/>
        <v>1</v>
      </c>
      <c r="H7" s="284">
        <f t="shared" si="6"/>
        <v>0</v>
      </c>
      <c r="I7" s="287">
        <f>SUM(Table122[[#This Row],[Sat]:[Su]])</f>
        <v>2</v>
      </c>
      <c r="J7" s="283" t="s">
        <v>484</v>
      </c>
      <c r="K7" s="283" t="s">
        <v>485</v>
      </c>
      <c r="L7" s="283" t="str">
        <f>Table122[[#This Row],[Sat2]]&amp;" "&amp;Table122[[#This Row],[Column2]]&amp;" "&amp;Table122[[#This Row],[Column3]]&amp;" "&amp;Table122[[#This Row],[Column4]]&amp;" "&amp;Table122[[#This Row],[Column5]]&amp;" "&amp;Table122[[#This Row],[Column6]]&amp;" "&amp;Table122[[#This Row],[Column7]]</f>
        <v xml:space="preserve">    Ma Mo </v>
      </c>
      <c r="M7" s="283" t="str">
        <f>IF(Table122[[#This Row],[Sat]],Table122[[#Headers],[Sat]],"")</f>
        <v/>
      </c>
      <c r="N7" s="283" t="str">
        <f>IF(Table122[[#This Row],[Ve]],Table122[[#Headers],[Ve]],"")</f>
        <v/>
      </c>
      <c r="O7" s="283" t="str">
        <f>IF(Table122[[#This Row],[Ju]],Table122[[#Headers],[Ju]],"")</f>
        <v/>
      </c>
      <c r="P7" s="283" t="str">
        <f>IF(Table122[[#This Row],[Me]],Table122[[#Headers],[Me]],"")</f>
        <v/>
      </c>
      <c r="Q7" s="283" t="str">
        <f>IF(Table122[[#This Row],[Ma]],Table122[[#Headers],[Ma]],"")</f>
        <v>Ma</v>
      </c>
      <c r="R7" s="283" t="str">
        <f>IF(Table122[[#This Row],[Mo]],Table122[[#Headers],[Mo]],"")</f>
        <v>Mo</v>
      </c>
      <c r="S7" s="283" t="str">
        <f>IF(Table122[[#This Row],[Su]],Table122[[#Headers],[Su]],"")</f>
        <v/>
      </c>
      <c r="U7" s="292">
        <v>2</v>
      </c>
      <c r="V7" s="293">
        <v>21</v>
      </c>
    </row>
    <row r="8" spans="1:22" hidden="1">
      <c r="A8" s="286">
        <v>7</v>
      </c>
      <c r="B8" s="284">
        <f t="shared" si="0"/>
        <v>0</v>
      </c>
      <c r="C8" s="284">
        <f t="shared" si="1"/>
        <v>0</v>
      </c>
      <c r="D8" s="284">
        <f t="shared" si="2"/>
        <v>0</v>
      </c>
      <c r="E8" s="284">
        <f t="shared" si="3"/>
        <v>0</v>
      </c>
      <c r="F8" s="284">
        <f t="shared" si="4"/>
        <v>1</v>
      </c>
      <c r="G8" s="284">
        <f t="shared" si="5"/>
        <v>1</v>
      </c>
      <c r="H8" s="284">
        <f t="shared" si="6"/>
        <v>1</v>
      </c>
      <c r="I8" s="287">
        <f>SUM(Table122[[#This Row],[Sat]:[Su]])</f>
        <v>3</v>
      </c>
      <c r="L8" s="283" t="str">
        <f>Table122[[#This Row],[Sat2]]&amp;" "&amp;Table122[[#This Row],[Column2]]&amp;" "&amp;Table122[[#This Row],[Column3]]&amp;" "&amp;Table122[[#This Row],[Column4]]&amp;" "&amp;Table122[[#This Row],[Column5]]&amp;" "&amp;Table122[[#This Row],[Column6]]&amp;" "&amp;Table122[[#This Row],[Column7]]</f>
        <v xml:space="preserve">    Ma Mo Su</v>
      </c>
      <c r="M8" s="283" t="str">
        <f>IF(Table122[[#This Row],[Sat]],Table122[[#Headers],[Sat]],"")</f>
        <v/>
      </c>
      <c r="N8" s="283" t="str">
        <f>IF(Table122[[#This Row],[Ve]],Table122[[#Headers],[Ve]],"")</f>
        <v/>
      </c>
      <c r="O8" s="283" t="str">
        <f>IF(Table122[[#This Row],[Ju]],Table122[[#Headers],[Ju]],"")</f>
        <v/>
      </c>
      <c r="P8" s="283" t="str">
        <f>IF(Table122[[#This Row],[Me]],Table122[[#Headers],[Me]],"")</f>
        <v/>
      </c>
      <c r="Q8" s="283" t="str">
        <f>IF(Table122[[#This Row],[Ma]],Table122[[#Headers],[Ma]],"")</f>
        <v>Ma</v>
      </c>
      <c r="R8" s="283" t="str">
        <f>IF(Table122[[#This Row],[Mo]],Table122[[#Headers],[Mo]],"")</f>
        <v>Mo</v>
      </c>
      <c r="S8" s="283" t="str">
        <f>IF(Table122[[#This Row],[Su]],Table122[[#Headers],[Su]],"")</f>
        <v>Su</v>
      </c>
      <c r="U8" s="292">
        <v>3</v>
      </c>
      <c r="V8" s="293">
        <v>35</v>
      </c>
    </row>
    <row r="9" spans="1:22" hidden="1">
      <c r="A9" s="286">
        <v>8</v>
      </c>
      <c r="B9" s="284">
        <f t="shared" si="0"/>
        <v>0</v>
      </c>
      <c r="C9" s="284">
        <f t="shared" si="1"/>
        <v>0</v>
      </c>
      <c r="D9" s="284">
        <f t="shared" si="2"/>
        <v>0</v>
      </c>
      <c r="E9" s="284">
        <f t="shared" si="3"/>
        <v>1</v>
      </c>
      <c r="F9" s="284">
        <f t="shared" si="4"/>
        <v>0</v>
      </c>
      <c r="G9" s="284">
        <f t="shared" si="5"/>
        <v>0</v>
      </c>
      <c r="H9" s="284">
        <f t="shared" si="6"/>
        <v>0</v>
      </c>
      <c r="I9" s="287">
        <f>SUM(Table122[[#This Row],[Sat]:[Su]])</f>
        <v>1</v>
      </c>
      <c r="L9" s="283" t="str">
        <f>Table122[[#This Row],[Sat2]]&amp;" "&amp;Table122[[#This Row],[Column2]]&amp;" "&amp;Table122[[#This Row],[Column3]]&amp;" "&amp;Table122[[#This Row],[Column4]]&amp;" "&amp;Table122[[#This Row],[Column5]]&amp;" "&amp;Table122[[#This Row],[Column6]]&amp;" "&amp;Table122[[#This Row],[Column7]]</f>
        <v xml:space="preserve">   Me   </v>
      </c>
      <c r="M9" s="283" t="str">
        <f>IF(Table122[[#This Row],[Sat]],Table122[[#Headers],[Sat]],"")</f>
        <v/>
      </c>
      <c r="N9" s="283" t="str">
        <f>IF(Table122[[#This Row],[Ve]],Table122[[#Headers],[Ve]],"")</f>
        <v/>
      </c>
      <c r="O9" s="283" t="str">
        <f>IF(Table122[[#This Row],[Ju]],Table122[[#Headers],[Ju]],"")</f>
        <v/>
      </c>
      <c r="P9" s="283" t="str">
        <f>IF(Table122[[#This Row],[Me]],Table122[[#Headers],[Me]],"")</f>
        <v>Me</v>
      </c>
      <c r="Q9" s="283" t="str">
        <f>IF(Table122[[#This Row],[Ma]],Table122[[#Headers],[Ma]],"")</f>
        <v/>
      </c>
      <c r="R9" s="283" t="str">
        <f>IF(Table122[[#This Row],[Mo]],Table122[[#Headers],[Mo]],"")</f>
        <v/>
      </c>
      <c r="S9" s="283" t="str">
        <f>IF(Table122[[#This Row],[Su]],Table122[[#Headers],[Su]],"")</f>
        <v/>
      </c>
      <c r="U9" s="292">
        <v>4</v>
      </c>
      <c r="V9" s="293">
        <v>35</v>
      </c>
    </row>
    <row r="10" spans="1:22">
      <c r="A10" s="286">
        <v>9</v>
      </c>
      <c r="B10" s="284">
        <f t="shared" si="0"/>
        <v>0</v>
      </c>
      <c r="C10" s="284">
        <f t="shared" si="1"/>
        <v>0</v>
      </c>
      <c r="D10" s="284">
        <f t="shared" si="2"/>
        <v>0</v>
      </c>
      <c r="E10" s="284">
        <f t="shared" si="3"/>
        <v>1</v>
      </c>
      <c r="F10" s="284">
        <f t="shared" si="4"/>
        <v>0</v>
      </c>
      <c r="G10" s="284">
        <f t="shared" si="5"/>
        <v>0</v>
      </c>
      <c r="H10" s="284">
        <f t="shared" si="6"/>
        <v>1</v>
      </c>
      <c r="I10" s="287">
        <f>SUM(Table122[[#This Row],[Sat]:[Su]])</f>
        <v>2</v>
      </c>
      <c r="J10" s="283" t="s">
        <v>486</v>
      </c>
      <c r="K10" s="283" t="s">
        <v>481</v>
      </c>
      <c r="L10" s="283" t="str">
        <f>Table122[[#This Row],[Sat2]]&amp;" "&amp;Table122[[#This Row],[Column2]]&amp;" "&amp;Table122[[#This Row],[Column3]]&amp;" "&amp;Table122[[#This Row],[Column4]]&amp;" "&amp;Table122[[#This Row],[Column5]]&amp;" "&amp;Table122[[#This Row],[Column6]]&amp;" "&amp;Table122[[#This Row],[Column7]]</f>
        <v xml:space="preserve">   Me   Su</v>
      </c>
      <c r="M10" s="283" t="str">
        <f>IF(Table122[[#This Row],[Sat]],Table122[[#Headers],[Sat]],"")</f>
        <v/>
      </c>
      <c r="N10" s="283" t="str">
        <f>IF(Table122[[#This Row],[Ve]],Table122[[#Headers],[Ve]],"")</f>
        <v/>
      </c>
      <c r="O10" s="283" t="str">
        <f>IF(Table122[[#This Row],[Ju]],Table122[[#Headers],[Ju]],"")</f>
        <v/>
      </c>
      <c r="P10" s="283" t="str">
        <f>IF(Table122[[#This Row],[Me]],Table122[[#Headers],[Me]],"")</f>
        <v>Me</v>
      </c>
      <c r="Q10" s="283" t="str">
        <f>IF(Table122[[#This Row],[Ma]],Table122[[#Headers],[Ma]],"")</f>
        <v/>
      </c>
      <c r="R10" s="283" t="str">
        <f>IF(Table122[[#This Row],[Mo]],Table122[[#Headers],[Mo]],"")</f>
        <v/>
      </c>
      <c r="S10" s="283" t="str">
        <f>IF(Table122[[#This Row],[Su]],Table122[[#Headers],[Su]],"")</f>
        <v>Su</v>
      </c>
      <c r="U10" s="292">
        <v>5</v>
      </c>
      <c r="V10" s="293">
        <v>21</v>
      </c>
    </row>
    <row r="11" spans="1:22">
      <c r="A11" s="286">
        <v>10</v>
      </c>
      <c r="B11" s="284">
        <f t="shared" si="0"/>
        <v>0</v>
      </c>
      <c r="C11" s="284">
        <f t="shared" si="1"/>
        <v>0</v>
      </c>
      <c r="D11" s="284">
        <f t="shared" si="2"/>
        <v>0</v>
      </c>
      <c r="E11" s="284">
        <f t="shared" si="3"/>
        <v>1</v>
      </c>
      <c r="F11" s="284">
        <f t="shared" si="4"/>
        <v>0</v>
      </c>
      <c r="G11" s="284">
        <f t="shared" si="5"/>
        <v>1</v>
      </c>
      <c r="H11" s="284">
        <f t="shared" si="6"/>
        <v>0</v>
      </c>
      <c r="I11" s="287">
        <f>SUM(Table122[[#This Row],[Sat]:[Su]])</f>
        <v>2</v>
      </c>
      <c r="J11" s="283" t="s">
        <v>487</v>
      </c>
      <c r="K11" s="283" t="s">
        <v>485</v>
      </c>
      <c r="L11" s="283" t="str">
        <f>Table122[[#This Row],[Sat2]]&amp;" "&amp;Table122[[#This Row],[Column2]]&amp;" "&amp;Table122[[#This Row],[Column3]]&amp;" "&amp;Table122[[#This Row],[Column4]]&amp;" "&amp;Table122[[#This Row],[Column5]]&amp;" "&amp;Table122[[#This Row],[Column6]]&amp;" "&amp;Table122[[#This Row],[Column7]]</f>
        <v xml:space="preserve">   Me  Mo </v>
      </c>
      <c r="M11" s="283" t="str">
        <f>IF(Table122[[#This Row],[Sat]],Table122[[#Headers],[Sat]],"")</f>
        <v/>
      </c>
      <c r="N11" s="283" t="str">
        <f>IF(Table122[[#This Row],[Ve]],Table122[[#Headers],[Ve]],"")</f>
        <v/>
      </c>
      <c r="O11" s="283" t="str">
        <f>IF(Table122[[#This Row],[Ju]],Table122[[#Headers],[Ju]],"")</f>
        <v/>
      </c>
      <c r="P11" s="283" t="str">
        <f>IF(Table122[[#This Row],[Me]],Table122[[#Headers],[Me]],"")</f>
        <v>Me</v>
      </c>
      <c r="Q11" s="283" t="str">
        <f>IF(Table122[[#This Row],[Ma]],Table122[[#Headers],[Ma]],"")</f>
        <v/>
      </c>
      <c r="R11" s="283" t="str">
        <f>IF(Table122[[#This Row],[Mo]],Table122[[#Headers],[Mo]],"")</f>
        <v>Mo</v>
      </c>
      <c r="S11" s="283" t="str">
        <f>IF(Table122[[#This Row],[Su]],Table122[[#Headers],[Su]],"")</f>
        <v/>
      </c>
      <c r="U11" s="292">
        <v>6</v>
      </c>
      <c r="V11" s="293">
        <v>7</v>
      </c>
    </row>
    <row r="12" spans="1:22" hidden="1">
      <c r="A12" s="286">
        <v>11</v>
      </c>
      <c r="B12" s="284">
        <f t="shared" si="0"/>
        <v>0</v>
      </c>
      <c r="C12" s="284">
        <f t="shared" si="1"/>
        <v>0</v>
      </c>
      <c r="D12" s="284">
        <f t="shared" si="2"/>
        <v>0</v>
      </c>
      <c r="E12" s="284">
        <f t="shared" si="3"/>
        <v>1</v>
      </c>
      <c r="F12" s="284">
        <f t="shared" si="4"/>
        <v>0</v>
      </c>
      <c r="G12" s="284">
        <f t="shared" si="5"/>
        <v>1</v>
      </c>
      <c r="H12" s="284">
        <f t="shared" si="6"/>
        <v>1</v>
      </c>
      <c r="I12" s="287">
        <f>SUM(Table122[[#This Row],[Sat]:[Su]])</f>
        <v>3</v>
      </c>
      <c r="L12" s="283" t="str">
        <f>Table122[[#This Row],[Sat2]]&amp;" "&amp;Table122[[#This Row],[Column2]]&amp;" "&amp;Table122[[#This Row],[Column3]]&amp;" "&amp;Table122[[#This Row],[Column4]]&amp;" "&amp;Table122[[#This Row],[Column5]]&amp;" "&amp;Table122[[#This Row],[Column6]]&amp;" "&amp;Table122[[#This Row],[Column7]]</f>
        <v xml:space="preserve">   Me  Mo Su</v>
      </c>
      <c r="M12" s="283" t="str">
        <f>IF(Table122[[#This Row],[Sat]],Table122[[#Headers],[Sat]],"")</f>
        <v/>
      </c>
      <c r="N12" s="283" t="str">
        <f>IF(Table122[[#This Row],[Ve]],Table122[[#Headers],[Ve]],"")</f>
        <v/>
      </c>
      <c r="O12" s="283" t="str">
        <f>IF(Table122[[#This Row],[Ju]],Table122[[#Headers],[Ju]],"")</f>
        <v/>
      </c>
      <c r="P12" s="283" t="str">
        <f>IF(Table122[[#This Row],[Me]],Table122[[#Headers],[Me]],"")</f>
        <v>Me</v>
      </c>
      <c r="Q12" s="283" t="str">
        <f>IF(Table122[[#This Row],[Ma]],Table122[[#Headers],[Ma]],"")</f>
        <v/>
      </c>
      <c r="R12" s="283" t="str">
        <f>IF(Table122[[#This Row],[Mo]],Table122[[#Headers],[Mo]],"")</f>
        <v>Mo</v>
      </c>
      <c r="S12" s="283" t="str">
        <f>IF(Table122[[#This Row],[Su]],Table122[[#Headers],[Su]],"")</f>
        <v>Su</v>
      </c>
      <c r="U12" s="292">
        <v>7</v>
      </c>
      <c r="V12" s="294">
        <v>1</v>
      </c>
    </row>
    <row r="13" spans="1:22">
      <c r="A13" s="286">
        <v>12</v>
      </c>
      <c r="B13" s="284">
        <f t="shared" si="0"/>
        <v>0</v>
      </c>
      <c r="C13" s="284">
        <f t="shared" si="1"/>
        <v>0</v>
      </c>
      <c r="D13" s="284">
        <f t="shared" si="2"/>
        <v>0</v>
      </c>
      <c r="E13" s="284">
        <f t="shared" si="3"/>
        <v>1</v>
      </c>
      <c r="F13" s="284">
        <f t="shared" si="4"/>
        <v>1</v>
      </c>
      <c r="G13" s="284">
        <f t="shared" si="5"/>
        <v>0</v>
      </c>
      <c r="H13" s="284">
        <f t="shared" si="6"/>
        <v>0</v>
      </c>
      <c r="I13" s="287">
        <f>SUM(Table122[[#This Row],[Sat]:[Su]])</f>
        <v>2</v>
      </c>
      <c r="J13" s="283" t="s">
        <v>488</v>
      </c>
      <c r="L13" s="283" t="str">
        <f>Table122[[#This Row],[Sat2]]&amp;" "&amp;Table122[[#This Row],[Column2]]&amp;" "&amp;Table122[[#This Row],[Column3]]&amp;" "&amp;Table122[[#This Row],[Column4]]&amp;" "&amp;Table122[[#This Row],[Column5]]&amp;" "&amp;Table122[[#This Row],[Column6]]&amp;" "&amp;Table122[[#This Row],[Column7]]</f>
        <v xml:space="preserve">   Me Ma  </v>
      </c>
      <c r="M13" s="283" t="str">
        <f>IF(Table122[[#This Row],[Sat]],Table122[[#Headers],[Sat]],"")</f>
        <v/>
      </c>
      <c r="N13" s="283" t="str">
        <f>IF(Table122[[#This Row],[Ve]],Table122[[#Headers],[Ve]],"")</f>
        <v/>
      </c>
      <c r="O13" s="283" t="str">
        <f>IF(Table122[[#This Row],[Ju]],Table122[[#Headers],[Ju]],"")</f>
        <v/>
      </c>
      <c r="P13" s="283" t="str">
        <f>IF(Table122[[#This Row],[Me]],Table122[[#Headers],[Me]],"")</f>
        <v>Me</v>
      </c>
      <c r="Q13" s="283" t="str">
        <f>IF(Table122[[#This Row],[Ma]],Table122[[#Headers],[Ma]],"")</f>
        <v>Ma</v>
      </c>
      <c r="R13" s="283" t="str">
        <f>IF(Table122[[#This Row],[Mo]],Table122[[#Headers],[Mo]],"")</f>
        <v/>
      </c>
      <c r="S13" s="283" t="str">
        <f>IF(Table122[[#This Row],[Su]],Table122[[#Headers],[Su]],"")</f>
        <v/>
      </c>
      <c r="U13" s="295" t="s">
        <v>489</v>
      </c>
      <c r="V13" s="296">
        <v>127</v>
      </c>
    </row>
    <row r="14" spans="1:22" hidden="1">
      <c r="A14" s="286">
        <v>13</v>
      </c>
      <c r="B14" s="284">
        <f t="shared" si="0"/>
        <v>0</v>
      </c>
      <c r="C14" s="284">
        <f t="shared" si="1"/>
        <v>0</v>
      </c>
      <c r="D14" s="284">
        <f t="shared" si="2"/>
        <v>0</v>
      </c>
      <c r="E14" s="284">
        <f t="shared" si="3"/>
        <v>1</v>
      </c>
      <c r="F14" s="284">
        <f t="shared" si="4"/>
        <v>1</v>
      </c>
      <c r="G14" s="284">
        <f t="shared" si="5"/>
        <v>0</v>
      </c>
      <c r="H14" s="284">
        <f t="shared" si="6"/>
        <v>1</v>
      </c>
      <c r="I14" s="287">
        <f>SUM(Table122[[#This Row],[Sat]:[Su]])</f>
        <v>3</v>
      </c>
      <c r="L14" s="283" t="str">
        <f>Table122[[#This Row],[Sat2]]&amp;" "&amp;Table122[[#This Row],[Column2]]&amp;" "&amp;Table122[[#This Row],[Column3]]&amp;" "&amp;Table122[[#This Row],[Column4]]&amp;" "&amp;Table122[[#This Row],[Column5]]&amp;" "&amp;Table122[[#This Row],[Column6]]&amp;" "&amp;Table122[[#This Row],[Column7]]</f>
        <v xml:space="preserve">   Me Ma  Su</v>
      </c>
      <c r="M14" s="283" t="str">
        <f>IF(Table122[[#This Row],[Sat]],Table122[[#Headers],[Sat]],"")</f>
        <v/>
      </c>
      <c r="N14" s="283" t="str">
        <f>IF(Table122[[#This Row],[Ve]],Table122[[#Headers],[Ve]],"")</f>
        <v/>
      </c>
      <c r="O14" s="283" t="str">
        <f>IF(Table122[[#This Row],[Ju]],Table122[[#Headers],[Ju]],"")</f>
        <v/>
      </c>
      <c r="P14" s="283" t="str">
        <f>IF(Table122[[#This Row],[Me]],Table122[[#Headers],[Me]],"")</f>
        <v>Me</v>
      </c>
      <c r="Q14" s="283" t="str">
        <f>IF(Table122[[#This Row],[Ma]],Table122[[#Headers],[Ma]],"")</f>
        <v>Ma</v>
      </c>
      <c r="R14" s="283" t="str">
        <f>IF(Table122[[#This Row],[Mo]],Table122[[#Headers],[Mo]],"")</f>
        <v/>
      </c>
      <c r="S14" s="283" t="str">
        <f>IF(Table122[[#This Row],[Su]],Table122[[#Headers],[Su]],"")</f>
        <v>Su</v>
      </c>
    </row>
    <row r="15" spans="1:22" hidden="1">
      <c r="A15" s="286">
        <v>14</v>
      </c>
      <c r="B15" s="284">
        <f t="shared" si="0"/>
        <v>0</v>
      </c>
      <c r="C15" s="284">
        <f t="shared" si="1"/>
        <v>0</v>
      </c>
      <c r="D15" s="284">
        <f t="shared" si="2"/>
        <v>0</v>
      </c>
      <c r="E15" s="284">
        <f t="shared" si="3"/>
        <v>1</v>
      </c>
      <c r="F15" s="284">
        <f t="shared" si="4"/>
        <v>1</v>
      </c>
      <c r="G15" s="284">
        <f t="shared" si="5"/>
        <v>1</v>
      </c>
      <c r="H15" s="284">
        <f t="shared" si="6"/>
        <v>0</v>
      </c>
      <c r="I15" s="287">
        <f>SUM(Table122[[#This Row],[Sat]:[Su]])</f>
        <v>3</v>
      </c>
      <c r="L15" s="283" t="str">
        <f>Table122[[#This Row],[Sat2]]&amp;" "&amp;Table122[[#This Row],[Column2]]&amp;" "&amp;Table122[[#This Row],[Column3]]&amp;" "&amp;Table122[[#This Row],[Column4]]&amp;" "&amp;Table122[[#This Row],[Column5]]&amp;" "&amp;Table122[[#This Row],[Column6]]&amp;" "&amp;Table122[[#This Row],[Column7]]</f>
        <v xml:space="preserve">   Me Ma Mo </v>
      </c>
      <c r="M15" s="283" t="str">
        <f>IF(Table122[[#This Row],[Sat]],Table122[[#Headers],[Sat]],"")</f>
        <v/>
      </c>
      <c r="N15" s="283" t="str">
        <f>IF(Table122[[#This Row],[Ve]],Table122[[#Headers],[Ve]],"")</f>
        <v/>
      </c>
      <c r="O15" s="283" t="str">
        <f>IF(Table122[[#This Row],[Ju]],Table122[[#Headers],[Ju]],"")</f>
        <v/>
      </c>
      <c r="P15" s="283" t="str">
        <f>IF(Table122[[#This Row],[Me]],Table122[[#Headers],[Me]],"")</f>
        <v>Me</v>
      </c>
      <c r="Q15" s="283" t="str">
        <f>IF(Table122[[#This Row],[Ma]],Table122[[#Headers],[Ma]],"")</f>
        <v>Ma</v>
      </c>
      <c r="R15" s="283" t="str">
        <f>IF(Table122[[#This Row],[Mo]],Table122[[#Headers],[Mo]],"")</f>
        <v>Mo</v>
      </c>
      <c r="S15" s="283" t="str">
        <f>IF(Table122[[#This Row],[Su]],Table122[[#Headers],[Su]],"")</f>
        <v/>
      </c>
    </row>
    <row r="16" spans="1:22" hidden="1">
      <c r="A16" s="286">
        <v>15</v>
      </c>
      <c r="B16" s="284">
        <f t="shared" si="0"/>
        <v>0</v>
      </c>
      <c r="C16" s="284">
        <f t="shared" si="1"/>
        <v>0</v>
      </c>
      <c r="D16" s="284">
        <f t="shared" si="2"/>
        <v>0</v>
      </c>
      <c r="E16" s="284">
        <f t="shared" si="3"/>
        <v>1</v>
      </c>
      <c r="F16" s="284">
        <f t="shared" si="4"/>
        <v>1</v>
      </c>
      <c r="G16" s="284">
        <f t="shared" si="5"/>
        <v>1</v>
      </c>
      <c r="H16" s="284">
        <f t="shared" si="6"/>
        <v>1</v>
      </c>
      <c r="I16" s="287">
        <f>SUM(Table122[[#This Row],[Sat]:[Su]])</f>
        <v>4</v>
      </c>
      <c r="J16" s="283" t="s">
        <v>490</v>
      </c>
      <c r="K16" s="283" t="s">
        <v>491</v>
      </c>
      <c r="L16" s="283" t="str">
        <f>Table122[[#This Row],[Sat2]]&amp;" "&amp;Table122[[#This Row],[Column2]]&amp;" "&amp;Table122[[#This Row],[Column3]]&amp;" "&amp;Table122[[#This Row],[Column4]]&amp;" "&amp;Table122[[#This Row],[Column5]]&amp;" "&amp;Table122[[#This Row],[Column6]]&amp;" "&amp;Table122[[#This Row],[Column7]]</f>
        <v xml:space="preserve">   Me Ma Mo Su</v>
      </c>
      <c r="M16" s="283" t="str">
        <f>IF(Table122[[#This Row],[Sat]],Table122[[#Headers],[Sat]],"")</f>
        <v/>
      </c>
      <c r="N16" s="283" t="str">
        <f>IF(Table122[[#This Row],[Ve]],Table122[[#Headers],[Ve]],"")</f>
        <v/>
      </c>
      <c r="O16" s="283" t="str">
        <f>IF(Table122[[#This Row],[Ju]],Table122[[#Headers],[Ju]],"")</f>
        <v/>
      </c>
      <c r="P16" s="283" t="str">
        <f>IF(Table122[[#This Row],[Me]],Table122[[#Headers],[Me]],"")</f>
        <v>Me</v>
      </c>
      <c r="Q16" s="283" t="str">
        <f>IF(Table122[[#This Row],[Ma]],Table122[[#Headers],[Ma]],"")</f>
        <v>Ma</v>
      </c>
      <c r="R16" s="283" t="str">
        <f>IF(Table122[[#This Row],[Mo]],Table122[[#Headers],[Mo]],"")</f>
        <v>Mo</v>
      </c>
      <c r="S16" s="283" t="str">
        <f>IF(Table122[[#This Row],[Su]],Table122[[#Headers],[Su]],"")</f>
        <v>Su</v>
      </c>
    </row>
    <row r="17" spans="1:19" hidden="1">
      <c r="A17" s="286">
        <v>16</v>
      </c>
      <c r="B17" s="284">
        <f t="shared" si="0"/>
        <v>0</v>
      </c>
      <c r="C17" s="284">
        <f t="shared" si="1"/>
        <v>0</v>
      </c>
      <c r="D17" s="284">
        <f t="shared" si="2"/>
        <v>1</v>
      </c>
      <c r="E17" s="284">
        <f t="shared" si="3"/>
        <v>0</v>
      </c>
      <c r="F17" s="284">
        <f t="shared" si="4"/>
        <v>0</v>
      </c>
      <c r="G17" s="284">
        <f t="shared" si="5"/>
        <v>0</v>
      </c>
      <c r="H17" s="284">
        <f t="shared" si="6"/>
        <v>0</v>
      </c>
      <c r="I17" s="287">
        <f>SUM(Table122[[#This Row],[Sat]:[Su]])</f>
        <v>1</v>
      </c>
      <c r="L17" s="283" t="str">
        <f>Table122[[#This Row],[Sat2]]&amp;" "&amp;Table122[[#This Row],[Column2]]&amp;" "&amp;Table122[[#This Row],[Column3]]&amp;" "&amp;Table122[[#This Row],[Column4]]&amp;" "&amp;Table122[[#This Row],[Column5]]&amp;" "&amp;Table122[[#This Row],[Column6]]&amp;" "&amp;Table122[[#This Row],[Column7]]</f>
        <v xml:space="preserve">  Ju    </v>
      </c>
      <c r="M17" s="283" t="str">
        <f>IF(Table122[[#This Row],[Sat]],Table122[[#Headers],[Sat]],"")</f>
        <v/>
      </c>
      <c r="N17" s="283" t="str">
        <f>IF(Table122[[#This Row],[Ve]],Table122[[#Headers],[Ve]],"")</f>
        <v/>
      </c>
      <c r="O17" s="283" t="str">
        <f>IF(Table122[[#This Row],[Ju]],Table122[[#Headers],[Ju]],"")</f>
        <v>Ju</v>
      </c>
      <c r="P17" s="283" t="str">
        <f>IF(Table122[[#This Row],[Me]],Table122[[#Headers],[Me]],"")</f>
        <v/>
      </c>
      <c r="Q17" s="283" t="str">
        <f>IF(Table122[[#This Row],[Ma]],Table122[[#Headers],[Ma]],"")</f>
        <v/>
      </c>
      <c r="R17" s="283" t="str">
        <f>IF(Table122[[#This Row],[Mo]],Table122[[#Headers],[Mo]],"")</f>
        <v/>
      </c>
      <c r="S17" s="283" t="str">
        <f>IF(Table122[[#This Row],[Su]],Table122[[#Headers],[Su]],"")</f>
        <v/>
      </c>
    </row>
    <row r="18" spans="1:19">
      <c r="A18" s="286">
        <v>17</v>
      </c>
      <c r="B18" s="284">
        <f t="shared" si="0"/>
        <v>0</v>
      </c>
      <c r="C18" s="284">
        <f t="shared" si="1"/>
        <v>0</v>
      </c>
      <c r="D18" s="284">
        <f t="shared" si="2"/>
        <v>1</v>
      </c>
      <c r="E18" s="284">
        <f t="shared" si="3"/>
        <v>0</v>
      </c>
      <c r="F18" s="284">
        <f t="shared" si="4"/>
        <v>0</v>
      </c>
      <c r="G18" s="284">
        <f t="shared" si="5"/>
        <v>0</v>
      </c>
      <c r="H18" s="284">
        <f t="shared" si="6"/>
        <v>1</v>
      </c>
      <c r="I18" s="287">
        <f>SUM(Table122[[#This Row],[Sat]:[Su]])</f>
        <v>2</v>
      </c>
      <c r="J18" s="283" t="s">
        <v>492</v>
      </c>
      <c r="K18" s="283" t="s">
        <v>481</v>
      </c>
      <c r="L18" s="283" t="str">
        <f>Table122[[#This Row],[Sat2]]&amp;" "&amp;Table122[[#This Row],[Column2]]&amp;" "&amp;Table122[[#This Row],[Column3]]&amp;" "&amp;Table122[[#This Row],[Column4]]&amp;" "&amp;Table122[[#This Row],[Column5]]&amp;" "&amp;Table122[[#This Row],[Column6]]&amp;" "&amp;Table122[[#This Row],[Column7]]</f>
        <v xml:space="preserve">  Ju    Su</v>
      </c>
      <c r="M18" s="283" t="str">
        <f>IF(Table122[[#This Row],[Sat]],Table122[[#Headers],[Sat]],"")</f>
        <v/>
      </c>
      <c r="N18" s="283" t="str">
        <f>IF(Table122[[#This Row],[Ve]],Table122[[#Headers],[Ve]],"")</f>
        <v/>
      </c>
      <c r="O18" s="283" t="str">
        <f>IF(Table122[[#This Row],[Ju]],Table122[[#Headers],[Ju]],"")</f>
        <v>Ju</v>
      </c>
      <c r="P18" s="283" t="str">
        <f>IF(Table122[[#This Row],[Me]],Table122[[#Headers],[Me]],"")</f>
        <v/>
      </c>
      <c r="Q18" s="283" t="str">
        <f>IF(Table122[[#This Row],[Ma]],Table122[[#Headers],[Ma]],"")</f>
        <v/>
      </c>
      <c r="R18" s="283" t="str">
        <f>IF(Table122[[#This Row],[Mo]],Table122[[#Headers],[Mo]],"")</f>
        <v/>
      </c>
      <c r="S18" s="283" t="str">
        <f>IF(Table122[[#This Row],[Su]],Table122[[#Headers],[Su]],"")</f>
        <v>Su</v>
      </c>
    </row>
    <row r="19" spans="1:19">
      <c r="A19" s="286">
        <v>18</v>
      </c>
      <c r="B19" s="284">
        <f t="shared" si="0"/>
        <v>0</v>
      </c>
      <c r="C19" s="284">
        <f t="shared" si="1"/>
        <v>0</v>
      </c>
      <c r="D19" s="284">
        <f t="shared" si="2"/>
        <v>1</v>
      </c>
      <c r="E19" s="284">
        <f t="shared" si="3"/>
        <v>0</v>
      </c>
      <c r="F19" s="284">
        <f t="shared" si="4"/>
        <v>0</v>
      </c>
      <c r="G19" s="284">
        <f t="shared" si="5"/>
        <v>1</v>
      </c>
      <c r="H19" s="284">
        <f t="shared" si="6"/>
        <v>0</v>
      </c>
      <c r="I19" s="287">
        <f>SUM(Table122[[#This Row],[Sat]:[Su]])</f>
        <v>2</v>
      </c>
      <c r="J19" s="283" t="s">
        <v>493</v>
      </c>
      <c r="K19" s="283" t="s">
        <v>494</v>
      </c>
      <c r="L19" s="283" t="str">
        <f>Table122[[#This Row],[Sat2]]&amp;" "&amp;Table122[[#This Row],[Column2]]&amp;" "&amp;Table122[[#This Row],[Column3]]&amp;" "&amp;Table122[[#This Row],[Column4]]&amp;" "&amp;Table122[[#This Row],[Column5]]&amp;" "&amp;Table122[[#This Row],[Column6]]&amp;" "&amp;Table122[[#This Row],[Column7]]</f>
        <v xml:space="preserve">  Ju   Mo </v>
      </c>
      <c r="M19" s="283" t="str">
        <f>IF(Table122[[#This Row],[Sat]],Table122[[#Headers],[Sat]],"")</f>
        <v/>
      </c>
      <c r="N19" s="283" t="str">
        <f>IF(Table122[[#This Row],[Ve]],Table122[[#Headers],[Ve]],"")</f>
        <v/>
      </c>
      <c r="O19" s="283" t="str">
        <f>IF(Table122[[#This Row],[Ju]],Table122[[#Headers],[Ju]],"")</f>
        <v>Ju</v>
      </c>
      <c r="P19" s="283" t="str">
        <f>IF(Table122[[#This Row],[Me]],Table122[[#Headers],[Me]],"")</f>
        <v/>
      </c>
      <c r="Q19" s="283" t="str">
        <f>IF(Table122[[#This Row],[Ma]],Table122[[#Headers],[Ma]],"")</f>
        <v/>
      </c>
      <c r="R19" s="283" t="str">
        <f>IF(Table122[[#This Row],[Mo]],Table122[[#Headers],[Mo]],"")</f>
        <v>Mo</v>
      </c>
      <c r="S19" s="283" t="str">
        <f>IF(Table122[[#This Row],[Su]],Table122[[#Headers],[Su]],"")</f>
        <v/>
      </c>
    </row>
    <row r="20" spans="1:19" hidden="1">
      <c r="A20" s="286">
        <v>19</v>
      </c>
      <c r="B20" s="284">
        <f t="shared" si="0"/>
        <v>0</v>
      </c>
      <c r="C20" s="284">
        <f t="shared" si="1"/>
        <v>0</v>
      </c>
      <c r="D20" s="284">
        <f t="shared" si="2"/>
        <v>1</v>
      </c>
      <c r="E20" s="284">
        <f t="shared" si="3"/>
        <v>0</v>
      </c>
      <c r="F20" s="284">
        <f t="shared" si="4"/>
        <v>0</v>
      </c>
      <c r="G20" s="284">
        <f t="shared" si="5"/>
        <v>1</v>
      </c>
      <c r="H20" s="284">
        <f t="shared" si="6"/>
        <v>1</v>
      </c>
      <c r="I20" s="287">
        <f>SUM(Table122[[#This Row],[Sat]:[Su]])</f>
        <v>3</v>
      </c>
      <c r="L20" s="283" t="str">
        <f>Table122[[#This Row],[Sat2]]&amp;" "&amp;Table122[[#This Row],[Column2]]&amp;" "&amp;Table122[[#This Row],[Column3]]&amp;" "&amp;Table122[[#This Row],[Column4]]&amp;" "&amp;Table122[[#This Row],[Column5]]&amp;" "&amp;Table122[[#This Row],[Column6]]&amp;" "&amp;Table122[[#This Row],[Column7]]</f>
        <v xml:space="preserve">  Ju   Mo Su</v>
      </c>
      <c r="M20" s="283" t="str">
        <f>IF(Table122[[#This Row],[Sat]],Table122[[#Headers],[Sat]],"")</f>
        <v/>
      </c>
      <c r="N20" s="283" t="str">
        <f>IF(Table122[[#This Row],[Ve]],Table122[[#Headers],[Ve]],"")</f>
        <v/>
      </c>
      <c r="O20" s="283" t="str">
        <f>IF(Table122[[#This Row],[Ju]],Table122[[#Headers],[Ju]],"")</f>
        <v>Ju</v>
      </c>
      <c r="P20" s="283" t="str">
        <f>IF(Table122[[#This Row],[Me]],Table122[[#Headers],[Me]],"")</f>
        <v/>
      </c>
      <c r="Q20" s="283" t="str">
        <f>IF(Table122[[#This Row],[Ma]],Table122[[#Headers],[Ma]],"")</f>
        <v/>
      </c>
      <c r="R20" s="283" t="str">
        <f>IF(Table122[[#This Row],[Mo]],Table122[[#Headers],[Mo]],"")</f>
        <v>Mo</v>
      </c>
      <c r="S20" s="283" t="str">
        <f>IF(Table122[[#This Row],[Su]],Table122[[#Headers],[Su]],"")</f>
        <v>Su</v>
      </c>
    </row>
    <row r="21" spans="1:19">
      <c r="A21" s="286">
        <v>20</v>
      </c>
      <c r="B21" s="284">
        <f t="shared" si="0"/>
        <v>0</v>
      </c>
      <c r="C21" s="284">
        <f t="shared" si="1"/>
        <v>0</v>
      </c>
      <c r="D21" s="284">
        <f t="shared" si="2"/>
        <v>1</v>
      </c>
      <c r="E21" s="284">
        <f t="shared" si="3"/>
        <v>0</v>
      </c>
      <c r="F21" s="284">
        <f t="shared" si="4"/>
        <v>1</v>
      </c>
      <c r="G21" s="284">
        <f t="shared" si="5"/>
        <v>0</v>
      </c>
      <c r="H21" s="284">
        <f t="shared" si="6"/>
        <v>0</v>
      </c>
      <c r="I21" s="287">
        <f>SUM(Table122[[#This Row],[Sat]:[Su]])</f>
        <v>2</v>
      </c>
      <c r="L21" s="283" t="str">
        <f>Table122[[#This Row],[Sat2]]&amp;" "&amp;Table122[[#This Row],[Column2]]&amp;" "&amp;Table122[[#This Row],[Column3]]&amp;" "&amp;Table122[[#This Row],[Column4]]&amp;" "&amp;Table122[[#This Row],[Column5]]&amp;" "&amp;Table122[[#This Row],[Column6]]&amp;" "&amp;Table122[[#This Row],[Column7]]</f>
        <v xml:space="preserve">  Ju  Ma  </v>
      </c>
      <c r="M21" s="283" t="str">
        <f>IF(Table122[[#This Row],[Sat]],Table122[[#Headers],[Sat]],"")</f>
        <v/>
      </c>
      <c r="N21" s="283" t="str">
        <f>IF(Table122[[#This Row],[Ve]],Table122[[#Headers],[Ve]],"")</f>
        <v/>
      </c>
      <c r="O21" s="283" t="str">
        <f>IF(Table122[[#This Row],[Ju]],Table122[[#Headers],[Ju]],"")</f>
        <v>Ju</v>
      </c>
      <c r="P21" s="283" t="str">
        <f>IF(Table122[[#This Row],[Me]],Table122[[#Headers],[Me]],"")</f>
        <v/>
      </c>
      <c r="Q21" s="283" t="str">
        <f>IF(Table122[[#This Row],[Ma]],Table122[[#Headers],[Ma]],"")</f>
        <v>Ma</v>
      </c>
      <c r="R21" s="283" t="str">
        <f>IF(Table122[[#This Row],[Mo]],Table122[[#Headers],[Mo]],"")</f>
        <v/>
      </c>
      <c r="S21" s="283" t="str">
        <f>IF(Table122[[#This Row],[Su]],Table122[[#Headers],[Su]],"")</f>
        <v/>
      </c>
    </row>
    <row r="22" spans="1:19" hidden="1">
      <c r="A22" s="286">
        <v>21</v>
      </c>
      <c r="B22" s="284">
        <f t="shared" si="0"/>
        <v>0</v>
      </c>
      <c r="C22" s="284">
        <f t="shared" si="1"/>
        <v>0</v>
      </c>
      <c r="D22" s="284">
        <f t="shared" si="2"/>
        <v>1</v>
      </c>
      <c r="E22" s="284">
        <f t="shared" si="3"/>
        <v>0</v>
      </c>
      <c r="F22" s="284">
        <f t="shared" si="4"/>
        <v>1</v>
      </c>
      <c r="G22" s="284">
        <f t="shared" si="5"/>
        <v>0</v>
      </c>
      <c r="H22" s="284">
        <f t="shared" si="6"/>
        <v>1</v>
      </c>
      <c r="I22" s="287">
        <f>SUM(Table122[[#This Row],[Sat]:[Su]])</f>
        <v>3</v>
      </c>
      <c r="L22" s="283" t="str">
        <f>Table122[[#This Row],[Sat2]]&amp;" "&amp;Table122[[#This Row],[Column2]]&amp;" "&amp;Table122[[#This Row],[Column3]]&amp;" "&amp;Table122[[#This Row],[Column4]]&amp;" "&amp;Table122[[#This Row],[Column5]]&amp;" "&amp;Table122[[#This Row],[Column6]]&amp;" "&amp;Table122[[#This Row],[Column7]]</f>
        <v xml:space="preserve">  Ju  Ma  Su</v>
      </c>
      <c r="M22" s="283" t="str">
        <f>IF(Table122[[#This Row],[Sat]],Table122[[#Headers],[Sat]],"")</f>
        <v/>
      </c>
      <c r="N22" s="283" t="str">
        <f>IF(Table122[[#This Row],[Ve]],Table122[[#Headers],[Ve]],"")</f>
        <v/>
      </c>
      <c r="O22" s="283" t="str">
        <f>IF(Table122[[#This Row],[Ju]],Table122[[#Headers],[Ju]],"")</f>
        <v>Ju</v>
      </c>
      <c r="P22" s="283" t="str">
        <f>IF(Table122[[#This Row],[Me]],Table122[[#Headers],[Me]],"")</f>
        <v/>
      </c>
      <c r="Q22" s="283" t="str">
        <f>IF(Table122[[#This Row],[Ma]],Table122[[#Headers],[Ma]],"")</f>
        <v>Ma</v>
      </c>
      <c r="R22" s="283" t="str">
        <f>IF(Table122[[#This Row],[Mo]],Table122[[#Headers],[Mo]],"")</f>
        <v/>
      </c>
      <c r="S22" s="283" t="str">
        <f>IF(Table122[[#This Row],[Su]],Table122[[#Headers],[Su]],"")</f>
        <v>Su</v>
      </c>
    </row>
    <row r="23" spans="1:19" hidden="1">
      <c r="A23" s="286">
        <v>22</v>
      </c>
      <c r="B23" s="284">
        <f t="shared" si="0"/>
        <v>0</v>
      </c>
      <c r="C23" s="284">
        <f t="shared" si="1"/>
        <v>0</v>
      </c>
      <c r="D23" s="284">
        <f t="shared" si="2"/>
        <v>1</v>
      </c>
      <c r="E23" s="284">
        <f t="shared" si="3"/>
        <v>0</v>
      </c>
      <c r="F23" s="284">
        <f t="shared" si="4"/>
        <v>1</v>
      </c>
      <c r="G23" s="284">
        <f t="shared" si="5"/>
        <v>1</v>
      </c>
      <c r="H23" s="284">
        <f t="shared" si="6"/>
        <v>0</v>
      </c>
      <c r="I23" s="287">
        <f>SUM(Table122[[#This Row],[Sat]:[Su]])</f>
        <v>3</v>
      </c>
      <c r="L23" s="283" t="str">
        <f>Table122[[#This Row],[Sat2]]&amp;" "&amp;Table122[[#This Row],[Column2]]&amp;" "&amp;Table122[[#This Row],[Column3]]&amp;" "&amp;Table122[[#This Row],[Column4]]&amp;" "&amp;Table122[[#This Row],[Column5]]&amp;" "&amp;Table122[[#This Row],[Column6]]&amp;" "&amp;Table122[[#This Row],[Column7]]</f>
        <v xml:space="preserve">  Ju  Ma Mo </v>
      </c>
      <c r="M23" s="283" t="str">
        <f>IF(Table122[[#This Row],[Sat]],Table122[[#Headers],[Sat]],"")</f>
        <v/>
      </c>
      <c r="N23" s="283" t="str">
        <f>IF(Table122[[#This Row],[Ve]],Table122[[#Headers],[Ve]],"")</f>
        <v/>
      </c>
      <c r="O23" s="283" t="str">
        <f>IF(Table122[[#This Row],[Ju]],Table122[[#Headers],[Ju]],"")</f>
        <v>Ju</v>
      </c>
      <c r="P23" s="283" t="str">
        <f>IF(Table122[[#This Row],[Me]],Table122[[#Headers],[Me]],"")</f>
        <v/>
      </c>
      <c r="Q23" s="283" t="str">
        <f>IF(Table122[[#This Row],[Ma]],Table122[[#Headers],[Ma]],"")</f>
        <v>Ma</v>
      </c>
      <c r="R23" s="283" t="str">
        <f>IF(Table122[[#This Row],[Mo]],Table122[[#Headers],[Mo]],"")</f>
        <v>Mo</v>
      </c>
      <c r="S23" s="283" t="str">
        <f>IF(Table122[[#This Row],[Su]],Table122[[#Headers],[Su]],"")</f>
        <v/>
      </c>
    </row>
    <row r="24" spans="1:19" hidden="1">
      <c r="A24" s="286">
        <v>23</v>
      </c>
      <c r="B24" s="284">
        <f t="shared" si="0"/>
        <v>0</v>
      </c>
      <c r="C24" s="284">
        <f t="shared" si="1"/>
        <v>0</v>
      </c>
      <c r="D24" s="284">
        <f t="shared" si="2"/>
        <v>1</v>
      </c>
      <c r="E24" s="284">
        <f t="shared" si="3"/>
        <v>0</v>
      </c>
      <c r="F24" s="284">
        <f t="shared" si="4"/>
        <v>1</v>
      </c>
      <c r="G24" s="284">
        <f t="shared" si="5"/>
        <v>1</v>
      </c>
      <c r="H24" s="284">
        <f t="shared" si="6"/>
        <v>1</v>
      </c>
      <c r="I24" s="287">
        <f>SUM(Table122[[#This Row],[Sat]:[Su]])</f>
        <v>4</v>
      </c>
      <c r="L24" s="283" t="str">
        <f>Table122[[#This Row],[Sat2]]&amp;" "&amp;Table122[[#This Row],[Column2]]&amp;" "&amp;Table122[[#This Row],[Column3]]&amp;" "&amp;Table122[[#This Row],[Column4]]&amp;" "&amp;Table122[[#This Row],[Column5]]&amp;" "&amp;Table122[[#This Row],[Column6]]&amp;" "&amp;Table122[[#This Row],[Column7]]</f>
        <v xml:space="preserve">  Ju  Ma Mo Su</v>
      </c>
      <c r="M24" s="283" t="str">
        <f>IF(Table122[[#This Row],[Sat]],Table122[[#Headers],[Sat]],"")</f>
        <v/>
      </c>
      <c r="N24" s="283" t="str">
        <f>IF(Table122[[#This Row],[Ve]],Table122[[#Headers],[Ve]],"")</f>
        <v/>
      </c>
      <c r="O24" s="283" t="str">
        <f>IF(Table122[[#This Row],[Ju]],Table122[[#Headers],[Ju]],"")</f>
        <v>Ju</v>
      </c>
      <c r="P24" s="283" t="str">
        <f>IF(Table122[[#This Row],[Me]],Table122[[#Headers],[Me]],"")</f>
        <v/>
      </c>
      <c r="Q24" s="283" t="str">
        <f>IF(Table122[[#This Row],[Ma]],Table122[[#Headers],[Ma]],"")</f>
        <v>Ma</v>
      </c>
      <c r="R24" s="283" t="str">
        <f>IF(Table122[[#This Row],[Mo]],Table122[[#Headers],[Mo]],"")</f>
        <v>Mo</v>
      </c>
      <c r="S24" s="283" t="str">
        <f>IF(Table122[[#This Row],[Su]],Table122[[#Headers],[Su]],"")</f>
        <v>Su</v>
      </c>
    </row>
    <row r="25" spans="1:19">
      <c r="A25" s="286">
        <v>24</v>
      </c>
      <c r="B25" s="284">
        <f t="shared" si="0"/>
        <v>0</v>
      </c>
      <c r="C25" s="284">
        <f t="shared" si="1"/>
        <v>0</v>
      </c>
      <c r="D25" s="284">
        <f t="shared" si="2"/>
        <v>1</v>
      </c>
      <c r="E25" s="284">
        <f t="shared" si="3"/>
        <v>1</v>
      </c>
      <c r="F25" s="284">
        <f t="shared" si="4"/>
        <v>0</v>
      </c>
      <c r="G25" s="284">
        <f t="shared" si="5"/>
        <v>0</v>
      </c>
      <c r="H25" s="284">
        <f t="shared" si="6"/>
        <v>0</v>
      </c>
      <c r="I25" s="287">
        <f>SUM(Table122[[#This Row],[Sat]:[Su]])</f>
        <v>2</v>
      </c>
      <c r="L25" s="283" t="str">
        <f>Table122[[#This Row],[Sat2]]&amp;" "&amp;Table122[[#This Row],[Column2]]&amp;" "&amp;Table122[[#This Row],[Column3]]&amp;" "&amp;Table122[[#This Row],[Column4]]&amp;" "&amp;Table122[[#This Row],[Column5]]&amp;" "&amp;Table122[[#This Row],[Column6]]&amp;" "&amp;Table122[[#This Row],[Column7]]</f>
        <v xml:space="preserve">  Ju Me   </v>
      </c>
      <c r="M25" s="283" t="str">
        <f>IF(Table122[[#This Row],[Sat]],Table122[[#Headers],[Sat]],"")</f>
        <v/>
      </c>
      <c r="N25" s="283" t="str">
        <f>IF(Table122[[#This Row],[Ve]],Table122[[#Headers],[Ve]],"")</f>
        <v/>
      </c>
      <c r="O25" s="283" t="str">
        <f>IF(Table122[[#This Row],[Ju]],Table122[[#Headers],[Ju]],"")</f>
        <v>Ju</v>
      </c>
      <c r="P25" s="283" t="str">
        <f>IF(Table122[[#This Row],[Me]],Table122[[#Headers],[Me]],"")</f>
        <v>Me</v>
      </c>
      <c r="Q25" s="283" t="str">
        <f>IF(Table122[[#This Row],[Ma]],Table122[[#Headers],[Ma]],"")</f>
        <v/>
      </c>
      <c r="R25" s="283" t="str">
        <f>IF(Table122[[#This Row],[Mo]],Table122[[#Headers],[Mo]],"")</f>
        <v/>
      </c>
      <c r="S25" s="283" t="str">
        <f>IF(Table122[[#This Row],[Su]],Table122[[#Headers],[Su]],"")</f>
        <v/>
      </c>
    </row>
    <row r="26" spans="1:19" hidden="1">
      <c r="A26" s="286">
        <v>25</v>
      </c>
      <c r="B26" s="284">
        <f t="shared" si="0"/>
        <v>0</v>
      </c>
      <c r="C26" s="284">
        <f t="shared" si="1"/>
        <v>0</v>
      </c>
      <c r="D26" s="284">
        <f t="shared" si="2"/>
        <v>1</v>
      </c>
      <c r="E26" s="284">
        <f t="shared" si="3"/>
        <v>1</v>
      </c>
      <c r="F26" s="284">
        <f t="shared" si="4"/>
        <v>0</v>
      </c>
      <c r="G26" s="284">
        <f t="shared" si="5"/>
        <v>0</v>
      </c>
      <c r="H26" s="284">
        <f t="shared" si="6"/>
        <v>1</v>
      </c>
      <c r="I26" s="287">
        <f>SUM(Table122[[#This Row],[Sat]:[Su]])</f>
        <v>3</v>
      </c>
      <c r="L26" s="283" t="str">
        <f>Table122[[#This Row],[Sat2]]&amp;" "&amp;Table122[[#This Row],[Column2]]&amp;" "&amp;Table122[[#This Row],[Column3]]&amp;" "&amp;Table122[[#This Row],[Column4]]&amp;" "&amp;Table122[[#This Row],[Column5]]&amp;" "&amp;Table122[[#This Row],[Column6]]&amp;" "&amp;Table122[[#This Row],[Column7]]</f>
        <v xml:space="preserve">  Ju Me   Su</v>
      </c>
      <c r="M26" s="283" t="str">
        <f>IF(Table122[[#This Row],[Sat]],Table122[[#Headers],[Sat]],"")</f>
        <v/>
      </c>
      <c r="N26" s="283" t="str">
        <f>IF(Table122[[#This Row],[Ve]],Table122[[#Headers],[Ve]],"")</f>
        <v/>
      </c>
      <c r="O26" s="283" t="str">
        <f>IF(Table122[[#This Row],[Ju]],Table122[[#Headers],[Ju]],"")</f>
        <v>Ju</v>
      </c>
      <c r="P26" s="283" t="str">
        <f>IF(Table122[[#This Row],[Me]],Table122[[#Headers],[Me]],"")</f>
        <v>Me</v>
      </c>
      <c r="Q26" s="283" t="str">
        <f>IF(Table122[[#This Row],[Ma]],Table122[[#Headers],[Ma]],"")</f>
        <v/>
      </c>
      <c r="R26" s="283" t="str">
        <f>IF(Table122[[#This Row],[Mo]],Table122[[#Headers],[Mo]],"")</f>
        <v/>
      </c>
      <c r="S26" s="283" t="str">
        <f>IF(Table122[[#This Row],[Su]],Table122[[#Headers],[Su]],"")</f>
        <v>Su</v>
      </c>
    </row>
    <row r="27" spans="1:19" hidden="1">
      <c r="A27" s="286">
        <v>26</v>
      </c>
      <c r="B27" s="284">
        <f t="shared" si="0"/>
        <v>0</v>
      </c>
      <c r="C27" s="284">
        <f t="shared" si="1"/>
        <v>0</v>
      </c>
      <c r="D27" s="284">
        <f t="shared" si="2"/>
        <v>1</v>
      </c>
      <c r="E27" s="284">
        <f t="shared" si="3"/>
        <v>1</v>
      </c>
      <c r="F27" s="284">
        <f t="shared" si="4"/>
        <v>0</v>
      </c>
      <c r="G27" s="284">
        <f t="shared" si="5"/>
        <v>1</v>
      </c>
      <c r="H27" s="284">
        <f t="shared" si="6"/>
        <v>0</v>
      </c>
      <c r="I27" s="287">
        <f>SUM(Table122[[#This Row],[Sat]:[Su]])</f>
        <v>3</v>
      </c>
      <c r="L27" s="283" t="str">
        <f>Table122[[#This Row],[Sat2]]&amp;" "&amp;Table122[[#This Row],[Column2]]&amp;" "&amp;Table122[[#This Row],[Column3]]&amp;" "&amp;Table122[[#This Row],[Column4]]&amp;" "&amp;Table122[[#This Row],[Column5]]&amp;" "&amp;Table122[[#This Row],[Column6]]&amp;" "&amp;Table122[[#This Row],[Column7]]</f>
        <v xml:space="preserve">  Ju Me  Mo </v>
      </c>
      <c r="M27" s="283" t="str">
        <f>IF(Table122[[#This Row],[Sat]],Table122[[#Headers],[Sat]],"")</f>
        <v/>
      </c>
      <c r="N27" s="283" t="str">
        <f>IF(Table122[[#This Row],[Ve]],Table122[[#Headers],[Ve]],"")</f>
        <v/>
      </c>
      <c r="O27" s="283" t="str">
        <f>IF(Table122[[#This Row],[Ju]],Table122[[#Headers],[Ju]],"")</f>
        <v>Ju</v>
      </c>
      <c r="P27" s="283" t="str">
        <f>IF(Table122[[#This Row],[Me]],Table122[[#Headers],[Me]],"")</f>
        <v>Me</v>
      </c>
      <c r="Q27" s="283" t="str">
        <f>IF(Table122[[#This Row],[Ma]],Table122[[#Headers],[Ma]],"")</f>
        <v/>
      </c>
      <c r="R27" s="283" t="str">
        <f>IF(Table122[[#This Row],[Mo]],Table122[[#Headers],[Mo]],"")</f>
        <v>Mo</v>
      </c>
      <c r="S27" s="283" t="str">
        <f>IF(Table122[[#This Row],[Su]],Table122[[#Headers],[Su]],"")</f>
        <v/>
      </c>
    </row>
    <row r="28" spans="1:19" hidden="1">
      <c r="A28" s="286">
        <v>27</v>
      </c>
      <c r="B28" s="284">
        <f t="shared" si="0"/>
        <v>0</v>
      </c>
      <c r="C28" s="284">
        <f t="shared" si="1"/>
        <v>0</v>
      </c>
      <c r="D28" s="284">
        <f t="shared" si="2"/>
        <v>1</v>
      </c>
      <c r="E28" s="284">
        <f t="shared" si="3"/>
        <v>1</v>
      </c>
      <c r="F28" s="284">
        <f t="shared" si="4"/>
        <v>0</v>
      </c>
      <c r="G28" s="284">
        <f t="shared" si="5"/>
        <v>1</v>
      </c>
      <c r="H28" s="284">
        <f t="shared" si="6"/>
        <v>1</v>
      </c>
      <c r="I28" s="287">
        <f>SUM(Table122[[#This Row],[Sat]:[Su]])</f>
        <v>4</v>
      </c>
      <c r="L28" s="283" t="str">
        <f>Table122[[#This Row],[Sat2]]&amp;" "&amp;Table122[[#This Row],[Column2]]&amp;" "&amp;Table122[[#This Row],[Column3]]&amp;" "&amp;Table122[[#This Row],[Column4]]&amp;" "&amp;Table122[[#This Row],[Column5]]&amp;" "&amp;Table122[[#This Row],[Column6]]&amp;" "&amp;Table122[[#This Row],[Column7]]</f>
        <v xml:space="preserve">  Ju Me  Mo Su</v>
      </c>
      <c r="M28" s="283" t="str">
        <f>IF(Table122[[#This Row],[Sat]],Table122[[#Headers],[Sat]],"")</f>
        <v/>
      </c>
      <c r="N28" s="283" t="str">
        <f>IF(Table122[[#This Row],[Ve]],Table122[[#Headers],[Ve]],"")</f>
        <v/>
      </c>
      <c r="O28" s="283" t="str">
        <f>IF(Table122[[#This Row],[Ju]],Table122[[#Headers],[Ju]],"")</f>
        <v>Ju</v>
      </c>
      <c r="P28" s="283" t="str">
        <f>IF(Table122[[#This Row],[Me]],Table122[[#Headers],[Me]],"")</f>
        <v>Me</v>
      </c>
      <c r="Q28" s="283" t="str">
        <f>IF(Table122[[#This Row],[Ma]],Table122[[#Headers],[Ma]],"")</f>
        <v/>
      </c>
      <c r="R28" s="283" t="str">
        <f>IF(Table122[[#This Row],[Mo]],Table122[[#Headers],[Mo]],"")</f>
        <v>Mo</v>
      </c>
      <c r="S28" s="283" t="str">
        <f>IF(Table122[[#This Row],[Su]],Table122[[#Headers],[Su]],"")</f>
        <v>Su</v>
      </c>
    </row>
    <row r="29" spans="1:19" hidden="1">
      <c r="A29" s="286">
        <v>28</v>
      </c>
      <c r="B29" s="284">
        <f t="shared" si="0"/>
        <v>0</v>
      </c>
      <c r="C29" s="284">
        <f t="shared" si="1"/>
        <v>0</v>
      </c>
      <c r="D29" s="284">
        <f t="shared" si="2"/>
        <v>1</v>
      </c>
      <c r="E29" s="284">
        <f t="shared" si="3"/>
        <v>1</v>
      </c>
      <c r="F29" s="284">
        <f t="shared" si="4"/>
        <v>1</v>
      </c>
      <c r="G29" s="284">
        <f t="shared" si="5"/>
        <v>0</v>
      </c>
      <c r="H29" s="284">
        <f t="shared" si="6"/>
        <v>0</v>
      </c>
      <c r="I29" s="287">
        <f>SUM(Table122[[#This Row],[Sat]:[Su]])</f>
        <v>3</v>
      </c>
      <c r="L29" s="283" t="str">
        <f>Table122[[#This Row],[Sat2]]&amp;" "&amp;Table122[[#This Row],[Column2]]&amp;" "&amp;Table122[[#This Row],[Column3]]&amp;" "&amp;Table122[[#This Row],[Column4]]&amp;" "&amp;Table122[[#This Row],[Column5]]&amp;" "&amp;Table122[[#This Row],[Column6]]&amp;" "&amp;Table122[[#This Row],[Column7]]</f>
        <v xml:space="preserve">  Ju Me Ma  </v>
      </c>
      <c r="M29" s="283" t="str">
        <f>IF(Table122[[#This Row],[Sat]],Table122[[#Headers],[Sat]],"")</f>
        <v/>
      </c>
      <c r="N29" s="283" t="str">
        <f>IF(Table122[[#This Row],[Ve]],Table122[[#Headers],[Ve]],"")</f>
        <v/>
      </c>
      <c r="O29" s="283" t="str">
        <f>IF(Table122[[#This Row],[Ju]],Table122[[#Headers],[Ju]],"")</f>
        <v>Ju</v>
      </c>
      <c r="P29" s="283" t="str">
        <f>IF(Table122[[#This Row],[Me]],Table122[[#Headers],[Me]],"")</f>
        <v>Me</v>
      </c>
      <c r="Q29" s="283" t="str">
        <f>IF(Table122[[#This Row],[Ma]],Table122[[#Headers],[Ma]],"")</f>
        <v>Ma</v>
      </c>
      <c r="R29" s="283" t="str">
        <f>IF(Table122[[#This Row],[Mo]],Table122[[#Headers],[Mo]],"")</f>
        <v/>
      </c>
      <c r="S29" s="283" t="str">
        <f>IF(Table122[[#This Row],[Su]],Table122[[#Headers],[Su]],"")</f>
        <v/>
      </c>
    </row>
    <row r="30" spans="1:19" hidden="1">
      <c r="A30" s="286">
        <v>29</v>
      </c>
      <c r="B30" s="284">
        <f t="shared" si="0"/>
        <v>0</v>
      </c>
      <c r="C30" s="284">
        <f t="shared" si="1"/>
        <v>0</v>
      </c>
      <c r="D30" s="284">
        <f t="shared" si="2"/>
        <v>1</v>
      </c>
      <c r="E30" s="284">
        <f t="shared" si="3"/>
        <v>1</v>
      </c>
      <c r="F30" s="284">
        <f t="shared" si="4"/>
        <v>1</v>
      </c>
      <c r="G30" s="284">
        <f t="shared" si="5"/>
        <v>0</v>
      </c>
      <c r="H30" s="284">
        <f t="shared" si="6"/>
        <v>1</v>
      </c>
      <c r="I30" s="287">
        <f>SUM(Table122[[#This Row],[Sat]:[Su]])</f>
        <v>4</v>
      </c>
      <c r="J30" s="283" t="s">
        <v>495</v>
      </c>
      <c r="K30" s="283" t="s">
        <v>496</v>
      </c>
      <c r="L30" s="283" t="str">
        <f>Table122[[#This Row],[Sat2]]&amp;" "&amp;Table122[[#This Row],[Column2]]&amp;" "&amp;Table122[[#This Row],[Column3]]&amp;" "&amp;Table122[[#This Row],[Column4]]&amp;" "&amp;Table122[[#This Row],[Column5]]&amp;" "&amp;Table122[[#This Row],[Column6]]&amp;" "&amp;Table122[[#This Row],[Column7]]</f>
        <v xml:space="preserve">  Ju Me Ma  Su</v>
      </c>
      <c r="M30" s="283" t="str">
        <f>IF(Table122[[#This Row],[Sat]],Table122[[#Headers],[Sat]],"")</f>
        <v/>
      </c>
      <c r="N30" s="283" t="str">
        <f>IF(Table122[[#This Row],[Ve]],Table122[[#Headers],[Ve]],"")</f>
        <v/>
      </c>
      <c r="O30" s="283" t="str">
        <f>IF(Table122[[#This Row],[Ju]],Table122[[#Headers],[Ju]],"")</f>
        <v>Ju</v>
      </c>
      <c r="P30" s="283" t="str">
        <f>IF(Table122[[#This Row],[Me]],Table122[[#Headers],[Me]],"")</f>
        <v>Me</v>
      </c>
      <c r="Q30" s="283" t="str">
        <f>IF(Table122[[#This Row],[Ma]],Table122[[#Headers],[Ma]],"")</f>
        <v>Ma</v>
      </c>
      <c r="R30" s="283" t="str">
        <f>IF(Table122[[#This Row],[Mo]],Table122[[#Headers],[Mo]],"")</f>
        <v/>
      </c>
      <c r="S30" s="283" t="str">
        <f>IF(Table122[[#This Row],[Su]],Table122[[#Headers],[Su]],"")</f>
        <v>Su</v>
      </c>
    </row>
    <row r="31" spans="1:19" hidden="1">
      <c r="A31" s="286">
        <v>30</v>
      </c>
      <c r="B31" s="284">
        <f t="shared" si="0"/>
        <v>0</v>
      </c>
      <c r="C31" s="284">
        <f t="shared" si="1"/>
        <v>0</v>
      </c>
      <c r="D31" s="284">
        <f t="shared" si="2"/>
        <v>1</v>
      </c>
      <c r="E31" s="284">
        <f t="shared" si="3"/>
        <v>1</v>
      </c>
      <c r="F31" s="284">
        <f t="shared" si="4"/>
        <v>1</v>
      </c>
      <c r="G31" s="284">
        <f t="shared" si="5"/>
        <v>1</v>
      </c>
      <c r="H31" s="284">
        <f t="shared" si="6"/>
        <v>0</v>
      </c>
      <c r="I31" s="287">
        <f>SUM(Table122[[#This Row],[Sat]:[Su]])</f>
        <v>4</v>
      </c>
      <c r="J31" s="283" t="s">
        <v>497</v>
      </c>
      <c r="K31" s="283" t="s">
        <v>498</v>
      </c>
      <c r="L31" s="283" t="str">
        <f>Table122[[#This Row],[Sat2]]&amp;" "&amp;Table122[[#This Row],[Column2]]&amp;" "&amp;Table122[[#This Row],[Column3]]&amp;" "&amp;Table122[[#This Row],[Column4]]&amp;" "&amp;Table122[[#This Row],[Column5]]&amp;" "&amp;Table122[[#This Row],[Column6]]&amp;" "&amp;Table122[[#This Row],[Column7]]</f>
        <v xml:space="preserve">  Ju Me Ma Mo </v>
      </c>
      <c r="M31" s="283" t="str">
        <f>IF(Table122[[#This Row],[Sat]],Table122[[#Headers],[Sat]],"")</f>
        <v/>
      </c>
      <c r="N31" s="283" t="str">
        <f>IF(Table122[[#This Row],[Ve]],Table122[[#Headers],[Ve]],"")</f>
        <v/>
      </c>
      <c r="O31" s="283" t="str">
        <f>IF(Table122[[#This Row],[Ju]],Table122[[#Headers],[Ju]],"")</f>
        <v>Ju</v>
      </c>
      <c r="P31" s="283" t="str">
        <f>IF(Table122[[#This Row],[Me]],Table122[[#Headers],[Me]],"")</f>
        <v>Me</v>
      </c>
      <c r="Q31" s="283" t="str">
        <f>IF(Table122[[#This Row],[Ma]],Table122[[#Headers],[Ma]],"")</f>
        <v>Ma</v>
      </c>
      <c r="R31" s="283" t="str">
        <f>IF(Table122[[#This Row],[Mo]],Table122[[#Headers],[Mo]],"")</f>
        <v>Mo</v>
      </c>
      <c r="S31" s="283" t="str">
        <f>IF(Table122[[#This Row],[Su]],Table122[[#Headers],[Su]],"")</f>
        <v/>
      </c>
    </row>
    <row r="32" spans="1:19" hidden="1">
      <c r="A32" s="286">
        <v>31</v>
      </c>
      <c r="B32" s="284">
        <f t="shared" si="0"/>
        <v>0</v>
      </c>
      <c r="C32" s="284">
        <f t="shared" si="1"/>
        <v>0</v>
      </c>
      <c r="D32" s="284">
        <f t="shared" si="2"/>
        <v>1</v>
      </c>
      <c r="E32" s="284">
        <f t="shared" si="3"/>
        <v>1</v>
      </c>
      <c r="F32" s="284">
        <f t="shared" si="4"/>
        <v>1</v>
      </c>
      <c r="G32" s="284">
        <f t="shared" si="5"/>
        <v>1</v>
      </c>
      <c r="H32" s="284">
        <f t="shared" si="6"/>
        <v>1</v>
      </c>
      <c r="I32" s="287">
        <f>SUM(Table122[[#This Row],[Sat]:[Su]])</f>
        <v>5</v>
      </c>
      <c r="J32" s="283" t="s">
        <v>499</v>
      </c>
      <c r="K32" s="283" t="s">
        <v>500</v>
      </c>
      <c r="L32" s="283" t="str">
        <f>Table122[[#This Row],[Sat2]]&amp;" "&amp;Table122[[#This Row],[Column2]]&amp;" "&amp;Table122[[#This Row],[Column3]]&amp;" "&amp;Table122[[#This Row],[Column4]]&amp;" "&amp;Table122[[#This Row],[Column5]]&amp;" "&amp;Table122[[#This Row],[Column6]]&amp;" "&amp;Table122[[#This Row],[Column7]]</f>
        <v xml:space="preserve">  Ju Me Ma Mo Su</v>
      </c>
      <c r="M32" s="283" t="str">
        <f>IF(Table122[[#This Row],[Sat]],Table122[[#Headers],[Sat]],"")</f>
        <v/>
      </c>
      <c r="N32" s="283" t="str">
        <f>IF(Table122[[#This Row],[Ve]],Table122[[#Headers],[Ve]],"")</f>
        <v/>
      </c>
      <c r="O32" s="283" t="str">
        <f>IF(Table122[[#This Row],[Ju]],Table122[[#Headers],[Ju]],"")</f>
        <v>Ju</v>
      </c>
      <c r="P32" s="283" t="str">
        <f>IF(Table122[[#This Row],[Me]],Table122[[#Headers],[Me]],"")</f>
        <v>Me</v>
      </c>
      <c r="Q32" s="283" t="str">
        <f>IF(Table122[[#This Row],[Ma]],Table122[[#Headers],[Ma]],"")</f>
        <v>Ma</v>
      </c>
      <c r="R32" s="283" t="str">
        <f>IF(Table122[[#This Row],[Mo]],Table122[[#Headers],[Mo]],"")</f>
        <v>Mo</v>
      </c>
      <c r="S32" s="283" t="str">
        <f>IF(Table122[[#This Row],[Su]],Table122[[#Headers],[Su]],"")</f>
        <v>Su</v>
      </c>
    </row>
    <row r="33" spans="1:19" hidden="1">
      <c r="A33" s="286">
        <v>32</v>
      </c>
      <c r="B33" s="284">
        <f t="shared" si="0"/>
        <v>0</v>
      </c>
      <c r="C33" s="284">
        <f t="shared" si="1"/>
        <v>1</v>
      </c>
      <c r="D33" s="284">
        <f t="shared" si="2"/>
        <v>0</v>
      </c>
      <c r="E33" s="284">
        <f t="shared" si="3"/>
        <v>0</v>
      </c>
      <c r="F33" s="284">
        <f t="shared" si="4"/>
        <v>0</v>
      </c>
      <c r="G33" s="284">
        <f t="shared" si="5"/>
        <v>0</v>
      </c>
      <c r="H33" s="284">
        <f t="shared" si="6"/>
        <v>0</v>
      </c>
      <c r="I33" s="287">
        <f>SUM(Table122[[#This Row],[Sat]:[Su]])</f>
        <v>1</v>
      </c>
      <c r="L33" s="283" t="str">
        <f>Table122[[#This Row],[Sat2]]&amp;" "&amp;Table122[[#This Row],[Column2]]&amp;" "&amp;Table122[[#This Row],[Column3]]&amp;" "&amp;Table122[[#This Row],[Column4]]&amp;" "&amp;Table122[[#This Row],[Column5]]&amp;" "&amp;Table122[[#This Row],[Column6]]&amp;" "&amp;Table122[[#This Row],[Column7]]</f>
        <v xml:space="preserve"> Ve     </v>
      </c>
      <c r="M33" s="283" t="str">
        <f>IF(Table122[[#This Row],[Sat]],Table122[[#Headers],[Sat]],"")</f>
        <v/>
      </c>
      <c r="N33" s="283" t="str">
        <f>IF(Table122[[#This Row],[Ve]],Table122[[#Headers],[Ve]],"")</f>
        <v>Ve</v>
      </c>
      <c r="O33" s="283" t="str">
        <f>IF(Table122[[#This Row],[Ju]],Table122[[#Headers],[Ju]],"")</f>
        <v/>
      </c>
      <c r="P33" s="283" t="str">
        <f>IF(Table122[[#This Row],[Me]],Table122[[#Headers],[Me]],"")</f>
        <v/>
      </c>
      <c r="Q33" s="283" t="str">
        <f>IF(Table122[[#This Row],[Ma]],Table122[[#Headers],[Ma]],"")</f>
        <v/>
      </c>
      <c r="R33" s="283" t="str">
        <f>IF(Table122[[#This Row],[Mo]],Table122[[#Headers],[Mo]],"")</f>
        <v/>
      </c>
      <c r="S33" s="283" t="str">
        <f>IF(Table122[[#This Row],[Su]],Table122[[#Headers],[Su]],"")</f>
        <v/>
      </c>
    </row>
    <row r="34" spans="1:19">
      <c r="A34" s="286">
        <v>33</v>
      </c>
      <c r="B34" s="284">
        <f t="shared" ref="B34:B65" si="7">MOD(INT($A34/64),2)</f>
        <v>0</v>
      </c>
      <c r="C34" s="284">
        <f t="shared" ref="C34:C65" si="8">MOD(INT($A34/32),2)</f>
        <v>1</v>
      </c>
      <c r="D34" s="284">
        <f t="shared" ref="D34:D65" si="9">MOD(INT($A34/16),2)</f>
        <v>0</v>
      </c>
      <c r="E34" s="284">
        <f t="shared" ref="E34:E65" si="10">MOD(INT($A34/8),2)</f>
        <v>0</v>
      </c>
      <c r="F34" s="284">
        <f t="shared" ref="F34:F65" si="11">MOD(INT($A34/4),2)</f>
        <v>0</v>
      </c>
      <c r="G34" s="284">
        <f t="shared" ref="G34:G65" si="12">MOD(INT($A34/2),2)</f>
        <v>0</v>
      </c>
      <c r="H34" s="284">
        <f t="shared" ref="H34:H65" si="13">MOD(A34,2)</f>
        <v>1</v>
      </c>
      <c r="I34" s="287">
        <f>SUM(Table122[[#This Row],[Sat]:[Su]])</f>
        <v>2</v>
      </c>
      <c r="J34" s="283" t="s">
        <v>501</v>
      </c>
      <c r="K34" s="283" t="s">
        <v>485</v>
      </c>
      <c r="L34" s="283" t="str">
        <f>Table122[[#This Row],[Sat2]]&amp;" "&amp;Table122[[#This Row],[Column2]]&amp;" "&amp;Table122[[#This Row],[Column3]]&amp;" "&amp;Table122[[#This Row],[Column4]]&amp;" "&amp;Table122[[#This Row],[Column5]]&amp;" "&amp;Table122[[#This Row],[Column6]]&amp;" "&amp;Table122[[#This Row],[Column7]]</f>
        <v xml:space="preserve"> Ve     Su</v>
      </c>
      <c r="M34" s="283" t="str">
        <f>IF(Table122[[#This Row],[Sat]],Table122[[#Headers],[Sat]],"")</f>
        <v/>
      </c>
      <c r="N34" s="283" t="str">
        <f>IF(Table122[[#This Row],[Ve]],Table122[[#Headers],[Ve]],"")</f>
        <v>Ve</v>
      </c>
      <c r="O34" s="283" t="str">
        <f>IF(Table122[[#This Row],[Ju]],Table122[[#Headers],[Ju]],"")</f>
        <v/>
      </c>
      <c r="P34" s="283" t="str">
        <f>IF(Table122[[#This Row],[Me]],Table122[[#Headers],[Me]],"")</f>
        <v/>
      </c>
      <c r="Q34" s="283" t="str">
        <f>IF(Table122[[#This Row],[Ma]],Table122[[#Headers],[Ma]],"")</f>
        <v/>
      </c>
      <c r="R34" s="283" t="str">
        <f>IF(Table122[[#This Row],[Mo]],Table122[[#Headers],[Mo]],"")</f>
        <v/>
      </c>
      <c r="S34" s="283" t="str">
        <f>IF(Table122[[#This Row],[Su]],Table122[[#Headers],[Su]],"")</f>
        <v>Su</v>
      </c>
    </row>
    <row r="35" spans="1:19">
      <c r="A35" s="286">
        <v>34</v>
      </c>
      <c r="B35" s="284">
        <f t="shared" si="7"/>
        <v>0</v>
      </c>
      <c r="C35" s="284">
        <f t="shared" si="8"/>
        <v>1</v>
      </c>
      <c r="D35" s="284">
        <f t="shared" si="9"/>
        <v>0</v>
      </c>
      <c r="E35" s="284">
        <f t="shared" si="10"/>
        <v>0</v>
      </c>
      <c r="F35" s="284">
        <f t="shared" si="11"/>
        <v>0</v>
      </c>
      <c r="G35" s="284">
        <f t="shared" si="12"/>
        <v>1</v>
      </c>
      <c r="H35" s="284">
        <f t="shared" si="13"/>
        <v>0</v>
      </c>
      <c r="I35" s="287">
        <f>SUM(Table122[[#This Row],[Sat]:[Su]])</f>
        <v>2</v>
      </c>
      <c r="J35" s="283" t="s">
        <v>502</v>
      </c>
      <c r="K35" s="283" t="s">
        <v>494</v>
      </c>
      <c r="L35" s="283" t="str">
        <f>Table122[[#This Row],[Sat2]]&amp;" "&amp;Table122[[#This Row],[Column2]]&amp;" "&amp;Table122[[#This Row],[Column3]]&amp;" "&amp;Table122[[#This Row],[Column4]]&amp;" "&amp;Table122[[#This Row],[Column5]]&amp;" "&amp;Table122[[#This Row],[Column6]]&amp;" "&amp;Table122[[#This Row],[Column7]]</f>
        <v xml:space="preserve"> Ve    Mo </v>
      </c>
      <c r="M35" s="283" t="str">
        <f>IF(Table122[[#This Row],[Sat]],Table122[[#Headers],[Sat]],"")</f>
        <v/>
      </c>
      <c r="N35" s="283" t="str">
        <f>IF(Table122[[#This Row],[Ve]],Table122[[#Headers],[Ve]],"")</f>
        <v>Ve</v>
      </c>
      <c r="O35" s="283" t="str">
        <f>IF(Table122[[#This Row],[Ju]],Table122[[#Headers],[Ju]],"")</f>
        <v/>
      </c>
      <c r="P35" s="283" t="str">
        <f>IF(Table122[[#This Row],[Me]],Table122[[#Headers],[Me]],"")</f>
        <v/>
      </c>
      <c r="Q35" s="283" t="str">
        <f>IF(Table122[[#This Row],[Ma]],Table122[[#Headers],[Ma]],"")</f>
        <v/>
      </c>
      <c r="R35" s="283" t="str">
        <f>IF(Table122[[#This Row],[Mo]],Table122[[#Headers],[Mo]],"")</f>
        <v>Mo</v>
      </c>
      <c r="S35" s="283" t="str">
        <f>IF(Table122[[#This Row],[Su]],Table122[[#Headers],[Su]],"")</f>
        <v/>
      </c>
    </row>
    <row r="36" spans="1:19" hidden="1">
      <c r="A36" s="286">
        <v>35</v>
      </c>
      <c r="B36" s="284">
        <f t="shared" si="7"/>
        <v>0</v>
      </c>
      <c r="C36" s="284">
        <f t="shared" si="8"/>
        <v>1</v>
      </c>
      <c r="D36" s="284">
        <f t="shared" si="9"/>
        <v>0</v>
      </c>
      <c r="E36" s="284">
        <f t="shared" si="10"/>
        <v>0</v>
      </c>
      <c r="F36" s="284">
        <f t="shared" si="11"/>
        <v>0</v>
      </c>
      <c r="G36" s="284">
        <f t="shared" si="12"/>
        <v>1</v>
      </c>
      <c r="H36" s="284">
        <f t="shared" si="13"/>
        <v>1</v>
      </c>
      <c r="I36" s="287">
        <f>SUM(Table122[[#This Row],[Sat]:[Su]])</f>
        <v>3</v>
      </c>
      <c r="L36" s="283" t="str">
        <f>Table122[[#This Row],[Sat2]]&amp;" "&amp;Table122[[#This Row],[Column2]]&amp;" "&amp;Table122[[#This Row],[Column3]]&amp;" "&amp;Table122[[#This Row],[Column4]]&amp;" "&amp;Table122[[#This Row],[Column5]]&amp;" "&amp;Table122[[#This Row],[Column6]]&amp;" "&amp;Table122[[#This Row],[Column7]]</f>
        <v xml:space="preserve"> Ve    Mo Su</v>
      </c>
      <c r="M36" s="283" t="str">
        <f>IF(Table122[[#This Row],[Sat]],Table122[[#Headers],[Sat]],"")</f>
        <v/>
      </c>
      <c r="N36" s="283" t="str">
        <f>IF(Table122[[#This Row],[Ve]],Table122[[#Headers],[Ve]],"")</f>
        <v>Ve</v>
      </c>
      <c r="O36" s="283" t="str">
        <f>IF(Table122[[#This Row],[Ju]],Table122[[#Headers],[Ju]],"")</f>
        <v/>
      </c>
      <c r="P36" s="283" t="str">
        <f>IF(Table122[[#This Row],[Me]],Table122[[#Headers],[Me]],"")</f>
        <v/>
      </c>
      <c r="Q36" s="283" t="str">
        <f>IF(Table122[[#This Row],[Ma]],Table122[[#Headers],[Ma]],"")</f>
        <v/>
      </c>
      <c r="R36" s="283" t="str">
        <f>IF(Table122[[#This Row],[Mo]],Table122[[#Headers],[Mo]],"")</f>
        <v>Mo</v>
      </c>
      <c r="S36" s="283" t="str">
        <f>IF(Table122[[#This Row],[Su]],Table122[[#Headers],[Su]],"")</f>
        <v>Su</v>
      </c>
    </row>
    <row r="37" spans="1:19">
      <c r="A37" s="286">
        <v>36</v>
      </c>
      <c r="B37" s="284">
        <f t="shared" si="7"/>
        <v>0</v>
      </c>
      <c r="C37" s="284">
        <f t="shared" si="8"/>
        <v>1</v>
      </c>
      <c r="D37" s="284">
        <f t="shared" si="9"/>
        <v>0</v>
      </c>
      <c r="E37" s="284">
        <f t="shared" si="10"/>
        <v>0</v>
      </c>
      <c r="F37" s="284">
        <f t="shared" si="11"/>
        <v>1</v>
      </c>
      <c r="G37" s="284">
        <f t="shared" si="12"/>
        <v>0</v>
      </c>
      <c r="H37" s="284">
        <f t="shared" si="13"/>
        <v>0</v>
      </c>
      <c r="I37" s="287">
        <f>SUM(Table122[[#This Row],[Sat]:[Su]])</f>
        <v>2</v>
      </c>
      <c r="L37" s="283" t="str">
        <f>Table122[[#This Row],[Sat2]]&amp;" "&amp;Table122[[#This Row],[Column2]]&amp;" "&amp;Table122[[#This Row],[Column3]]&amp;" "&amp;Table122[[#This Row],[Column4]]&amp;" "&amp;Table122[[#This Row],[Column5]]&amp;" "&amp;Table122[[#This Row],[Column6]]&amp;" "&amp;Table122[[#This Row],[Column7]]</f>
        <v xml:space="preserve"> Ve   Ma  </v>
      </c>
      <c r="M37" s="283" t="str">
        <f>IF(Table122[[#This Row],[Sat]],Table122[[#Headers],[Sat]],"")</f>
        <v/>
      </c>
      <c r="N37" s="283" t="str">
        <f>IF(Table122[[#This Row],[Ve]],Table122[[#Headers],[Ve]],"")</f>
        <v>Ve</v>
      </c>
      <c r="O37" s="283" t="str">
        <f>IF(Table122[[#This Row],[Ju]],Table122[[#Headers],[Ju]],"")</f>
        <v/>
      </c>
      <c r="P37" s="283" t="str">
        <f>IF(Table122[[#This Row],[Me]],Table122[[#Headers],[Me]],"")</f>
        <v/>
      </c>
      <c r="Q37" s="283" t="str">
        <f>IF(Table122[[#This Row],[Ma]],Table122[[#Headers],[Ma]],"")</f>
        <v>Ma</v>
      </c>
      <c r="R37" s="283" t="str">
        <f>IF(Table122[[#This Row],[Mo]],Table122[[#Headers],[Mo]],"")</f>
        <v/>
      </c>
      <c r="S37" s="283" t="str">
        <f>IF(Table122[[#This Row],[Su]],Table122[[#Headers],[Su]],"")</f>
        <v/>
      </c>
    </row>
    <row r="38" spans="1:19" hidden="1">
      <c r="A38" s="286">
        <v>37</v>
      </c>
      <c r="B38" s="284">
        <f t="shared" si="7"/>
        <v>0</v>
      </c>
      <c r="C38" s="284">
        <f t="shared" si="8"/>
        <v>1</v>
      </c>
      <c r="D38" s="284">
        <f t="shared" si="9"/>
        <v>0</v>
      </c>
      <c r="E38" s="284">
        <f t="shared" si="10"/>
        <v>0</v>
      </c>
      <c r="F38" s="284">
        <f t="shared" si="11"/>
        <v>1</v>
      </c>
      <c r="G38" s="284">
        <f t="shared" si="12"/>
        <v>0</v>
      </c>
      <c r="H38" s="284">
        <f t="shared" si="13"/>
        <v>1</v>
      </c>
      <c r="I38" s="287">
        <f>SUM(Table122[[#This Row],[Sat]:[Su]])</f>
        <v>3</v>
      </c>
      <c r="L38" s="283" t="str">
        <f>Table122[[#This Row],[Sat2]]&amp;" "&amp;Table122[[#This Row],[Column2]]&amp;" "&amp;Table122[[#This Row],[Column3]]&amp;" "&amp;Table122[[#This Row],[Column4]]&amp;" "&amp;Table122[[#This Row],[Column5]]&amp;" "&amp;Table122[[#This Row],[Column6]]&amp;" "&amp;Table122[[#This Row],[Column7]]</f>
        <v xml:space="preserve"> Ve   Ma  Su</v>
      </c>
      <c r="M38" s="283" t="str">
        <f>IF(Table122[[#This Row],[Sat]],Table122[[#Headers],[Sat]],"")</f>
        <v/>
      </c>
      <c r="N38" s="283" t="str">
        <f>IF(Table122[[#This Row],[Ve]],Table122[[#Headers],[Ve]],"")</f>
        <v>Ve</v>
      </c>
      <c r="O38" s="283" t="str">
        <f>IF(Table122[[#This Row],[Ju]],Table122[[#Headers],[Ju]],"")</f>
        <v/>
      </c>
      <c r="P38" s="283" t="str">
        <f>IF(Table122[[#This Row],[Me]],Table122[[#Headers],[Me]],"")</f>
        <v/>
      </c>
      <c r="Q38" s="283" t="str">
        <f>IF(Table122[[#This Row],[Ma]],Table122[[#Headers],[Ma]],"")</f>
        <v>Ma</v>
      </c>
      <c r="R38" s="283" t="str">
        <f>IF(Table122[[#This Row],[Mo]],Table122[[#Headers],[Mo]],"")</f>
        <v/>
      </c>
      <c r="S38" s="283" t="str">
        <f>IF(Table122[[#This Row],[Su]],Table122[[#Headers],[Su]],"")</f>
        <v>Su</v>
      </c>
    </row>
    <row r="39" spans="1:19" hidden="1">
      <c r="A39" s="286">
        <v>38</v>
      </c>
      <c r="B39" s="284">
        <f t="shared" si="7"/>
        <v>0</v>
      </c>
      <c r="C39" s="284">
        <f t="shared" si="8"/>
        <v>1</v>
      </c>
      <c r="D39" s="284">
        <f t="shared" si="9"/>
        <v>0</v>
      </c>
      <c r="E39" s="284">
        <f t="shared" si="10"/>
        <v>0</v>
      </c>
      <c r="F39" s="284">
        <f t="shared" si="11"/>
        <v>1</v>
      </c>
      <c r="G39" s="284">
        <f t="shared" si="12"/>
        <v>1</v>
      </c>
      <c r="H39" s="284">
        <f t="shared" si="13"/>
        <v>0</v>
      </c>
      <c r="I39" s="287">
        <f>SUM(Table122[[#This Row],[Sat]:[Su]])</f>
        <v>3</v>
      </c>
      <c r="L39" s="283" t="str">
        <f>Table122[[#This Row],[Sat2]]&amp;" "&amp;Table122[[#This Row],[Column2]]&amp;" "&amp;Table122[[#This Row],[Column3]]&amp;" "&amp;Table122[[#This Row],[Column4]]&amp;" "&amp;Table122[[#This Row],[Column5]]&amp;" "&amp;Table122[[#This Row],[Column6]]&amp;" "&amp;Table122[[#This Row],[Column7]]</f>
        <v xml:space="preserve"> Ve   Ma Mo </v>
      </c>
      <c r="M39" s="283" t="str">
        <f>IF(Table122[[#This Row],[Sat]],Table122[[#Headers],[Sat]],"")</f>
        <v/>
      </c>
      <c r="N39" s="283" t="str">
        <f>IF(Table122[[#This Row],[Ve]],Table122[[#Headers],[Ve]],"")</f>
        <v>Ve</v>
      </c>
      <c r="O39" s="283" t="str">
        <f>IF(Table122[[#This Row],[Ju]],Table122[[#Headers],[Ju]],"")</f>
        <v/>
      </c>
      <c r="P39" s="283" t="str">
        <f>IF(Table122[[#This Row],[Me]],Table122[[#Headers],[Me]],"")</f>
        <v/>
      </c>
      <c r="Q39" s="283" t="str">
        <f>IF(Table122[[#This Row],[Ma]],Table122[[#Headers],[Ma]],"")</f>
        <v>Ma</v>
      </c>
      <c r="R39" s="283" t="str">
        <f>IF(Table122[[#This Row],[Mo]],Table122[[#Headers],[Mo]],"")</f>
        <v>Mo</v>
      </c>
      <c r="S39" s="283" t="str">
        <f>IF(Table122[[#This Row],[Su]],Table122[[#Headers],[Su]],"")</f>
        <v/>
      </c>
    </row>
    <row r="40" spans="1:19" hidden="1">
      <c r="A40" s="286">
        <v>39</v>
      </c>
      <c r="B40" s="284">
        <f t="shared" si="7"/>
        <v>0</v>
      </c>
      <c r="C40" s="284">
        <f t="shared" si="8"/>
        <v>1</v>
      </c>
      <c r="D40" s="284">
        <f t="shared" si="9"/>
        <v>0</v>
      </c>
      <c r="E40" s="284">
        <f t="shared" si="10"/>
        <v>0</v>
      </c>
      <c r="F40" s="284">
        <f t="shared" si="11"/>
        <v>1</v>
      </c>
      <c r="G40" s="284">
        <f t="shared" si="12"/>
        <v>1</v>
      </c>
      <c r="H40" s="284">
        <f t="shared" si="13"/>
        <v>1</v>
      </c>
      <c r="I40" s="287">
        <f>SUM(Table122[[#This Row],[Sat]:[Su]])</f>
        <v>4</v>
      </c>
      <c r="J40" s="283" t="s">
        <v>490</v>
      </c>
      <c r="K40" s="283" t="s">
        <v>503</v>
      </c>
      <c r="L40" s="283" t="str">
        <f>Table122[[#This Row],[Sat2]]&amp;" "&amp;Table122[[#This Row],[Column2]]&amp;" "&amp;Table122[[#This Row],[Column3]]&amp;" "&amp;Table122[[#This Row],[Column4]]&amp;" "&amp;Table122[[#This Row],[Column5]]&amp;" "&amp;Table122[[#This Row],[Column6]]&amp;" "&amp;Table122[[#This Row],[Column7]]</f>
        <v xml:space="preserve"> Ve   Ma Mo Su</v>
      </c>
      <c r="M40" s="283" t="str">
        <f>IF(Table122[[#This Row],[Sat]],Table122[[#Headers],[Sat]],"")</f>
        <v/>
      </c>
      <c r="N40" s="283" t="str">
        <f>IF(Table122[[#This Row],[Ve]],Table122[[#Headers],[Ve]],"")</f>
        <v>Ve</v>
      </c>
      <c r="O40" s="283" t="str">
        <f>IF(Table122[[#This Row],[Ju]],Table122[[#Headers],[Ju]],"")</f>
        <v/>
      </c>
      <c r="P40" s="283" t="str">
        <f>IF(Table122[[#This Row],[Me]],Table122[[#Headers],[Me]],"")</f>
        <v/>
      </c>
      <c r="Q40" s="283" t="str">
        <f>IF(Table122[[#This Row],[Ma]],Table122[[#Headers],[Ma]],"")</f>
        <v>Ma</v>
      </c>
      <c r="R40" s="283" t="str">
        <f>IF(Table122[[#This Row],[Mo]],Table122[[#Headers],[Mo]],"")</f>
        <v>Mo</v>
      </c>
      <c r="S40" s="283" t="str">
        <f>IF(Table122[[#This Row],[Su]],Table122[[#Headers],[Su]],"")</f>
        <v>Su</v>
      </c>
    </row>
    <row r="41" spans="1:19">
      <c r="A41" s="286">
        <v>40</v>
      </c>
      <c r="B41" s="284">
        <f t="shared" si="7"/>
        <v>0</v>
      </c>
      <c r="C41" s="284">
        <f t="shared" si="8"/>
        <v>1</v>
      </c>
      <c r="D41" s="284">
        <f t="shared" si="9"/>
        <v>0</v>
      </c>
      <c r="E41" s="284">
        <f t="shared" si="10"/>
        <v>1</v>
      </c>
      <c r="F41" s="284">
        <f t="shared" si="11"/>
        <v>0</v>
      </c>
      <c r="G41" s="284">
        <f t="shared" si="12"/>
        <v>0</v>
      </c>
      <c r="H41" s="284">
        <f t="shared" si="13"/>
        <v>0</v>
      </c>
      <c r="I41" s="287">
        <f>SUM(Table122[[#This Row],[Sat]:[Su]])</f>
        <v>2</v>
      </c>
      <c r="L41" s="283" t="str">
        <f>Table122[[#This Row],[Sat2]]&amp;" "&amp;Table122[[#This Row],[Column2]]&amp;" "&amp;Table122[[#This Row],[Column3]]&amp;" "&amp;Table122[[#This Row],[Column4]]&amp;" "&amp;Table122[[#This Row],[Column5]]&amp;" "&amp;Table122[[#This Row],[Column6]]&amp;" "&amp;Table122[[#This Row],[Column7]]</f>
        <v xml:space="preserve"> Ve  Me   </v>
      </c>
      <c r="M41" s="283" t="str">
        <f>IF(Table122[[#This Row],[Sat]],Table122[[#Headers],[Sat]],"")</f>
        <v/>
      </c>
      <c r="N41" s="283" t="str">
        <f>IF(Table122[[#This Row],[Ve]],Table122[[#Headers],[Ve]],"")</f>
        <v>Ve</v>
      </c>
      <c r="O41" s="283" t="str">
        <f>IF(Table122[[#This Row],[Ju]],Table122[[#Headers],[Ju]],"")</f>
        <v/>
      </c>
      <c r="P41" s="283" t="str">
        <f>IF(Table122[[#This Row],[Me]],Table122[[#Headers],[Me]],"")</f>
        <v>Me</v>
      </c>
      <c r="Q41" s="283" t="str">
        <f>IF(Table122[[#This Row],[Ma]],Table122[[#Headers],[Ma]],"")</f>
        <v/>
      </c>
      <c r="R41" s="283" t="str">
        <f>IF(Table122[[#This Row],[Mo]],Table122[[#Headers],[Mo]],"")</f>
        <v/>
      </c>
      <c r="S41" s="283" t="str">
        <f>IF(Table122[[#This Row],[Su]],Table122[[#Headers],[Su]],"")</f>
        <v/>
      </c>
    </row>
    <row r="42" spans="1:19" hidden="1">
      <c r="A42" s="286">
        <v>41</v>
      </c>
      <c r="B42" s="284">
        <f t="shared" si="7"/>
        <v>0</v>
      </c>
      <c r="C42" s="284">
        <f t="shared" si="8"/>
        <v>1</v>
      </c>
      <c r="D42" s="284">
        <f t="shared" si="9"/>
        <v>0</v>
      </c>
      <c r="E42" s="284">
        <f t="shared" si="10"/>
        <v>1</v>
      </c>
      <c r="F42" s="284">
        <f t="shared" si="11"/>
        <v>0</v>
      </c>
      <c r="G42" s="284">
        <f t="shared" si="12"/>
        <v>0</v>
      </c>
      <c r="H42" s="284">
        <f t="shared" si="13"/>
        <v>1</v>
      </c>
      <c r="I42" s="287">
        <f>SUM(Table122[[#This Row],[Sat]:[Su]])</f>
        <v>3</v>
      </c>
      <c r="L42" s="283" t="str">
        <f>Table122[[#This Row],[Sat2]]&amp;" "&amp;Table122[[#This Row],[Column2]]&amp;" "&amp;Table122[[#This Row],[Column3]]&amp;" "&amp;Table122[[#This Row],[Column4]]&amp;" "&amp;Table122[[#This Row],[Column5]]&amp;" "&amp;Table122[[#This Row],[Column6]]&amp;" "&amp;Table122[[#This Row],[Column7]]</f>
        <v xml:space="preserve"> Ve  Me   Su</v>
      </c>
      <c r="M42" s="283" t="str">
        <f>IF(Table122[[#This Row],[Sat]],Table122[[#Headers],[Sat]],"")</f>
        <v/>
      </c>
      <c r="N42" s="283" t="str">
        <f>IF(Table122[[#This Row],[Ve]],Table122[[#Headers],[Ve]],"")</f>
        <v>Ve</v>
      </c>
      <c r="O42" s="283" t="str">
        <f>IF(Table122[[#This Row],[Ju]],Table122[[#Headers],[Ju]],"")</f>
        <v/>
      </c>
      <c r="P42" s="283" t="str">
        <f>IF(Table122[[#This Row],[Me]],Table122[[#Headers],[Me]],"")</f>
        <v>Me</v>
      </c>
      <c r="Q42" s="283" t="str">
        <f>IF(Table122[[#This Row],[Ma]],Table122[[#Headers],[Ma]],"")</f>
        <v/>
      </c>
      <c r="R42" s="283" t="str">
        <f>IF(Table122[[#This Row],[Mo]],Table122[[#Headers],[Mo]],"")</f>
        <v/>
      </c>
      <c r="S42" s="283" t="str">
        <f>IF(Table122[[#This Row],[Su]],Table122[[#Headers],[Su]],"")</f>
        <v>Su</v>
      </c>
    </row>
    <row r="43" spans="1:19" hidden="1">
      <c r="A43" s="286">
        <v>42</v>
      </c>
      <c r="B43" s="284">
        <f t="shared" si="7"/>
        <v>0</v>
      </c>
      <c r="C43" s="284">
        <f t="shared" si="8"/>
        <v>1</v>
      </c>
      <c r="D43" s="284">
        <f t="shared" si="9"/>
        <v>0</v>
      </c>
      <c r="E43" s="284">
        <f t="shared" si="10"/>
        <v>1</v>
      </c>
      <c r="F43" s="284">
        <f t="shared" si="11"/>
        <v>0</v>
      </c>
      <c r="G43" s="284">
        <f t="shared" si="12"/>
        <v>1</v>
      </c>
      <c r="H43" s="284">
        <f t="shared" si="13"/>
        <v>0</v>
      </c>
      <c r="I43" s="287">
        <f>SUM(Table122[[#This Row],[Sat]:[Su]])</f>
        <v>3</v>
      </c>
      <c r="L43" s="283" t="str">
        <f>Table122[[#This Row],[Sat2]]&amp;" "&amp;Table122[[#This Row],[Column2]]&amp;" "&amp;Table122[[#This Row],[Column3]]&amp;" "&amp;Table122[[#This Row],[Column4]]&amp;" "&amp;Table122[[#This Row],[Column5]]&amp;" "&amp;Table122[[#This Row],[Column6]]&amp;" "&amp;Table122[[#This Row],[Column7]]</f>
        <v xml:space="preserve"> Ve  Me  Mo </v>
      </c>
      <c r="M43" s="283" t="str">
        <f>IF(Table122[[#This Row],[Sat]],Table122[[#Headers],[Sat]],"")</f>
        <v/>
      </c>
      <c r="N43" s="283" t="str">
        <f>IF(Table122[[#This Row],[Ve]],Table122[[#Headers],[Ve]],"")</f>
        <v>Ve</v>
      </c>
      <c r="O43" s="283" t="str">
        <f>IF(Table122[[#This Row],[Ju]],Table122[[#Headers],[Ju]],"")</f>
        <v/>
      </c>
      <c r="P43" s="283" t="str">
        <f>IF(Table122[[#This Row],[Me]],Table122[[#Headers],[Me]],"")</f>
        <v>Me</v>
      </c>
      <c r="Q43" s="283" t="str">
        <f>IF(Table122[[#This Row],[Ma]],Table122[[#Headers],[Ma]],"")</f>
        <v/>
      </c>
      <c r="R43" s="283" t="str">
        <f>IF(Table122[[#This Row],[Mo]],Table122[[#Headers],[Mo]],"")</f>
        <v>Mo</v>
      </c>
      <c r="S43" s="283" t="str">
        <f>IF(Table122[[#This Row],[Su]],Table122[[#Headers],[Su]],"")</f>
        <v/>
      </c>
    </row>
    <row r="44" spans="1:19" hidden="1">
      <c r="A44" s="286">
        <v>43</v>
      </c>
      <c r="B44" s="284">
        <f t="shared" si="7"/>
        <v>0</v>
      </c>
      <c r="C44" s="284">
        <f t="shared" si="8"/>
        <v>1</v>
      </c>
      <c r="D44" s="284">
        <f t="shared" si="9"/>
        <v>0</v>
      </c>
      <c r="E44" s="284">
        <f t="shared" si="10"/>
        <v>1</v>
      </c>
      <c r="F44" s="284">
        <f t="shared" si="11"/>
        <v>0</v>
      </c>
      <c r="G44" s="284">
        <f t="shared" si="12"/>
        <v>1</v>
      </c>
      <c r="H44" s="284">
        <f t="shared" si="13"/>
        <v>1</v>
      </c>
      <c r="I44" s="287">
        <f>SUM(Table122[[#This Row],[Sat]:[Su]])</f>
        <v>4</v>
      </c>
      <c r="J44" s="283" t="s">
        <v>504</v>
      </c>
      <c r="K44" s="283" t="s">
        <v>505</v>
      </c>
      <c r="L44" s="283" t="str">
        <f>Table122[[#This Row],[Sat2]]&amp;" "&amp;Table122[[#This Row],[Column2]]&amp;" "&amp;Table122[[#This Row],[Column3]]&amp;" "&amp;Table122[[#This Row],[Column4]]&amp;" "&amp;Table122[[#This Row],[Column5]]&amp;" "&amp;Table122[[#This Row],[Column6]]&amp;" "&amp;Table122[[#This Row],[Column7]]</f>
        <v xml:space="preserve"> Ve  Me  Mo Su</v>
      </c>
      <c r="M44" s="283" t="str">
        <f>IF(Table122[[#This Row],[Sat]],Table122[[#Headers],[Sat]],"")</f>
        <v/>
      </c>
      <c r="N44" s="283" t="str">
        <f>IF(Table122[[#This Row],[Ve]],Table122[[#Headers],[Ve]],"")</f>
        <v>Ve</v>
      </c>
      <c r="O44" s="283" t="str">
        <f>IF(Table122[[#This Row],[Ju]],Table122[[#Headers],[Ju]],"")</f>
        <v/>
      </c>
      <c r="P44" s="283" t="str">
        <f>IF(Table122[[#This Row],[Me]],Table122[[#Headers],[Me]],"")</f>
        <v>Me</v>
      </c>
      <c r="Q44" s="283" t="str">
        <f>IF(Table122[[#This Row],[Ma]],Table122[[#Headers],[Ma]],"")</f>
        <v/>
      </c>
      <c r="R44" s="283" t="str">
        <f>IF(Table122[[#This Row],[Mo]],Table122[[#Headers],[Mo]],"")</f>
        <v>Mo</v>
      </c>
      <c r="S44" s="283" t="str">
        <f>IF(Table122[[#This Row],[Su]],Table122[[#Headers],[Su]],"")</f>
        <v>Su</v>
      </c>
    </row>
    <row r="45" spans="1:19" hidden="1">
      <c r="A45" s="286">
        <v>44</v>
      </c>
      <c r="B45" s="284">
        <f t="shared" si="7"/>
        <v>0</v>
      </c>
      <c r="C45" s="284">
        <f t="shared" si="8"/>
        <v>1</v>
      </c>
      <c r="D45" s="284">
        <f t="shared" si="9"/>
        <v>0</v>
      </c>
      <c r="E45" s="284">
        <f t="shared" si="10"/>
        <v>1</v>
      </c>
      <c r="F45" s="284">
        <f t="shared" si="11"/>
        <v>1</v>
      </c>
      <c r="G45" s="284">
        <f t="shared" si="12"/>
        <v>0</v>
      </c>
      <c r="H45" s="284">
        <f t="shared" si="13"/>
        <v>0</v>
      </c>
      <c r="I45" s="287">
        <f>SUM(Table122[[#This Row],[Sat]:[Su]])</f>
        <v>3</v>
      </c>
      <c r="L45" s="283" t="str">
        <f>Table122[[#This Row],[Sat2]]&amp;" "&amp;Table122[[#This Row],[Column2]]&amp;" "&amp;Table122[[#This Row],[Column3]]&amp;" "&amp;Table122[[#This Row],[Column4]]&amp;" "&amp;Table122[[#This Row],[Column5]]&amp;" "&amp;Table122[[#This Row],[Column6]]&amp;" "&amp;Table122[[#This Row],[Column7]]</f>
        <v xml:space="preserve"> Ve  Me Ma  </v>
      </c>
      <c r="M45" s="283" t="str">
        <f>IF(Table122[[#This Row],[Sat]],Table122[[#Headers],[Sat]],"")</f>
        <v/>
      </c>
      <c r="N45" s="283" t="str">
        <f>IF(Table122[[#This Row],[Ve]],Table122[[#Headers],[Ve]],"")</f>
        <v>Ve</v>
      </c>
      <c r="O45" s="283" t="str">
        <f>IF(Table122[[#This Row],[Ju]],Table122[[#Headers],[Ju]],"")</f>
        <v/>
      </c>
      <c r="P45" s="283" t="str">
        <f>IF(Table122[[#This Row],[Me]],Table122[[#Headers],[Me]],"")</f>
        <v>Me</v>
      </c>
      <c r="Q45" s="283" t="str">
        <f>IF(Table122[[#This Row],[Ma]],Table122[[#Headers],[Ma]],"")</f>
        <v>Ma</v>
      </c>
      <c r="R45" s="283" t="str">
        <f>IF(Table122[[#This Row],[Mo]],Table122[[#Headers],[Mo]],"")</f>
        <v/>
      </c>
      <c r="S45" s="283" t="str">
        <f>IF(Table122[[#This Row],[Su]],Table122[[#Headers],[Su]],"")</f>
        <v/>
      </c>
    </row>
    <row r="46" spans="1:19" hidden="1">
      <c r="A46" s="286">
        <v>45</v>
      </c>
      <c r="B46" s="284">
        <f t="shared" si="7"/>
        <v>0</v>
      </c>
      <c r="C46" s="284">
        <f t="shared" si="8"/>
        <v>1</v>
      </c>
      <c r="D46" s="284">
        <f t="shared" si="9"/>
        <v>0</v>
      </c>
      <c r="E46" s="284">
        <f t="shared" si="10"/>
        <v>1</v>
      </c>
      <c r="F46" s="284">
        <f t="shared" si="11"/>
        <v>1</v>
      </c>
      <c r="G46" s="284">
        <f t="shared" si="12"/>
        <v>0</v>
      </c>
      <c r="H46" s="284">
        <f t="shared" si="13"/>
        <v>1</v>
      </c>
      <c r="I46" s="287">
        <f>SUM(Table122[[#This Row],[Sat]:[Su]])</f>
        <v>4</v>
      </c>
      <c r="J46" s="283" t="s">
        <v>497</v>
      </c>
      <c r="K46" s="283" t="s">
        <v>506</v>
      </c>
      <c r="L46" s="283" t="str">
        <f>Table122[[#This Row],[Sat2]]&amp;" "&amp;Table122[[#This Row],[Column2]]&amp;" "&amp;Table122[[#This Row],[Column3]]&amp;" "&amp;Table122[[#This Row],[Column4]]&amp;" "&amp;Table122[[#This Row],[Column5]]&amp;" "&amp;Table122[[#This Row],[Column6]]&amp;" "&amp;Table122[[#This Row],[Column7]]</f>
        <v xml:space="preserve"> Ve  Me Ma  Su</v>
      </c>
      <c r="M46" s="283" t="str">
        <f>IF(Table122[[#This Row],[Sat]],Table122[[#Headers],[Sat]],"")</f>
        <v/>
      </c>
      <c r="N46" s="283" t="str">
        <f>IF(Table122[[#This Row],[Ve]],Table122[[#Headers],[Ve]],"")</f>
        <v>Ve</v>
      </c>
      <c r="O46" s="283" t="str">
        <f>IF(Table122[[#This Row],[Ju]],Table122[[#Headers],[Ju]],"")</f>
        <v/>
      </c>
      <c r="P46" s="283" t="str">
        <f>IF(Table122[[#This Row],[Me]],Table122[[#Headers],[Me]],"")</f>
        <v>Me</v>
      </c>
      <c r="Q46" s="283" t="str">
        <f>IF(Table122[[#This Row],[Ma]],Table122[[#Headers],[Ma]],"")</f>
        <v>Ma</v>
      </c>
      <c r="R46" s="283" t="str">
        <f>IF(Table122[[#This Row],[Mo]],Table122[[#Headers],[Mo]],"")</f>
        <v/>
      </c>
      <c r="S46" s="283" t="str">
        <f>IF(Table122[[#This Row],[Su]],Table122[[#Headers],[Su]],"")</f>
        <v>Su</v>
      </c>
    </row>
    <row r="47" spans="1:19" hidden="1">
      <c r="A47" s="286">
        <v>46</v>
      </c>
      <c r="B47" s="284">
        <f t="shared" si="7"/>
        <v>0</v>
      </c>
      <c r="C47" s="284">
        <f t="shared" si="8"/>
        <v>1</v>
      </c>
      <c r="D47" s="284">
        <f t="shared" si="9"/>
        <v>0</v>
      </c>
      <c r="E47" s="284">
        <f t="shared" si="10"/>
        <v>1</v>
      </c>
      <c r="F47" s="284">
        <f t="shared" si="11"/>
        <v>1</v>
      </c>
      <c r="G47" s="284">
        <f t="shared" si="12"/>
        <v>1</v>
      </c>
      <c r="H47" s="284">
        <f t="shared" si="13"/>
        <v>0</v>
      </c>
      <c r="I47" s="287">
        <f>SUM(Table122[[#This Row],[Sat]:[Su]])</f>
        <v>4</v>
      </c>
      <c r="J47" s="283" t="s">
        <v>490</v>
      </c>
      <c r="K47" s="283" t="s">
        <v>507</v>
      </c>
      <c r="L47" s="283" t="str">
        <f>Table122[[#This Row],[Sat2]]&amp;" "&amp;Table122[[#This Row],[Column2]]&amp;" "&amp;Table122[[#This Row],[Column3]]&amp;" "&amp;Table122[[#This Row],[Column4]]&amp;" "&amp;Table122[[#This Row],[Column5]]&amp;" "&amp;Table122[[#This Row],[Column6]]&amp;" "&amp;Table122[[#This Row],[Column7]]</f>
        <v xml:space="preserve"> Ve  Me Ma Mo </v>
      </c>
      <c r="M47" s="283" t="str">
        <f>IF(Table122[[#This Row],[Sat]],Table122[[#Headers],[Sat]],"")</f>
        <v/>
      </c>
      <c r="N47" s="283" t="str">
        <f>IF(Table122[[#This Row],[Ve]],Table122[[#Headers],[Ve]],"")</f>
        <v>Ve</v>
      </c>
      <c r="O47" s="283" t="str">
        <f>IF(Table122[[#This Row],[Ju]],Table122[[#Headers],[Ju]],"")</f>
        <v/>
      </c>
      <c r="P47" s="283" t="str">
        <f>IF(Table122[[#This Row],[Me]],Table122[[#Headers],[Me]],"")</f>
        <v>Me</v>
      </c>
      <c r="Q47" s="283" t="str">
        <f>IF(Table122[[#This Row],[Ma]],Table122[[#Headers],[Ma]],"")</f>
        <v>Ma</v>
      </c>
      <c r="R47" s="283" t="str">
        <f>IF(Table122[[#This Row],[Mo]],Table122[[#Headers],[Mo]],"")</f>
        <v>Mo</v>
      </c>
      <c r="S47" s="283" t="str">
        <f>IF(Table122[[#This Row],[Su]],Table122[[#Headers],[Su]],"")</f>
        <v/>
      </c>
    </row>
    <row r="48" spans="1:19" hidden="1">
      <c r="A48" s="286">
        <v>47</v>
      </c>
      <c r="B48" s="284">
        <f t="shared" si="7"/>
        <v>0</v>
      </c>
      <c r="C48" s="284">
        <f t="shared" si="8"/>
        <v>1</v>
      </c>
      <c r="D48" s="284">
        <f t="shared" si="9"/>
        <v>0</v>
      </c>
      <c r="E48" s="284">
        <f t="shared" si="10"/>
        <v>1</v>
      </c>
      <c r="F48" s="284">
        <f t="shared" si="11"/>
        <v>1</v>
      </c>
      <c r="G48" s="284">
        <f t="shared" si="12"/>
        <v>1</v>
      </c>
      <c r="H48" s="284">
        <f t="shared" si="13"/>
        <v>1</v>
      </c>
      <c r="I48" s="287">
        <f>SUM(Table122[[#This Row],[Sat]:[Su]])</f>
        <v>5</v>
      </c>
      <c r="J48" s="283" t="s">
        <v>499</v>
      </c>
      <c r="K48" s="283" t="s">
        <v>500</v>
      </c>
      <c r="L48" s="283" t="str">
        <f>Table122[[#This Row],[Sat2]]&amp;" "&amp;Table122[[#This Row],[Column2]]&amp;" "&amp;Table122[[#This Row],[Column3]]&amp;" "&amp;Table122[[#This Row],[Column4]]&amp;" "&amp;Table122[[#This Row],[Column5]]&amp;" "&amp;Table122[[#This Row],[Column6]]&amp;" "&amp;Table122[[#This Row],[Column7]]</f>
        <v xml:space="preserve"> Ve  Me Ma Mo Su</v>
      </c>
      <c r="M48" s="283" t="str">
        <f>IF(Table122[[#This Row],[Sat]],Table122[[#Headers],[Sat]],"")</f>
        <v/>
      </c>
      <c r="N48" s="283" t="str">
        <f>IF(Table122[[#This Row],[Ve]],Table122[[#Headers],[Ve]],"")</f>
        <v>Ve</v>
      </c>
      <c r="O48" s="283" t="str">
        <f>IF(Table122[[#This Row],[Ju]],Table122[[#Headers],[Ju]],"")</f>
        <v/>
      </c>
      <c r="P48" s="283" t="str">
        <f>IF(Table122[[#This Row],[Me]],Table122[[#Headers],[Me]],"")</f>
        <v>Me</v>
      </c>
      <c r="Q48" s="283" t="str">
        <f>IF(Table122[[#This Row],[Ma]],Table122[[#Headers],[Ma]],"")</f>
        <v>Ma</v>
      </c>
      <c r="R48" s="283" t="str">
        <f>IF(Table122[[#This Row],[Mo]],Table122[[#Headers],[Mo]],"")</f>
        <v>Mo</v>
      </c>
      <c r="S48" s="283" t="str">
        <f>IF(Table122[[#This Row],[Su]],Table122[[#Headers],[Su]],"")</f>
        <v>Su</v>
      </c>
    </row>
    <row r="49" spans="1:19">
      <c r="A49" s="286">
        <v>48</v>
      </c>
      <c r="B49" s="284">
        <f t="shared" si="7"/>
        <v>0</v>
      </c>
      <c r="C49" s="284">
        <f t="shared" si="8"/>
        <v>1</v>
      </c>
      <c r="D49" s="284">
        <f t="shared" si="9"/>
        <v>1</v>
      </c>
      <c r="E49" s="284">
        <f t="shared" si="10"/>
        <v>0</v>
      </c>
      <c r="F49" s="284">
        <f t="shared" si="11"/>
        <v>0</v>
      </c>
      <c r="G49" s="284">
        <f t="shared" si="12"/>
        <v>0</v>
      </c>
      <c r="H49" s="284">
        <f t="shared" si="13"/>
        <v>0</v>
      </c>
      <c r="I49" s="287">
        <f>SUM(Table122[[#This Row],[Sat]:[Su]])</f>
        <v>2</v>
      </c>
      <c r="J49" s="283" t="s">
        <v>508</v>
      </c>
      <c r="L49" s="283" t="str">
        <f>Table122[[#This Row],[Sat2]]&amp;" "&amp;Table122[[#This Row],[Column2]]&amp;" "&amp;Table122[[#This Row],[Column3]]&amp;" "&amp;Table122[[#This Row],[Column4]]&amp;" "&amp;Table122[[#This Row],[Column5]]&amp;" "&amp;Table122[[#This Row],[Column6]]&amp;" "&amp;Table122[[#This Row],[Column7]]</f>
        <v xml:space="preserve"> Ve Ju    </v>
      </c>
      <c r="M49" s="283" t="str">
        <f>IF(Table122[[#This Row],[Sat]],Table122[[#Headers],[Sat]],"")</f>
        <v/>
      </c>
      <c r="N49" s="283" t="str">
        <f>IF(Table122[[#This Row],[Ve]],Table122[[#Headers],[Ve]],"")</f>
        <v>Ve</v>
      </c>
      <c r="O49" s="283" t="str">
        <f>IF(Table122[[#This Row],[Ju]],Table122[[#Headers],[Ju]],"")</f>
        <v>Ju</v>
      </c>
      <c r="P49" s="283" t="str">
        <f>IF(Table122[[#This Row],[Me]],Table122[[#Headers],[Me]],"")</f>
        <v/>
      </c>
      <c r="Q49" s="283" t="str">
        <f>IF(Table122[[#This Row],[Ma]],Table122[[#Headers],[Ma]],"")</f>
        <v/>
      </c>
      <c r="R49" s="283" t="str">
        <f>IF(Table122[[#This Row],[Mo]],Table122[[#Headers],[Mo]],"")</f>
        <v/>
      </c>
      <c r="S49" s="283" t="str">
        <f>IF(Table122[[#This Row],[Su]],Table122[[#Headers],[Su]],"")</f>
        <v/>
      </c>
    </row>
    <row r="50" spans="1:19" hidden="1">
      <c r="A50" s="286">
        <v>49</v>
      </c>
      <c r="B50" s="284">
        <f t="shared" si="7"/>
        <v>0</v>
      </c>
      <c r="C50" s="284">
        <f t="shared" si="8"/>
        <v>1</v>
      </c>
      <c r="D50" s="284">
        <f t="shared" si="9"/>
        <v>1</v>
      </c>
      <c r="E50" s="284">
        <f t="shared" si="10"/>
        <v>0</v>
      </c>
      <c r="F50" s="284">
        <f t="shared" si="11"/>
        <v>0</v>
      </c>
      <c r="G50" s="284">
        <f t="shared" si="12"/>
        <v>0</v>
      </c>
      <c r="H50" s="284">
        <f t="shared" si="13"/>
        <v>1</v>
      </c>
      <c r="I50" s="287">
        <f>SUM(Table122[[#This Row],[Sat]:[Su]])</f>
        <v>3</v>
      </c>
      <c r="L50" s="283" t="str">
        <f>Table122[[#This Row],[Sat2]]&amp;" "&amp;Table122[[#This Row],[Column2]]&amp;" "&amp;Table122[[#This Row],[Column3]]&amp;" "&amp;Table122[[#This Row],[Column4]]&amp;" "&amp;Table122[[#This Row],[Column5]]&amp;" "&amp;Table122[[#This Row],[Column6]]&amp;" "&amp;Table122[[#This Row],[Column7]]</f>
        <v xml:space="preserve"> Ve Ju    Su</v>
      </c>
      <c r="M50" s="283" t="str">
        <f>IF(Table122[[#This Row],[Sat]],Table122[[#Headers],[Sat]],"")</f>
        <v/>
      </c>
      <c r="N50" s="283" t="str">
        <f>IF(Table122[[#This Row],[Ve]],Table122[[#Headers],[Ve]],"")</f>
        <v>Ve</v>
      </c>
      <c r="O50" s="283" t="str">
        <f>IF(Table122[[#This Row],[Ju]],Table122[[#Headers],[Ju]],"")</f>
        <v>Ju</v>
      </c>
      <c r="P50" s="283" t="str">
        <f>IF(Table122[[#This Row],[Me]],Table122[[#Headers],[Me]],"")</f>
        <v/>
      </c>
      <c r="Q50" s="283" t="str">
        <f>IF(Table122[[#This Row],[Ma]],Table122[[#Headers],[Ma]],"")</f>
        <v/>
      </c>
      <c r="R50" s="283" t="str">
        <f>IF(Table122[[#This Row],[Mo]],Table122[[#Headers],[Mo]],"")</f>
        <v/>
      </c>
      <c r="S50" s="283" t="str">
        <f>IF(Table122[[#This Row],[Su]],Table122[[#Headers],[Su]],"")</f>
        <v>Su</v>
      </c>
    </row>
    <row r="51" spans="1:19" hidden="1">
      <c r="A51" s="286">
        <v>50</v>
      </c>
      <c r="B51" s="284">
        <f t="shared" si="7"/>
        <v>0</v>
      </c>
      <c r="C51" s="284">
        <f t="shared" si="8"/>
        <v>1</v>
      </c>
      <c r="D51" s="284">
        <f t="shared" si="9"/>
        <v>1</v>
      </c>
      <c r="E51" s="284">
        <f t="shared" si="10"/>
        <v>0</v>
      </c>
      <c r="F51" s="284">
        <f t="shared" si="11"/>
        <v>0</v>
      </c>
      <c r="G51" s="284">
        <f t="shared" si="12"/>
        <v>1</v>
      </c>
      <c r="H51" s="284">
        <f t="shared" si="13"/>
        <v>0</v>
      </c>
      <c r="I51" s="287">
        <f>SUM(Table122[[#This Row],[Sat]:[Su]])</f>
        <v>3</v>
      </c>
      <c r="L51" s="283" t="str">
        <f>Table122[[#This Row],[Sat2]]&amp;" "&amp;Table122[[#This Row],[Column2]]&amp;" "&amp;Table122[[#This Row],[Column3]]&amp;" "&amp;Table122[[#This Row],[Column4]]&amp;" "&amp;Table122[[#This Row],[Column5]]&amp;" "&amp;Table122[[#This Row],[Column6]]&amp;" "&amp;Table122[[#This Row],[Column7]]</f>
        <v xml:space="preserve"> Ve Ju   Mo </v>
      </c>
      <c r="M51" s="283" t="str">
        <f>IF(Table122[[#This Row],[Sat]],Table122[[#Headers],[Sat]],"")</f>
        <v/>
      </c>
      <c r="N51" s="283" t="str">
        <f>IF(Table122[[#This Row],[Ve]],Table122[[#Headers],[Ve]],"")</f>
        <v>Ve</v>
      </c>
      <c r="O51" s="283" t="str">
        <f>IF(Table122[[#This Row],[Ju]],Table122[[#Headers],[Ju]],"")</f>
        <v>Ju</v>
      </c>
      <c r="P51" s="283" t="str">
        <f>IF(Table122[[#This Row],[Me]],Table122[[#Headers],[Me]],"")</f>
        <v/>
      </c>
      <c r="Q51" s="283" t="str">
        <f>IF(Table122[[#This Row],[Ma]],Table122[[#Headers],[Ma]],"")</f>
        <v/>
      </c>
      <c r="R51" s="283" t="str">
        <f>IF(Table122[[#This Row],[Mo]],Table122[[#Headers],[Mo]],"")</f>
        <v>Mo</v>
      </c>
      <c r="S51" s="283" t="str">
        <f>IF(Table122[[#This Row],[Su]],Table122[[#Headers],[Su]],"")</f>
        <v/>
      </c>
    </row>
    <row r="52" spans="1:19" hidden="1">
      <c r="A52" s="286">
        <v>51</v>
      </c>
      <c r="B52" s="284">
        <f t="shared" si="7"/>
        <v>0</v>
      </c>
      <c r="C52" s="284">
        <f t="shared" si="8"/>
        <v>1</v>
      </c>
      <c r="D52" s="284">
        <f t="shared" si="9"/>
        <v>1</v>
      </c>
      <c r="E52" s="284">
        <f t="shared" si="10"/>
        <v>0</v>
      </c>
      <c r="F52" s="284">
        <f t="shared" si="11"/>
        <v>0</v>
      </c>
      <c r="G52" s="284">
        <f t="shared" si="12"/>
        <v>1</v>
      </c>
      <c r="H52" s="284">
        <f t="shared" si="13"/>
        <v>1</v>
      </c>
      <c r="I52" s="287">
        <f>SUM(Table122[[#This Row],[Sat]:[Su]])</f>
        <v>4</v>
      </c>
      <c r="L52" s="283" t="str">
        <f>Table122[[#This Row],[Sat2]]&amp;" "&amp;Table122[[#This Row],[Column2]]&amp;" "&amp;Table122[[#This Row],[Column3]]&amp;" "&amp;Table122[[#This Row],[Column4]]&amp;" "&amp;Table122[[#This Row],[Column5]]&amp;" "&amp;Table122[[#This Row],[Column6]]&amp;" "&amp;Table122[[#This Row],[Column7]]</f>
        <v xml:space="preserve"> Ve Ju   Mo Su</v>
      </c>
      <c r="M52" s="283" t="str">
        <f>IF(Table122[[#This Row],[Sat]],Table122[[#Headers],[Sat]],"")</f>
        <v/>
      </c>
      <c r="N52" s="283" t="str">
        <f>IF(Table122[[#This Row],[Ve]],Table122[[#Headers],[Ve]],"")</f>
        <v>Ve</v>
      </c>
      <c r="O52" s="283" t="str">
        <f>IF(Table122[[#This Row],[Ju]],Table122[[#Headers],[Ju]],"")</f>
        <v>Ju</v>
      </c>
      <c r="P52" s="283" t="str">
        <f>IF(Table122[[#This Row],[Me]],Table122[[#Headers],[Me]],"")</f>
        <v/>
      </c>
      <c r="Q52" s="283" t="str">
        <f>IF(Table122[[#This Row],[Ma]],Table122[[#Headers],[Ma]],"")</f>
        <v/>
      </c>
      <c r="R52" s="283" t="str">
        <f>IF(Table122[[#This Row],[Mo]],Table122[[#Headers],[Mo]],"")</f>
        <v>Mo</v>
      </c>
      <c r="S52" s="283" t="str">
        <f>IF(Table122[[#This Row],[Su]],Table122[[#Headers],[Su]],"")</f>
        <v>Su</v>
      </c>
    </row>
    <row r="53" spans="1:19" hidden="1">
      <c r="A53" s="286">
        <v>52</v>
      </c>
      <c r="B53" s="284">
        <f t="shared" si="7"/>
        <v>0</v>
      </c>
      <c r="C53" s="284">
        <f t="shared" si="8"/>
        <v>1</v>
      </c>
      <c r="D53" s="284">
        <f t="shared" si="9"/>
        <v>1</v>
      </c>
      <c r="E53" s="284">
        <f t="shared" si="10"/>
        <v>0</v>
      </c>
      <c r="F53" s="284">
        <f t="shared" si="11"/>
        <v>1</v>
      </c>
      <c r="G53" s="284">
        <f t="shared" si="12"/>
        <v>0</v>
      </c>
      <c r="H53" s="284">
        <f t="shared" si="13"/>
        <v>0</v>
      </c>
      <c r="I53" s="287">
        <f>SUM(Table122[[#This Row],[Sat]:[Su]])</f>
        <v>3</v>
      </c>
      <c r="L53" s="283" t="str">
        <f>Table122[[#This Row],[Sat2]]&amp;" "&amp;Table122[[#This Row],[Column2]]&amp;" "&amp;Table122[[#This Row],[Column3]]&amp;" "&amp;Table122[[#This Row],[Column4]]&amp;" "&amp;Table122[[#This Row],[Column5]]&amp;" "&amp;Table122[[#This Row],[Column6]]&amp;" "&amp;Table122[[#This Row],[Column7]]</f>
        <v xml:space="preserve"> Ve Ju  Ma  </v>
      </c>
      <c r="M53" s="283" t="str">
        <f>IF(Table122[[#This Row],[Sat]],Table122[[#Headers],[Sat]],"")</f>
        <v/>
      </c>
      <c r="N53" s="283" t="str">
        <f>IF(Table122[[#This Row],[Ve]],Table122[[#Headers],[Ve]],"")</f>
        <v>Ve</v>
      </c>
      <c r="O53" s="283" t="str">
        <f>IF(Table122[[#This Row],[Ju]],Table122[[#Headers],[Ju]],"")</f>
        <v>Ju</v>
      </c>
      <c r="P53" s="283" t="str">
        <f>IF(Table122[[#This Row],[Me]],Table122[[#Headers],[Me]],"")</f>
        <v/>
      </c>
      <c r="Q53" s="283" t="str">
        <f>IF(Table122[[#This Row],[Ma]],Table122[[#Headers],[Ma]],"")</f>
        <v>Ma</v>
      </c>
      <c r="R53" s="283" t="str">
        <f>IF(Table122[[#This Row],[Mo]],Table122[[#Headers],[Mo]],"")</f>
        <v/>
      </c>
      <c r="S53" s="283" t="str">
        <f>IF(Table122[[#This Row],[Su]],Table122[[#Headers],[Su]],"")</f>
        <v/>
      </c>
    </row>
    <row r="54" spans="1:19" hidden="1">
      <c r="A54" s="286">
        <v>53</v>
      </c>
      <c r="B54" s="284">
        <f t="shared" si="7"/>
        <v>0</v>
      </c>
      <c r="C54" s="284">
        <f t="shared" si="8"/>
        <v>1</v>
      </c>
      <c r="D54" s="284">
        <f t="shared" si="9"/>
        <v>1</v>
      </c>
      <c r="E54" s="284">
        <f t="shared" si="10"/>
        <v>0</v>
      </c>
      <c r="F54" s="284">
        <f t="shared" si="11"/>
        <v>1</v>
      </c>
      <c r="G54" s="284">
        <f t="shared" si="12"/>
        <v>0</v>
      </c>
      <c r="H54" s="284">
        <f t="shared" si="13"/>
        <v>1</v>
      </c>
      <c r="I54" s="287">
        <f>SUM(Table122[[#This Row],[Sat]:[Su]])</f>
        <v>4</v>
      </c>
      <c r="L54" s="283" t="str">
        <f>Table122[[#This Row],[Sat2]]&amp;" "&amp;Table122[[#This Row],[Column2]]&amp;" "&amp;Table122[[#This Row],[Column3]]&amp;" "&amp;Table122[[#This Row],[Column4]]&amp;" "&amp;Table122[[#This Row],[Column5]]&amp;" "&amp;Table122[[#This Row],[Column6]]&amp;" "&amp;Table122[[#This Row],[Column7]]</f>
        <v xml:space="preserve"> Ve Ju  Ma  Su</v>
      </c>
      <c r="M54" s="283" t="str">
        <f>IF(Table122[[#This Row],[Sat]],Table122[[#Headers],[Sat]],"")</f>
        <v/>
      </c>
      <c r="N54" s="283" t="str">
        <f>IF(Table122[[#This Row],[Ve]],Table122[[#Headers],[Ve]],"")</f>
        <v>Ve</v>
      </c>
      <c r="O54" s="283" t="str">
        <f>IF(Table122[[#This Row],[Ju]],Table122[[#Headers],[Ju]],"")</f>
        <v>Ju</v>
      </c>
      <c r="P54" s="283" t="str">
        <f>IF(Table122[[#This Row],[Me]],Table122[[#Headers],[Me]],"")</f>
        <v/>
      </c>
      <c r="Q54" s="283" t="str">
        <f>IF(Table122[[#This Row],[Ma]],Table122[[#Headers],[Ma]],"")</f>
        <v>Ma</v>
      </c>
      <c r="R54" s="283" t="str">
        <f>IF(Table122[[#This Row],[Mo]],Table122[[#Headers],[Mo]],"")</f>
        <v/>
      </c>
      <c r="S54" s="283" t="str">
        <f>IF(Table122[[#This Row],[Su]],Table122[[#Headers],[Su]],"")</f>
        <v>Su</v>
      </c>
    </row>
    <row r="55" spans="1:19" hidden="1">
      <c r="A55" s="286">
        <v>54</v>
      </c>
      <c r="B55" s="284">
        <f t="shared" si="7"/>
        <v>0</v>
      </c>
      <c r="C55" s="284">
        <f t="shared" si="8"/>
        <v>1</v>
      </c>
      <c r="D55" s="284">
        <f t="shared" si="9"/>
        <v>1</v>
      </c>
      <c r="E55" s="284">
        <f t="shared" si="10"/>
        <v>0</v>
      </c>
      <c r="F55" s="284">
        <f t="shared" si="11"/>
        <v>1</v>
      </c>
      <c r="G55" s="284">
        <f t="shared" si="12"/>
        <v>1</v>
      </c>
      <c r="H55" s="284">
        <f t="shared" si="13"/>
        <v>0</v>
      </c>
      <c r="I55" s="287">
        <f>SUM(Table122[[#This Row],[Sat]:[Su]])</f>
        <v>4</v>
      </c>
      <c r="L55" s="283" t="str">
        <f>Table122[[#This Row],[Sat2]]&amp;" "&amp;Table122[[#This Row],[Column2]]&amp;" "&amp;Table122[[#This Row],[Column3]]&amp;" "&amp;Table122[[#This Row],[Column4]]&amp;" "&amp;Table122[[#This Row],[Column5]]&amp;" "&amp;Table122[[#This Row],[Column6]]&amp;" "&amp;Table122[[#This Row],[Column7]]</f>
        <v xml:space="preserve"> Ve Ju  Ma Mo </v>
      </c>
      <c r="M55" s="283" t="str">
        <f>IF(Table122[[#This Row],[Sat]],Table122[[#Headers],[Sat]],"")</f>
        <v/>
      </c>
      <c r="N55" s="283" t="str">
        <f>IF(Table122[[#This Row],[Ve]],Table122[[#Headers],[Ve]],"")</f>
        <v>Ve</v>
      </c>
      <c r="O55" s="283" t="str">
        <f>IF(Table122[[#This Row],[Ju]],Table122[[#Headers],[Ju]],"")</f>
        <v>Ju</v>
      </c>
      <c r="P55" s="283" t="str">
        <f>IF(Table122[[#This Row],[Me]],Table122[[#Headers],[Me]],"")</f>
        <v/>
      </c>
      <c r="Q55" s="283" t="str">
        <f>IF(Table122[[#This Row],[Ma]],Table122[[#Headers],[Ma]],"")</f>
        <v>Ma</v>
      </c>
      <c r="R55" s="283" t="str">
        <f>IF(Table122[[#This Row],[Mo]],Table122[[#Headers],[Mo]],"")</f>
        <v>Mo</v>
      </c>
      <c r="S55" s="283" t="str">
        <f>IF(Table122[[#This Row],[Su]],Table122[[#Headers],[Su]],"")</f>
        <v/>
      </c>
    </row>
    <row r="56" spans="1:19" hidden="1">
      <c r="A56" s="286">
        <v>55</v>
      </c>
      <c r="B56" s="284">
        <f t="shared" si="7"/>
        <v>0</v>
      </c>
      <c r="C56" s="284">
        <f t="shared" si="8"/>
        <v>1</v>
      </c>
      <c r="D56" s="284">
        <f t="shared" si="9"/>
        <v>1</v>
      </c>
      <c r="E56" s="284">
        <f t="shared" si="10"/>
        <v>0</v>
      </c>
      <c r="F56" s="284">
        <f t="shared" si="11"/>
        <v>1</v>
      </c>
      <c r="G56" s="284">
        <f t="shared" si="12"/>
        <v>1</v>
      </c>
      <c r="H56" s="284">
        <f t="shared" si="13"/>
        <v>1</v>
      </c>
      <c r="I56" s="287">
        <f>SUM(Table122[[#This Row],[Sat]:[Su]])</f>
        <v>5</v>
      </c>
      <c r="L56" s="283" t="str">
        <f>Table122[[#This Row],[Sat2]]&amp;" "&amp;Table122[[#This Row],[Column2]]&amp;" "&amp;Table122[[#This Row],[Column3]]&amp;" "&amp;Table122[[#This Row],[Column4]]&amp;" "&amp;Table122[[#This Row],[Column5]]&amp;" "&amp;Table122[[#This Row],[Column6]]&amp;" "&amp;Table122[[#This Row],[Column7]]</f>
        <v xml:space="preserve"> Ve Ju  Ma Mo Su</v>
      </c>
      <c r="M56" s="283" t="str">
        <f>IF(Table122[[#This Row],[Sat]],Table122[[#Headers],[Sat]],"")</f>
        <v/>
      </c>
      <c r="N56" s="283" t="str">
        <f>IF(Table122[[#This Row],[Ve]],Table122[[#Headers],[Ve]],"")</f>
        <v>Ve</v>
      </c>
      <c r="O56" s="283" t="str">
        <f>IF(Table122[[#This Row],[Ju]],Table122[[#Headers],[Ju]],"")</f>
        <v>Ju</v>
      </c>
      <c r="P56" s="283" t="str">
        <f>IF(Table122[[#This Row],[Me]],Table122[[#Headers],[Me]],"")</f>
        <v/>
      </c>
      <c r="Q56" s="283" t="str">
        <f>IF(Table122[[#This Row],[Ma]],Table122[[#Headers],[Ma]],"")</f>
        <v>Ma</v>
      </c>
      <c r="R56" s="283" t="str">
        <f>IF(Table122[[#This Row],[Mo]],Table122[[#Headers],[Mo]],"")</f>
        <v>Mo</v>
      </c>
      <c r="S56" s="283" t="str">
        <f>IF(Table122[[#This Row],[Su]],Table122[[#Headers],[Su]],"")</f>
        <v>Su</v>
      </c>
    </row>
    <row r="57" spans="1:19" hidden="1">
      <c r="A57" s="286">
        <v>56</v>
      </c>
      <c r="B57" s="284">
        <f t="shared" si="7"/>
        <v>0</v>
      </c>
      <c r="C57" s="284">
        <f t="shared" si="8"/>
        <v>1</v>
      </c>
      <c r="D57" s="284">
        <f t="shared" si="9"/>
        <v>1</v>
      </c>
      <c r="E57" s="284">
        <f t="shared" si="10"/>
        <v>1</v>
      </c>
      <c r="F57" s="284">
        <f t="shared" si="11"/>
        <v>0</v>
      </c>
      <c r="G57" s="284">
        <f t="shared" si="12"/>
        <v>0</v>
      </c>
      <c r="H57" s="284">
        <f t="shared" si="13"/>
        <v>0</v>
      </c>
      <c r="I57" s="287">
        <f>SUM(Table122[[#This Row],[Sat]:[Su]])</f>
        <v>3</v>
      </c>
      <c r="L57" s="283" t="str">
        <f>Table122[[#This Row],[Sat2]]&amp;" "&amp;Table122[[#This Row],[Column2]]&amp;" "&amp;Table122[[#This Row],[Column3]]&amp;" "&amp;Table122[[#This Row],[Column4]]&amp;" "&amp;Table122[[#This Row],[Column5]]&amp;" "&amp;Table122[[#This Row],[Column6]]&amp;" "&amp;Table122[[#This Row],[Column7]]</f>
        <v xml:space="preserve"> Ve Ju Me   </v>
      </c>
      <c r="M57" s="283" t="str">
        <f>IF(Table122[[#This Row],[Sat]],Table122[[#Headers],[Sat]],"")</f>
        <v/>
      </c>
      <c r="N57" s="283" t="str">
        <f>IF(Table122[[#This Row],[Ve]],Table122[[#Headers],[Ve]],"")</f>
        <v>Ve</v>
      </c>
      <c r="O57" s="283" t="str">
        <f>IF(Table122[[#This Row],[Ju]],Table122[[#Headers],[Ju]],"")</f>
        <v>Ju</v>
      </c>
      <c r="P57" s="283" t="str">
        <f>IF(Table122[[#This Row],[Me]],Table122[[#Headers],[Me]],"")</f>
        <v>Me</v>
      </c>
      <c r="Q57" s="283" t="str">
        <f>IF(Table122[[#This Row],[Ma]],Table122[[#Headers],[Ma]],"")</f>
        <v/>
      </c>
      <c r="R57" s="283" t="str">
        <f>IF(Table122[[#This Row],[Mo]],Table122[[#Headers],[Mo]],"")</f>
        <v/>
      </c>
      <c r="S57" s="283" t="str">
        <f>IF(Table122[[#This Row],[Su]],Table122[[#Headers],[Su]],"")</f>
        <v/>
      </c>
    </row>
    <row r="58" spans="1:19" hidden="1">
      <c r="A58" s="286">
        <v>57</v>
      </c>
      <c r="B58" s="284">
        <f t="shared" si="7"/>
        <v>0</v>
      </c>
      <c r="C58" s="284">
        <f t="shared" si="8"/>
        <v>1</v>
      </c>
      <c r="D58" s="284">
        <f t="shared" si="9"/>
        <v>1</v>
      </c>
      <c r="E58" s="284">
        <f t="shared" si="10"/>
        <v>1</v>
      </c>
      <c r="F58" s="284">
        <f t="shared" si="11"/>
        <v>0</v>
      </c>
      <c r="G58" s="284">
        <f t="shared" si="12"/>
        <v>0</v>
      </c>
      <c r="H58" s="284">
        <f t="shared" si="13"/>
        <v>1</v>
      </c>
      <c r="I58" s="287">
        <f>SUM(Table122[[#This Row],[Sat]:[Su]])</f>
        <v>4</v>
      </c>
      <c r="L58" s="283" t="str">
        <f>Table122[[#This Row],[Sat2]]&amp;" "&amp;Table122[[#This Row],[Column2]]&amp;" "&amp;Table122[[#This Row],[Column3]]&amp;" "&amp;Table122[[#This Row],[Column4]]&amp;" "&amp;Table122[[#This Row],[Column5]]&amp;" "&amp;Table122[[#This Row],[Column6]]&amp;" "&amp;Table122[[#This Row],[Column7]]</f>
        <v xml:space="preserve"> Ve Ju Me   Su</v>
      </c>
      <c r="M58" s="283" t="str">
        <f>IF(Table122[[#This Row],[Sat]],Table122[[#Headers],[Sat]],"")</f>
        <v/>
      </c>
      <c r="N58" s="283" t="str">
        <f>IF(Table122[[#This Row],[Ve]],Table122[[#Headers],[Ve]],"")</f>
        <v>Ve</v>
      </c>
      <c r="O58" s="283" t="str">
        <f>IF(Table122[[#This Row],[Ju]],Table122[[#Headers],[Ju]],"")</f>
        <v>Ju</v>
      </c>
      <c r="P58" s="283" t="str">
        <f>IF(Table122[[#This Row],[Me]],Table122[[#Headers],[Me]],"")</f>
        <v>Me</v>
      </c>
      <c r="Q58" s="283" t="str">
        <f>IF(Table122[[#This Row],[Ma]],Table122[[#Headers],[Ma]],"")</f>
        <v/>
      </c>
      <c r="R58" s="283" t="str">
        <f>IF(Table122[[#This Row],[Mo]],Table122[[#Headers],[Mo]],"")</f>
        <v/>
      </c>
      <c r="S58" s="283" t="str">
        <f>IF(Table122[[#This Row],[Su]],Table122[[#Headers],[Su]],"")</f>
        <v>Su</v>
      </c>
    </row>
    <row r="59" spans="1:19" hidden="1">
      <c r="A59" s="286">
        <v>58</v>
      </c>
      <c r="B59" s="284">
        <f t="shared" si="7"/>
        <v>0</v>
      </c>
      <c r="C59" s="284">
        <f t="shared" si="8"/>
        <v>1</v>
      </c>
      <c r="D59" s="284">
        <f t="shared" si="9"/>
        <v>1</v>
      </c>
      <c r="E59" s="284">
        <f t="shared" si="10"/>
        <v>1</v>
      </c>
      <c r="F59" s="284">
        <f t="shared" si="11"/>
        <v>0</v>
      </c>
      <c r="G59" s="284">
        <f t="shared" si="12"/>
        <v>1</v>
      </c>
      <c r="H59" s="284">
        <f t="shared" si="13"/>
        <v>0</v>
      </c>
      <c r="I59" s="287">
        <f>SUM(Table122[[#This Row],[Sat]:[Su]])</f>
        <v>4</v>
      </c>
      <c r="L59" s="283" t="str">
        <f>Table122[[#This Row],[Sat2]]&amp;" "&amp;Table122[[#This Row],[Column2]]&amp;" "&amp;Table122[[#This Row],[Column3]]&amp;" "&amp;Table122[[#This Row],[Column4]]&amp;" "&amp;Table122[[#This Row],[Column5]]&amp;" "&amp;Table122[[#This Row],[Column6]]&amp;" "&amp;Table122[[#This Row],[Column7]]</f>
        <v xml:space="preserve"> Ve Ju Me  Mo </v>
      </c>
      <c r="M59" s="283" t="str">
        <f>IF(Table122[[#This Row],[Sat]],Table122[[#Headers],[Sat]],"")</f>
        <v/>
      </c>
      <c r="N59" s="283" t="str">
        <f>IF(Table122[[#This Row],[Ve]],Table122[[#Headers],[Ve]],"")</f>
        <v>Ve</v>
      </c>
      <c r="O59" s="283" t="str">
        <f>IF(Table122[[#This Row],[Ju]],Table122[[#Headers],[Ju]],"")</f>
        <v>Ju</v>
      </c>
      <c r="P59" s="283" t="str">
        <f>IF(Table122[[#This Row],[Me]],Table122[[#Headers],[Me]],"")</f>
        <v>Me</v>
      </c>
      <c r="Q59" s="283" t="str">
        <f>IF(Table122[[#This Row],[Ma]],Table122[[#Headers],[Ma]],"")</f>
        <v/>
      </c>
      <c r="R59" s="283" t="str">
        <f>IF(Table122[[#This Row],[Mo]],Table122[[#Headers],[Mo]],"")</f>
        <v>Mo</v>
      </c>
      <c r="S59" s="283" t="str">
        <f>IF(Table122[[#This Row],[Su]],Table122[[#Headers],[Su]],"")</f>
        <v/>
      </c>
    </row>
    <row r="60" spans="1:19" hidden="1">
      <c r="A60" s="286">
        <v>59</v>
      </c>
      <c r="B60" s="284">
        <f t="shared" si="7"/>
        <v>0</v>
      </c>
      <c r="C60" s="284">
        <f t="shared" si="8"/>
        <v>1</v>
      </c>
      <c r="D60" s="284">
        <f t="shared" si="9"/>
        <v>1</v>
      </c>
      <c r="E60" s="284">
        <f t="shared" si="10"/>
        <v>1</v>
      </c>
      <c r="F60" s="284">
        <f t="shared" si="11"/>
        <v>0</v>
      </c>
      <c r="G60" s="284">
        <f t="shared" si="12"/>
        <v>1</v>
      </c>
      <c r="H60" s="284">
        <f t="shared" si="13"/>
        <v>1</v>
      </c>
      <c r="I60" s="287">
        <f>SUM(Table122[[#This Row],[Sat]:[Su]])</f>
        <v>5</v>
      </c>
      <c r="L60" s="283" t="str">
        <f>Table122[[#This Row],[Sat2]]&amp;" "&amp;Table122[[#This Row],[Column2]]&amp;" "&amp;Table122[[#This Row],[Column3]]&amp;" "&amp;Table122[[#This Row],[Column4]]&amp;" "&amp;Table122[[#This Row],[Column5]]&amp;" "&amp;Table122[[#This Row],[Column6]]&amp;" "&amp;Table122[[#This Row],[Column7]]</f>
        <v xml:space="preserve"> Ve Ju Me  Mo Su</v>
      </c>
      <c r="M60" s="283" t="str">
        <f>IF(Table122[[#This Row],[Sat]],Table122[[#Headers],[Sat]],"")</f>
        <v/>
      </c>
      <c r="N60" s="283" t="str">
        <f>IF(Table122[[#This Row],[Ve]],Table122[[#Headers],[Ve]],"")</f>
        <v>Ve</v>
      </c>
      <c r="O60" s="283" t="str">
        <f>IF(Table122[[#This Row],[Ju]],Table122[[#Headers],[Ju]],"")</f>
        <v>Ju</v>
      </c>
      <c r="P60" s="283" t="str">
        <f>IF(Table122[[#This Row],[Me]],Table122[[#Headers],[Me]],"")</f>
        <v>Me</v>
      </c>
      <c r="Q60" s="283" t="str">
        <f>IF(Table122[[#This Row],[Ma]],Table122[[#Headers],[Ma]],"")</f>
        <v/>
      </c>
      <c r="R60" s="283" t="str">
        <f>IF(Table122[[#This Row],[Mo]],Table122[[#Headers],[Mo]],"")</f>
        <v>Mo</v>
      </c>
      <c r="S60" s="283" t="str">
        <f>IF(Table122[[#This Row],[Su]],Table122[[#Headers],[Su]],"")</f>
        <v>Su</v>
      </c>
    </row>
    <row r="61" spans="1:19" hidden="1">
      <c r="A61" s="286">
        <v>60</v>
      </c>
      <c r="B61" s="284">
        <f t="shared" si="7"/>
        <v>0</v>
      </c>
      <c r="C61" s="284">
        <f t="shared" si="8"/>
        <v>1</v>
      </c>
      <c r="D61" s="284">
        <f t="shared" si="9"/>
        <v>1</v>
      </c>
      <c r="E61" s="284">
        <f t="shared" si="10"/>
        <v>1</v>
      </c>
      <c r="F61" s="284">
        <f t="shared" si="11"/>
        <v>1</v>
      </c>
      <c r="G61" s="284">
        <f t="shared" si="12"/>
        <v>0</v>
      </c>
      <c r="H61" s="284">
        <f t="shared" si="13"/>
        <v>0</v>
      </c>
      <c r="I61" s="287">
        <f>SUM(Table122[[#This Row],[Sat]:[Su]])</f>
        <v>4</v>
      </c>
      <c r="L61" s="283" t="str">
        <f>Table122[[#This Row],[Sat2]]&amp;" "&amp;Table122[[#This Row],[Column2]]&amp;" "&amp;Table122[[#This Row],[Column3]]&amp;" "&amp;Table122[[#This Row],[Column4]]&amp;" "&amp;Table122[[#This Row],[Column5]]&amp;" "&amp;Table122[[#This Row],[Column6]]&amp;" "&amp;Table122[[#This Row],[Column7]]</f>
        <v xml:space="preserve"> Ve Ju Me Ma  </v>
      </c>
      <c r="M61" s="283" t="str">
        <f>IF(Table122[[#This Row],[Sat]],Table122[[#Headers],[Sat]],"")</f>
        <v/>
      </c>
      <c r="N61" s="283" t="str">
        <f>IF(Table122[[#This Row],[Ve]],Table122[[#Headers],[Ve]],"")</f>
        <v>Ve</v>
      </c>
      <c r="O61" s="283" t="str">
        <f>IF(Table122[[#This Row],[Ju]],Table122[[#Headers],[Ju]],"")</f>
        <v>Ju</v>
      </c>
      <c r="P61" s="283" t="str">
        <f>IF(Table122[[#This Row],[Me]],Table122[[#Headers],[Me]],"")</f>
        <v>Me</v>
      </c>
      <c r="Q61" s="283" t="str">
        <f>IF(Table122[[#This Row],[Ma]],Table122[[#Headers],[Ma]],"")</f>
        <v>Ma</v>
      </c>
      <c r="R61" s="283" t="str">
        <f>IF(Table122[[#This Row],[Mo]],Table122[[#Headers],[Mo]],"")</f>
        <v/>
      </c>
      <c r="S61" s="283" t="str">
        <f>IF(Table122[[#This Row],[Su]],Table122[[#Headers],[Su]],"")</f>
        <v/>
      </c>
    </row>
    <row r="62" spans="1:19" hidden="1">
      <c r="A62" s="286">
        <v>61</v>
      </c>
      <c r="B62" s="284">
        <f t="shared" si="7"/>
        <v>0</v>
      </c>
      <c r="C62" s="284">
        <f t="shared" si="8"/>
        <v>1</v>
      </c>
      <c r="D62" s="284">
        <f t="shared" si="9"/>
        <v>1</v>
      </c>
      <c r="E62" s="284">
        <f t="shared" si="10"/>
        <v>1</v>
      </c>
      <c r="F62" s="284">
        <f t="shared" si="11"/>
        <v>1</v>
      </c>
      <c r="G62" s="284">
        <f t="shared" si="12"/>
        <v>0</v>
      </c>
      <c r="H62" s="284">
        <f t="shared" si="13"/>
        <v>1</v>
      </c>
      <c r="I62" s="287">
        <f>SUM(Table122[[#This Row],[Sat]:[Su]])</f>
        <v>5</v>
      </c>
      <c r="L62" s="283" t="str">
        <f>Table122[[#This Row],[Sat2]]&amp;" "&amp;Table122[[#This Row],[Column2]]&amp;" "&amp;Table122[[#This Row],[Column3]]&amp;" "&amp;Table122[[#This Row],[Column4]]&amp;" "&amp;Table122[[#This Row],[Column5]]&amp;" "&amp;Table122[[#This Row],[Column6]]&amp;" "&amp;Table122[[#This Row],[Column7]]</f>
        <v xml:space="preserve"> Ve Ju Me Ma  Su</v>
      </c>
      <c r="M62" s="283" t="str">
        <f>IF(Table122[[#This Row],[Sat]],Table122[[#Headers],[Sat]],"")</f>
        <v/>
      </c>
      <c r="N62" s="283" t="str">
        <f>IF(Table122[[#This Row],[Ve]],Table122[[#Headers],[Ve]],"")</f>
        <v>Ve</v>
      </c>
      <c r="O62" s="283" t="str">
        <f>IF(Table122[[#This Row],[Ju]],Table122[[#Headers],[Ju]],"")</f>
        <v>Ju</v>
      </c>
      <c r="P62" s="283" t="str">
        <f>IF(Table122[[#This Row],[Me]],Table122[[#Headers],[Me]],"")</f>
        <v>Me</v>
      </c>
      <c r="Q62" s="283" t="str">
        <f>IF(Table122[[#This Row],[Ma]],Table122[[#Headers],[Ma]],"")</f>
        <v>Ma</v>
      </c>
      <c r="R62" s="283" t="str">
        <f>IF(Table122[[#This Row],[Mo]],Table122[[#Headers],[Mo]],"")</f>
        <v/>
      </c>
      <c r="S62" s="283" t="str">
        <f>IF(Table122[[#This Row],[Su]],Table122[[#Headers],[Su]],"")</f>
        <v>Su</v>
      </c>
    </row>
    <row r="63" spans="1:19" hidden="1">
      <c r="A63" s="286">
        <v>62</v>
      </c>
      <c r="B63" s="284">
        <f t="shared" si="7"/>
        <v>0</v>
      </c>
      <c r="C63" s="284">
        <f t="shared" si="8"/>
        <v>1</v>
      </c>
      <c r="D63" s="284">
        <f t="shared" si="9"/>
        <v>1</v>
      </c>
      <c r="E63" s="284">
        <f t="shared" si="10"/>
        <v>1</v>
      </c>
      <c r="F63" s="284">
        <f t="shared" si="11"/>
        <v>1</v>
      </c>
      <c r="G63" s="284">
        <f t="shared" si="12"/>
        <v>1</v>
      </c>
      <c r="H63" s="284">
        <f t="shared" si="13"/>
        <v>0</v>
      </c>
      <c r="I63" s="287">
        <f>SUM(Table122[[#This Row],[Sat]:[Su]])</f>
        <v>5</v>
      </c>
      <c r="J63" s="283" t="s">
        <v>509</v>
      </c>
      <c r="K63" s="283" t="s">
        <v>510</v>
      </c>
      <c r="L63" s="283" t="str">
        <f>Table122[[#This Row],[Sat2]]&amp;" "&amp;Table122[[#This Row],[Column2]]&amp;" "&amp;Table122[[#This Row],[Column3]]&amp;" "&amp;Table122[[#This Row],[Column4]]&amp;" "&amp;Table122[[#This Row],[Column5]]&amp;" "&amp;Table122[[#This Row],[Column6]]&amp;" "&amp;Table122[[#This Row],[Column7]]</f>
        <v xml:space="preserve"> Ve Ju Me Ma Mo </v>
      </c>
      <c r="M63" s="283" t="str">
        <f>IF(Table122[[#This Row],[Sat]],Table122[[#Headers],[Sat]],"")</f>
        <v/>
      </c>
      <c r="N63" s="283" t="str">
        <f>IF(Table122[[#This Row],[Ve]],Table122[[#Headers],[Ve]],"")</f>
        <v>Ve</v>
      </c>
      <c r="O63" s="283" t="str">
        <f>IF(Table122[[#This Row],[Ju]],Table122[[#Headers],[Ju]],"")</f>
        <v>Ju</v>
      </c>
      <c r="P63" s="283" t="str">
        <f>IF(Table122[[#This Row],[Me]],Table122[[#Headers],[Me]],"")</f>
        <v>Me</v>
      </c>
      <c r="Q63" s="283" t="str">
        <f>IF(Table122[[#This Row],[Ma]],Table122[[#Headers],[Ma]],"")</f>
        <v>Ma</v>
      </c>
      <c r="R63" s="283" t="str">
        <f>IF(Table122[[#This Row],[Mo]],Table122[[#Headers],[Mo]],"")</f>
        <v>Mo</v>
      </c>
      <c r="S63" s="283" t="str">
        <f>IF(Table122[[#This Row],[Su]],Table122[[#Headers],[Su]],"")</f>
        <v/>
      </c>
    </row>
    <row r="64" spans="1:19" hidden="1">
      <c r="A64" s="286">
        <v>63</v>
      </c>
      <c r="B64" s="284">
        <f t="shared" si="7"/>
        <v>0</v>
      </c>
      <c r="C64" s="284">
        <f t="shared" si="8"/>
        <v>1</v>
      </c>
      <c r="D64" s="284">
        <f t="shared" si="9"/>
        <v>1</v>
      </c>
      <c r="E64" s="284">
        <f t="shared" si="10"/>
        <v>1</v>
      </c>
      <c r="F64" s="284">
        <f t="shared" si="11"/>
        <v>1</v>
      </c>
      <c r="G64" s="284">
        <f t="shared" si="12"/>
        <v>1</v>
      </c>
      <c r="H64" s="284">
        <f t="shared" si="13"/>
        <v>1</v>
      </c>
      <c r="I64" s="287">
        <f>SUM(Table122[[#This Row],[Sat]:[Su]])</f>
        <v>6</v>
      </c>
      <c r="J64" s="283" t="s">
        <v>511</v>
      </c>
      <c r="K64" s="283" t="s">
        <v>512</v>
      </c>
      <c r="L64" s="283" t="str">
        <f>Table122[[#This Row],[Sat2]]&amp;" "&amp;Table122[[#This Row],[Column2]]&amp;" "&amp;Table122[[#This Row],[Column3]]&amp;" "&amp;Table122[[#This Row],[Column4]]&amp;" "&amp;Table122[[#This Row],[Column5]]&amp;" "&amp;Table122[[#This Row],[Column6]]&amp;" "&amp;Table122[[#This Row],[Column7]]</f>
        <v xml:space="preserve"> Ve Ju Me Ma Mo Su</v>
      </c>
      <c r="M64" s="283" t="str">
        <f>IF(Table122[[#This Row],[Sat]],Table122[[#Headers],[Sat]],"")</f>
        <v/>
      </c>
      <c r="N64" s="283" t="str">
        <f>IF(Table122[[#This Row],[Ve]],Table122[[#Headers],[Ve]],"")</f>
        <v>Ve</v>
      </c>
      <c r="O64" s="283" t="str">
        <f>IF(Table122[[#This Row],[Ju]],Table122[[#Headers],[Ju]],"")</f>
        <v>Ju</v>
      </c>
      <c r="P64" s="283" t="str">
        <f>IF(Table122[[#This Row],[Me]],Table122[[#Headers],[Me]],"")</f>
        <v>Me</v>
      </c>
      <c r="Q64" s="283" t="str">
        <f>IF(Table122[[#This Row],[Ma]],Table122[[#Headers],[Ma]],"")</f>
        <v>Ma</v>
      </c>
      <c r="R64" s="283" t="str">
        <f>IF(Table122[[#This Row],[Mo]],Table122[[#Headers],[Mo]],"")</f>
        <v>Mo</v>
      </c>
      <c r="S64" s="283" t="str">
        <f>IF(Table122[[#This Row],[Su]],Table122[[#Headers],[Su]],"")</f>
        <v>Su</v>
      </c>
    </row>
    <row r="65" spans="1:19" hidden="1">
      <c r="A65" s="286">
        <v>64</v>
      </c>
      <c r="B65" s="284">
        <f t="shared" si="7"/>
        <v>1</v>
      </c>
      <c r="C65" s="284">
        <f t="shared" si="8"/>
        <v>0</v>
      </c>
      <c r="D65" s="284">
        <f t="shared" si="9"/>
        <v>0</v>
      </c>
      <c r="E65" s="284">
        <f t="shared" si="10"/>
        <v>0</v>
      </c>
      <c r="F65" s="284">
        <f t="shared" si="11"/>
        <v>0</v>
      </c>
      <c r="G65" s="284">
        <f t="shared" si="12"/>
        <v>0</v>
      </c>
      <c r="H65" s="284">
        <f t="shared" si="13"/>
        <v>0</v>
      </c>
      <c r="I65" s="287">
        <f>SUM(Table122[[#This Row],[Sat]:[Su]])</f>
        <v>1</v>
      </c>
      <c r="L65" s="283" t="str">
        <f>Table122[[#This Row],[Sat2]]&amp;" "&amp;Table122[[#This Row],[Column2]]&amp;" "&amp;Table122[[#This Row],[Column3]]&amp;" "&amp;Table122[[#This Row],[Column4]]&amp;" "&amp;Table122[[#This Row],[Column5]]&amp;" "&amp;Table122[[#This Row],[Column6]]&amp;" "&amp;Table122[[#This Row],[Column7]]</f>
        <v xml:space="preserve">Sat      </v>
      </c>
      <c r="M65" s="283" t="str">
        <f>IF(Table122[[#This Row],[Sat]],Table122[[#Headers],[Sat]],"")</f>
        <v>Sat</v>
      </c>
      <c r="N65" s="283" t="str">
        <f>IF(Table122[[#This Row],[Ve]],Table122[[#Headers],[Ve]],"")</f>
        <v/>
      </c>
      <c r="O65" s="283" t="str">
        <f>IF(Table122[[#This Row],[Ju]],Table122[[#Headers],[Ju]],"")</f>
        <v/>
      </c>
      <c r="P65" s="283" t="str">
        <f>IF(Table122[[#This Row],[Me]],Table122[[#Headers],[Me]],"")</f>
        <v/>
      </c>
      <c r="Q65" s="283" t="str">
        <f>IF(Table122[[#This Row],[Ma]],Table122[[#Headers],[Ma]],"")</f>
        <v/>
      </c>
      <c r="R65" s="283" t="str">
        <f>IF(Table122[[#This Row],[Mo]],Table122[[#Headers],[Mo]],"")</f>
        <v/>
      </c>
      <c r="S65" s="283" t="str">
        <f>IF(Table122[[#This Row],[Su]],Table122[[#Headers],[Su]],"")</f>
        <v/>
      </c>
    </row>
    <row r="66" spans="1:19">
      <c r="A66" s="286">
        <v>65</v>
      </c>
      <c r="B66" s="284">
        <f t="shared" ref="B66:B97" si="14">MOD(INT($A66/64),2)</f>
        <v>1</v>
      </c>
      <c r="C66" s="284">
        <f t="shared" ref="C66:C97" si="15">MOD(INT($A66/32),2)</f>
        <v>0</v>
      </c>
      <c r="D66" s="284">
        <f t="shared" ref="D66:D97" si="16">MOD(INT($A66/16),2)</f>
        <v>0</v>
      </c>
      <c r="E66" s="284">
        <f t="shared" ref="E66:E97" si="17">MOD(INT($A66/8),2)</f>
        <v>0</v>
      </c>
      <c r="F66" s="284">
        <f t="shared" ref="F66:F97" si="18">MOD(INT($A66/4),2)</f>
        <v>0</v>
      </c>
      <c r="G66" s="284">
        <f t="shared" ref="G66:G97" si="19">MOD(INT($A66/2),2)</f>
        <v>0</v>
      </c>
      <c r="H66" s="284">
        <f t="shared" ref="H66:H97" si="20">MOD(A66,2)</f>
        <v>1</v>
      </c>
      <c r="I66" s="287">
        <f>SUM(Table122[[#This Row],[Sat]:[Su]])</f>
        <v>2</v>
      </c>
      <c r="J66" s="283" t="s">
        <v>513</v>
      </c>
      <c r="K66" s="283" t="s">
        <v>485</v>
      </c>
      <c r="L66" s="283" t="str">
        <f>Table122[[#This Row],[Sat2]]&amp;" "&amp;Table122[[#This Row],[Column2]]&amp;" "&amp;Table122[[#This Row],[Column3]]&amp;" "&amp;Table122[[#This Row],[Column4]]&amp;" "&amp;Table122[[#This Row],[Column5]]&amp;" "&amp;Table122[[#This Row],[Column6]]&amp;" "&amp;Table122[[#This Row],[Column7]]</f>
        <v>Sat      Su</v>
      </c>
      <c r="M66" s="283" t="str">
        <f>IF(Table122[[#This Row],[Sat]],Table122[[#Headers],[Sat]],"")</f>
        <v>Sat</v>
      </c>
      <c r="N66" s="283" t="str">
        <f>IF(Table122[[#This Row],[Ve]],Table122[[#Headers],[Ve]],"")</f>
        <v/>
      </c>
      <c r="O66" s="283" t="str">
        <f>IF(Table122[[#This Row],[Ju]],Table122[[#Headers],[Ju]],"")</f>
        <v/>
      </c>
      <c r="P66" s="283" t="str">
        <f>IF(Table122[[#This Row],[Me]],Table122[[#Headers],[Me]],"")</f>
        <v/>
      </c>
      <c r="Q66" s="283" t="str">
        <f>IF(Table122[[#This Row],[Ma]],Table122[[#Headers],[Ma]],"")</f>
        <v/>
      </c>
      <c r="R66" s="283" t="str">
        <f>IF(Table122[[#This Row],[Mo]],Table122[[#Headers],[Mo]],"")</f>
        <v/>
      </c>
      <c r="S66" s="283" t="str">
        <f>IF(Table122[[#This Row],[Su]],Table122[[#Headers],[Su]],"")</f>
        <v>Su</v>
      </c>
    </row>
    <row r="67" spans="1:19">
      <c r="A67" s="286">
        <v>66</v>
      </c>
      <c r="B67" s="284">
        <f t="shared" si="14"/>
        <v>1</v>
      </c>
      <c r="C67" s="284">
        <f t="shared" si="15"/>
        <v>0</v>
      </c>
      <c r="D67" s="284">
        <f t="shared" si="16"/>
        <v>0</v>
      </c>
      <c r="E67" s="284">
        <f t="shared" si="17"/>
        <v>0</v>
      </c>
      <c r="F67" s="284">
        <f t="shared" si="18"/>
        <v>0</v>
      </c>
      <c r="G67" s="284">
        <f t="shared" si="19"/>
        <v>1</v>
      </c>
      <c r="H67" s="284">
        <f t="shared" si="20"/>
        <v>0</v>
      </c>
      <c r="I67" s="287">
        <f>SUM(Table122[[#This Row],[Sat]:[Su]])</f>
        <v>2</v>
      </c>
      <c r="J67" s="283" t="s">
        <v>514</v>
      </c>
      <c r="K67" s="283" t="s">
        <v>494</v>
      </c>
      <c r="L67" s="283" t="str">
        <f>Table122[[#This Row],[Sat2]]&amp;" "&amp;Table122[[#This Row],[Column2]]&amp;" "&amp;Table122[[#This Row],[Column3]]&amp;" "&amp;Table122[[#This Row],[Column4]]&amp;" "&amp;Table122[[#This Row],[Column5]]&amp;" "&amp;Table122[[#This Row],[Column6]]&amp;" "&amp;Table122[[#This Row],[Column7]]</f>
        <v xml:space="preserve">Sat     Mo </v>
      </c>
      <c r="M67" s="283" t="str">
        <f>IF(Table122[[#This Row],[Sat]],Table122[[#Headers],[Sat]],"")</f>
        <v>Sat</v>
      </c>
      <c r="N67" s="283" t="str">
        <f>IF(Table122[[#This Row],[Ve]],Table122[[#Headers],[Ve]],"")</f>
        <v/>
      </c>
      <c r="O67" s="283" t="str">
        <f>IF(Table122[[#This Row],[Ju]],Table122[[#Headers],[Ju]],"")</f>
        <v/>
      </c>
      <c r="P67" s="283" t="str">
        <f>IF(Table122[[#This Row],[Me]],Table122[[#Headers],[Me]],"")</f>
        <v/>
      </c>
      <c r="Q67" s="283" t="str">
        <f>IF(Table122[[#This Row],[Ma]],Table122[[#Headers],[Ma]],"")</f>
        <v/>
      </c>
      <c r="R67" s="283" t="str">
        <f>IF(Table122[[#This Row],[Mo]],Table122[[#Headers],[Mo]],"")</f>
        <v>Mo</v>
      </c>
      <c r="S67" s="283" t="str">
        <f>IF(Table122[[#This Row],[Su]],Table122[[#Headers],[Su]],"")</f>
        <v/>
      </c>
    </row>
    <row r="68" spans="1:19" hidden="1">
      <c r="A68" s="286">
        <v>67</v>
      </c>
      <c r="B68" s="284">
        <f t="shared" si="14"/>
        <v>1</v>
      </c>
      <c r="C68" s="284">
        <f t="shared" si="15"/>
        <v>0</v>
      </c>
      <c r="D68" s="284">
        <f t="shared" si="16"/>
        <v>0</v>
      </c>
      <c r="E68" s="284">
        <f t="shared" si="17"/>
        <v>0</v>
      </c>
      <c r="F68" s="284">
        <f t="shared" si="18"/>
        <v>0</v>
      </c>
      <c r="G68" s="284">
        <f t="shared" si="19"/>
        <v>1</v>
      </c>
      <c r="H68" s="284">
        <f t="shared" si="20"/>
        <v>1</v>
      </c>
      <c r="I68" s="287">
        <f>SUM(Table122[[#This Row],[Sat]:[Su]])</f>
        <v>3</v>
      </c>
      <c r="L68" s="283" t="str">
        <f>Table122[[#This Row],[Sat2]]&amp;" "&amp;Table122[[#This Row],[Column2]]&amp;" "&amp;Table122[[#This Row],[Column3]]&amp;" "&amp;Table122[[#This Row],[Column4]]&amp;" "&amp;Table122[[#This Row],[Column5]]&amp;" "&amp;Table122[[#This Row],[Column6]]&amp;" "&amp;Table122[[#This Row],[Column7]]</f>
        <v>Sat     Mo Su</v>
      </c>
      <c r="M68" s="283" t="str">
        <f>IF(Table122[[#This Row],[Sat]],Table122[[#Headers],[Sat]],"")</f>
        <v>Sat</v>
      </c>
      <c r="N68" s="283" t="str">
        <f>IF(Table122[[#This Row],[Ve]],Table122[[#Headers],[Ve]],"")</f>
        <v/>
      </c>
      <c r="O68" s="283" t="str">
        <f>IF(Table122[[#This Row],[Ju]],Table122[[#Headers],[Ju]],"")</f>
        <v/>
      </c>
      <c r="P68" s="283" t="str">
        <f>IF(Table122[[#This Row],[Me]],Table122[[#Headers],[Me]],"")</f>
        <v/>
      </c>
      <c r="Q68" s="283" t="str">
        <f>IF(Table122[[#This Row],[Ma]],Table122[[#Headers],[Ma]],"")</f>
        <v/>
      </c>
      <c r="R68" s="283" t="str">
        <f>IF(Table122[[#This Row],[Mo]],Table122[[#Headers],[Mo]],"")</f>
        <v>Mo</v>
      </c>
      <c r="S68" s="283" t="str">
        <f>IF(Table122[[#This Row],[Su]],Table122[[#Headers],[Su]],"")</f>
        <v>Su</v>
      </c>
    </row>
    <row r="69" spans="1:19">
      <c r="A69" s="286">
        <v>68</v>
      </c>
      <c r="B69" s="284">
        <f t="shared" si="14"/>
        <v>1</v>
      </c>
      <c r="C69" s="284">
        <f t="shared" si="15"/>
        <v>0</v>
      </c>
      <c r="D69" s="284">
        <f t="shared" si="16"/>
        <v>0</v>
      </c>
      <c r="E69" s="284">
        <f t="shared" si="17"/>
        <v>0</v>
      </c>
      <c r="F69" s="284">
        <f t="shared" si="18"/>
        <v>1</v>
      </c>
      <c r="G69" s="284">
        <f t="shared" si="19"/>
        <v>0</v>
      </c>
      <c r="H69" s="284">
        <f t="shared" si="20"/>
        <v>0</v>
      </c>
      <c r="I69" s="287">
        <f>SUM(Table122[[#This Row],[Sat]:[Su]])</f>
        <v>2</v>
      </c>
      <c r="L69" s="283" t="str">
        <f>Table122[[#This Row],[Sat2]]&amp;" "&amp;Table122[[#This Row],[Column2]]&amp;" "&amp;Table122[[#This Row],[Column3]]&amp;" "&amp;Table122[[#This Row],[Column4]]&amp;" "&amp;Table122[[#This Row],[Column5]]&amp;" "&amp;Table122[[#This Row],[Column6]]&amp;" "&amp;Table122[[#This Row],[Column7]]</f>
        <v xml:space="preserve">Sat    Ma  </v>
      </c>
      <c r="M69" s="283" t="str">
        <f>IF(Table122[[#This Row],[Sat]],Table122[[#Headers],[Sat]],"")</f>
        <v>Sat</v>
      </c>
      <c r="N69" s="283" t="str">
        <f>IF(Table122[[#This Row],[Ve]],Table122[[#Headers],[Ve]],"")</f>
        <v/>
      </c>
      <c r="O69" s="283" t="str">
        <f>IF(Table122[[#This Row],[Ju]],Table122[[#Headers],[Ju]],"")</f>
        <v/>
      </c>
      <c r="P69" s="283" t="str">
        <f>IF(Table122[[#This Row],[Me]],Table122[[#Headers],[Me]],"")</f>
        <v/>
      </c>
      <c r="Q69" s="283" t="str">
        <f>IF(Table122[[#This Row],[Ma]],Table122[[#Headers],[Ma]],"")</f>
        <v>Ma</v>
      </c>
      <c r="R69" s="283" t="str">
        <f>IF(Table122[[#This Row],[Mo]],Table122[[#Headers],[Mo]],"")</f>
        <v/>
      </c>
      <c r="S69" s="283" t="str">
        <f>IF(Table122[[#This Row],[Su]],Table122[[#Headers],[Su]],"")</f>
        <v/>
      </c>
    </row>
    <row r="70" spans="1:19" hidden="1">
      <c r="A70" s="286">
        <v>69</v>
      </c>
      <c r="B70" s="284">
        <f t="shared" si="14"/>
        <v>1</v>
      </c>
      <c r="C70" s="284">
        <f t="shared" si="15"/>
        <v>0</v>
      </c>
      <c r="D70" s="284">
        <f t="shared" si="16"/>
        <v>0</v>
      </c>
      <c r="E70" s="284">
        <f t="shared" si="17"/>
        <v>0</v>
      </c>
      <c r="F70" s="284">
        <f t="shared" si="18"/>
        <v>1</v>
      </c>
      <c r="G70" s="284">
        <f t="shared" si="19"/>
        <v>0</v>
      </c>
      <c r="H70" s="284">
        <f t="shared" si="20"/>
        <v>1</v>
      </c>
      <c r="I70" s="287">
        <f>SUM(Table122[[#This Row],[Sat]:[Su]])</f>
        <v>3</v>
      </c>
      <c r="L70" s="283" t="str">
        <f>Table122[[#This Row],[Sat2]]&amp;" "&amp;Table122[[#This Row],[Column2]]&amp;" "&amp;Table122[[#This Row],[Column3]]&amp;" "&amp;Table122[[#This Row],[Column4]]&amp;" "&amp;Table122[[#This Row],[Column5]]&amp;" "&amp;Table122[[#This Row],[Column6]]&amp;" "&amp;Table122[[#This Row],[Column7]]</f>
        <v>Sat    Ma  Su</v>
      </c>
      <c r="M70" s="283" t="str">
        <f>IF(Table122[[#This Row],[Sat]],Table122[[#Headers],[Sat]],"")</f>
        <v>Sat</v>
      </c>
      <c r="N70" s="283" t="str">
        <f>IF(Table122[[#This Row],[Ve]],Table122[[#Headers],[Ve]],"")</f>
        <v/>
      </c>
      <c r="O70" s="283" t="str">
        <f>IF(Table122[[#This Row],[Ju]],Table122[[#Headers],[Ju]],"")</f>
        <v/>
      </c>
      <c r="P70" s="283" t="str">
        <f>IF(Table122[[#This Row],[Me]],Table122[[#Headers],[Me]],"")</f>
        <v/>
      </c>
      <c r="Q70" s="283" t="str">
        <f>IF(Table122[[#This Row],[Ma]],Table122[[#Headers],[Ma]],"")</f>
        <v>Ma</v>
      </c>
      <c r="R70" s="283" t="str">
        <f>IF(Table122[[#This Row],[Mo]],Table122[[#Headers],[Mo]],"")</f>
        <v/>
      </c>
      <c r="S70" s="283" t="str">
        <f>IF(Table122[[#This Row],[Su]],Table122[[#Headers],[Su]],"")</f>
        <v>Su</v>
      </c>
    </row>
    <row r="71" spans="1:19" hidden="1">
      <c r="A71" s="286">
        <v>70</v>
      </c>
      <c r="B71" s="284">
        <f t="shared" si="14"/>
        <v>1</v>
      </c>
      <c r="C71" s="284">
        <f t="shared" si="15"/>
        <v>0</v>
      </c>
      <c r="D71" s="284">
        <f t="shared" si="16"/>
        <v>0</v>
      </c>
      <c r="E71" s="284">
        <f t="shared" si="17"/>
        <v>0</v>
      </c>
      <c r="F71" s="284">
        <f t="shared" si="18"/>
        <v>1</v>
      </c>
      <c r="G71" s="284">
        <f t="shared" si="19"/>
        <v>1</v>
      </c>
      <c r="H71" s="284">
        <f t="shared" si="20"/>
        <v>0</v>
      </c>
      <c r="I71" s="287">
        <f>SUM(Table122[[#This Row],[Sat]:[Su]])</f>
        <v>3</v>
      </c>
      <c r="L71" s="283" t="str">
        <f>Table122[[#This Row],[Sat2]]&amp;" "&amp;Table122[[#This Row],[Column2]]&amp;" "&amp;Table122[[#This Row],[Column3]]&amp;" "&amp;Table122[[#This Row],[Column4]]&amp;" "&amp;Table122[[#This Row],[Column5]]&amp;" "&amp;Table122[[#This Row],[Column6]]&amp;" "&amp;Table122[[#This Row],[Column7]]</f>
        <v xml:space="preserve">Sat    Ma Mo </v>
      </c>
      <c r="M71" s="283" t="str">
        <f>IF(Table122[[#This Row],[Sat]],Table122[[#Headers],[Sat]],"")</f>
        <v>Sat</v>
      </c>
      <c r="N71" s="283" t="str">
        <f>IF(Table122[[#This Row],[Ve]],Table122[[#Headers],[Ve]],"")</f>
        <v/>
      </c>
      <c r="O71" s="283" t="str">
        <f>IF(Table122[[#This Row],[Ju]],Table122[[#Headers],[Ju]],"")</f>
        <v/>
      </c>
      <c r="P71" s="283" t="str">
        <f>IF(Table122[[#This Row],[Me]],Table122[[#Headers],[Me]],"")</f>
        <v/>
      </c>
      <c r="Q71" s="283" t="str">
        <f>IF(Table122[[#This Row],[Ma]],Table122[[#Headers],[Ma]],"")</f>
        <v>Ma</v>
      </c>
      <c r="R71" s="283" t="str">
        <f>IF(Table122[[#This Row],[Mo]],Table122[[#Headers],[Mo]],"")</f>
        <v>Mo</v>
      </c>
      <c r="S71" s="283" t="str">
        <f>IF(Table122[[#This Row],[Su]],Table122[[#Headers],[Su]],"")</f>
        <v/>
      </c>
    </row>
    <row r="72" spans="1:19" hidden="1">
      <c r="A72" s="286">
        <v>71</v>
      </c>
      <c r="B72" s="284">
        <f t="shared" si="14"/>
        <v>1</v>
      </c>
      <c r="C72" s="284">
        <f t="shared" si="15"/>
        <v>0</v>
      </c>
      <c r="D72" s="284">
        <f t="shared" si="16"/>
        <v>0</v>
      </c>
      <c r="E72" s="284">
        <f t="shared" si="17"/>
        <v>0</v>
      </c>
      <c r="F72" s="284">
        <f t="shared" si="18"/>
        <v>1</v>
      </c>
      <c r="G72" s="284">
        <f t="shared" si="19"/>
        <v>1</v>
      </c>
      <c r="H72" s="284">
        <f t="shared" si="20"/>
        <v>1</v>
      </c>
      <c r="I72" s="287">
        <f>SUM(Table122[[#This Row],[Sat]:[Su]])</f>
        <v>4</v>
      </c>
      <c r="L72" s="283" t="str">
        <f>Table122[[#This Row],[Sat2]]&amp;" "&amp;Table122[[#This Row],[Column2]]&amp;" "&amp;Table122[[#This Row],[Column3]]&amp;" "&amp;Table122[[#This Row],[Column4]]&amp;" "&amp;Table122[[#This Row],[Column5]]&amp;" "&amp;Table122[[#This Row],[Column6]]&amp;" "&amp;Table122[[#This Row],[Column7]]</f>
        <v>Sat    Ma Mo Su</v>
      </c>
      <c r="M72" s="283" t="str">
        <f>IF(Table122[[#This Row],[Sat]],Table122[[#Headers],[Sat]],"")</f>
        <v>Sat</v>
      </c>
      <c r="N72" s="283" t="str">
        <f>IF(Table122[[#This Row],[Ve]],Table122[[#Headers],[Ve]],"")</f>
        <v/>
      </c>
      <c r="O72" s="283" t="str">
        <f>IF(Table122[[#This Row],[Ju]],Table122[[#Headers],[Ju]],"")</f>
        <v/>
      </c>
      <c r="P72" s="283" t="str">
        <f>IF(Table122[[#This Row],[Me]],Table122[[#Headers],[Me]],"")</f>
        <v/>
      </c>
      <c r="Q72" s="283" t="str">
        <f>IF(Table122[[#This Row],[Ma]],Table122[[#Headers],[Ma]],"")</f>
        <v>Ma</v>
      </c>
      <c r="R72" s="283" t="str">
        <f>IF(Table122[[#This Row],[Mo]],Table122[[#Headers],[Mo]],"")</f>
        <v>Mo</v>
      </c>
      <c r="S72" s="283" t="str">
        <f>IF(Table122[[#This Row],[Su]],Table122[[#Headers],[Su]],"")</f>
        <v>Su</v>
      </c>
    </row>
    <row r="73" spans="1:19">
      <c r="A73" s="286">
        <v>72</v>
      </c>
      <c r="B73" s="284">
        <f t="shared" si="14"/>
        <v>1</v>
      </c>
      <c r="C73" s="284">
        <f t="shared" si="15"/>
        <v>0</v>
      </c>
      <c r="D73" s="284">
        <f t="shared" si="16"/>
        <v>0</v>
      </c>
      <c r="E73" s="284">
        <f t="shared" si="17"/>
        <v>1</v>
      </c>
      <c r="F73" s="284">
        <f t="shared" si="18"/>
        <v>0</v>
      </c>
      <c r="G73" s="284">
        <f t="shared" si="19"/>
        <v>0</v>
      </c>
      <c r="H73" s="284">
        <f t="shared" si="20"/>
        <v>0</v>
      </c>
      <c r="I73" s="287">
        <f>SUM(Table122[[#This Row],[Sat]:[Su]])</f>
        <v>2</v>
      </c>
      <c r="L73" s="283" t="str">
        <f>Table122[[#This Row],[Sat2]]&amp;" "&amp;Table122[[#This Row],[Column2]]&amp;" "&amp;Table122[[#This Row],[Column3]]&amp;" "&amp;Table122[[#This Row],[Column4]]&amp;" "&amp;Table122[[#This Row],[Column5]]&amp;" "&amp;Table122[[#This Row],[Column6]]&amp;" "&amp;Table122[[#This Row],[Column7]]</f>
        <v xml:space="preserve">Sat   Me   </v>
      </c>
      <c r="M73" s="283" t="str">
        <f>IF(Table122[[#This Row],[Sat]],Table122[[#Headers],[Sat]],"")</f>
        <v>Sat</v>
      </c>
      <c r="N73" s="283" t="str">
        <f>IF(Table122[[#This Row],[Ve]],Table122[[#Headers],[Ve]],"")</f>
        <v/>
      </c>
      <c r="O73" s="283" t="str">
        <f>IF(Table122[[#This Row],[Ju]],Table122[[#Headers],[Ju]],"")</f>
        <v/>
      </c>
      <c r="P73" s="283" t="str">
        <f>IF(Table122[[#This Row],[Me]],Table122[[#Headers],[Me]],"")</f>
        <v>Me</v>
      </c>
      <c r="Q73" s="283" t="str">
        <f>IF(Table122[[#This Row],[Ma]],Table122[[#Headers],[Ma]],"")</f>
        <v/>
      </c>
      <c r="R73" s="283" t="str">
        <f>IF(Table122[[#This Row],[Mo]],Table122[[#Headers],[Mo]],"")</f>
        <v/>
      </c>
      <c r="S73" s="283" t="str">
        <f>IF(Table122[[#This Row],[Su]],Table122[[#Headers],[Su]],"")</f>
        <v/>
      </c>
    </row>
    <row r="74" spans="1:19" hidden="1">
      <c r="A74" s="286">
        <v>73</v>
      </c>
      <c r="B74" s="284">
        <f t="shared" si="14"/>
        <v>1</v>
      </c>
      <c r="C74" s="284">
        <f t="shared" si="15"/>
        <v>0</v>
      </c>
      <c r="D74" s="284">
        <f t="shared" si="16"/>
        <v>0</v>
      </c>
      <c r="E74" s="284">
        <f t="shared" si="17"/>
        <v>1</v>
      </c>
      <c r="F74" s="284">
        <f t="shared" si="18"/>
        <v>0</v>
      </c>
      <c r="G74" s="284">
        <f t="shared" si="19"/>
        <v>0</v>
      </c>
      <c r="H74" s="284">
        <f t="shared" si="20"/>
        <v>1</v>
      </c>
      <c r="I74" s="287">
        <f>SUM(Table122[[#This Row],[Sat]:[Su]])</f>
        <v>3</v>
      </c>
      <c r="L74" s="283" t="str">
        <f>Table122[[#This Row],[Sat2]]&amp;" "&amp;Table122[[#This Row],[Column2]]&amp;" "&amp;Table122[[#This Row],[Column3]]&amp;" "&amp;Table122[[#This Row],[Column4]]&amp;" "&amp;Table122[[#This Row],[Column5]]&amp;" "&amp;Table122[[#This Row],[Column6]]&amp;" "&amp;Table122[[#This Row],[Column7]]</f>
        <v>Sat   Me   Su</v>
      </c>
      <c r="M74" s="283" t="str">
        <f>IF(Table122[[#This Row],[Sat]],Table122[[#Headers],[Sat]],"")</f>
        <v>Sat</v>
      </c>
      <c r="N74" s="283" t="str">
        <f>IF(Table122[[#This Row],[Ve]],Table122[[#Headers],[Ve]],"")</f>
        <v/>
      </c>
      <c r="O74" s="283" t="str">
        <f>IF(Table122[[#This Row],[Ju]],Table122[[#Headers],[Ju]],"")</f>
        <v/>
      </c>
      <c r="P74" s="283" t="str">
        <f>IF(Table122[[#This Row],[Me]],Table122[[#Headers],[Me]],"")</f>
        <v>Me</v>
      </c>
      <c r="Q74" s="283" t="str">
        <f>IF(Table122[[#This Row],[Ma]],Table122[[#Headers],[Ma]],"")</f>
        <v/>
      </c>
      <c r="R74" s="283" t="str">
        <f>IF(Table122[[#This Row],[Mo]],Table122[[#Headers],[Mo]],"")</f>
        <v/>
      </c>
      <c r="S74" s="283" t="str">
        <f>IF(Table122[[#This Row],[Su]],Table122[[#Headers],[Su]],"")</f>
        <v>Su</v>
      </c>
    </row>
    <row r="75" spans="1:19" hidden="1">
      <c r="A75" s="286">
        <v>74</v>
      </c>
      <c r="B75" s="284">
        <f t="shared" si="14"/>
        <v>1</v>
      </c>
      <c r="C75" s="284">
        <f t="shared" si="15"/>
        <v>0</v>
      </c>
      <c r="D75" s="284">
        <f t="shared" si="16"/>
        <v>0</v>
      </c>
      <c r="E75" s="284">
        <f t="shared" si="17"/>
        <v>1</v>
      </c>
      <c r="F75" s="284">
        <f t="shared" si="18"/>
        <v>0</v>
      </c>
      <c r="G75" s="284">
        <f t="shared" si="19"/>
        <v>1</v>
      </c>
      <c r="H75" s="284">
        <f t="shared" si="20"/>
        <v>0</v>
      </c>
      <c r="I75" s="287">
        <f>SUM(Table122[[#This Row],[Sat]:[Su]])</f>
        <v>3</v>
      </c>
      <c r="L75" s="283" t="str">
        <f>Table122[[#This Row],[Sat2]]&amp;" "&amp;Table122[[#This Row],[Column2]]&amp;" "&amp;Table122[[#This Row],[Column3]]&amp;" "&amp;Table122[[#This Row],[Column4]]&amp;" "&amp;Table122[[#This Row],[Column5]]&amp;" "&amp;Table122[[#This Row],[Column6]]&amp;" "&amp;Table122[[#This Row],[Column7]]</f>
        <v xml:space="preserve">Sat   Me  Mo </v>
      </c>
      <c r="M75" s="283" t="str">
        <f>IF(Table122[[#This Row],[Sat]],Table122[[#Headers],[Sat]],"")</f>
        <v>Sat</v>
      </c>
      <c r="N75" s="283" t="str">
        <f>IF(Table122[[#This Row],[Ve]],Table122[[#Headers],[Ve]],"")</f>
        <v/>
      </c>
      <c r="O75" s="283" t="str">
        <f>IF(Table122[[#This Row],[Ju]],Table122[[#Headers],[Ju]],"")</f>
        <v/>
      </c>
      <c r="P75" s="283" t="str">
        <f>IF(Table122[[#This Row],[Me]],Table122[[#Headers],[Me]],"")</f>
        <v>Me</v>
      </c>
      <c r="Q75" s="283" t="str">
        <f>IF(Table122[[#This Row],[Ma]],Table122[[#Headers],[Ma]],"")</f>
        <v/>
      </c>
      <c r="R75" s="283" t="str">
        <f>IF(Table122[[#This Row],[Mo]],Table122[[#Headers],[Mo]],"")</f>
        <v>Mo</v>
      </c>
      <c r="S75" s="283" t="str">
        <f>IF(Table122[[#This Row],[Su]],Table122[[#Headers],[Su]],"")</f>
        <v/>
      </c>
    </row>
    <row r="76" spans="1:19" hidden="1">
      <c r="A76" s="286">
        <v>75</v>
      </c>
      <c r="B76" s="284">
        <f t="shared" si="14"/>
        <v>1</v>
      </c>
      <c r="C76" s="284">
        <f t="shared" si="15"/>
        <v>0</v>
      </c>
      <c r="D76" s="284">
        <f t="shared" si="16"/>
        <v>0</v>
      </c>
      <c r="E76" s="284">
        <f t="shared" si="17"/>
        <v>1</v>
      </c>
      <c r="F76" s="284">
        <f t="shared" si="18"/>
        <v>0</v>
      </c>
      <c r="G76" s="284">
        <f t="shared" si="19"/>
        <v>1</v>
      </c>
      <c r="H76" s="284">
        <f t="shared" si="20"/>
        <v>1</v>
      </c>
      <c r="I76" s="287">
        <f>SUM(Table122[[#This Row],[Sat]:[Su]])</f>
        <v>4</v>
      </c>
      <c r="L76" s="283" t="str">
        <f>Table122[[#This Row],[Sat2]]&amp;" "&amp;Table122[[#This Row],[Column2]]&amp;" "&amp;Table122[[#This Row],[Column3]]&amp;" "&amp;Table122[[#This Row],[Column4]]&amp;" "&amp;Table122[[#This Row],[Column5]]&amp;" "&amp;Table122[[#This Row],[Column6]]&amp;" "&amp;Table122[[#This Row],[Column7]]</f>
        <v>Sat   Me  Mo Su</v>
      </c>
      <c r="M76" s="283" t="str">
        <f>IF(Table122[[#This Row],[Sat]],Table122[[#Headers],[Sat]],"")</f>
        <v>Sat</v>
      </c>
      <c r="N76" s="283" t="str">
        <f>IF(Table122[[#This Row],[Ve]],Table122[[#Headers],[Ve]],"")</f>
        <v/>
      </c>
      <c r="O76" s="283" t="str">
        <f>IF(Table122[[#This Row],[Ju]],Table122[[#Headers],[Ju]],"")</f>
        <v/>
      </c>
      <c r="P76" s="283" t="str">
        <f>IF(Table122[[#This Row],[Me]],Table122[[#Headers],[Me]],"")</f>
        <v>Me</v>
      </c>
      <c r="Q76" s="283" t="str">
        <f>IF(Table122[[#This Row],[Ma]],Table122[[#Headers],[Ma]],"")</f>
        <v/>
      </c>
      <c r="R76" s="283" t="str">
        <f>IF(Table122[[#This Row],[Mo]],Table122[[#Headers],[Mo]],"")</f>
        <v>Mo</v>
      </c>
      <c r="S76" s="283" t="str">
        <f>IF(Table122[[#This Row],[Su]],Table122[[#Headers],[Su]],"")</f>
        <v>Su</v>
      </c>
    </row>
    <row r="77" spans="1:19" hidden="1">
      <c r="A77" s="286">
        <v>76</v>
      </c>
      <c r="B77" s="284">
        <f t="shared" si="14"/>
        <v>1</v>
      </c>
      <c r="C77" s="284">
        <f t="shared" si="15"/>
        <v>0</v>
      </c>
      <c r="D77" s="284">
        <f t="shared" si="16"/>
        <v>0</v>
      </c>
      <c r="E77" s="284">
        <f t="shared" si="17"/>
        <v>1</v>
      </c>
      <c r="F77" s="284">
        <f t="shared" si="18"/>
        <v>1</v>
      </c>
      <c r="G77" s="284">
        <f t="shared" si="19"/>
        <v>0</v>
      </c>
      <c r="H77" s="284">
        <f t="shared" si="20"/>
        <v>0</v>
      </c>
      <c r="I77" s="287">
        <f>SUM(Table122[[#This Row],[Sat]:[Su]])</f>
        <v>3</v>
      </c>
      <c r="L77" s="283" t="str">
        <f>Table122[[#This Row],[Sat2]]&amp;" "&amp;Table122[[#This Row],[Column2]]&amp;" "&amp;Table122[[#This Row],[Column3]]&amp;" "&amp;Table122[[#This Row],[Column4]]&amp;" "&amp;Table122[[#This Row],[Column5]]&amp;" "&amp;Table122[[#This Row],[Column6]]&amp;" "&amp;Table122[[#This Row],[Column7]]</f>
        <v xml:space="preserve">Sat   Me Ma  </v>
      </c>
      <c r="M77" s="283" t="str">
        <f>IF(Table122[[#This Row],[Sat]],Table122[[#Headers],[Sat]],"")</f>
        <v>Sat</v>
      </c>
      <c r="N77" s="283" t="str">
        <f>IF(Table122[[#This Row],[Ve]],Table122[[#Headers],[Ve]],"")</f>
        <v/>
      </c>
      <c r="O77" s="283" t="str">
        <f>IF(Table122[[#This Row],[Ju]],Table122[[#Headers],[Ju]],"")</f>
        <v/>
      </c>
      <c r="P77" s="283" t="str">
        <f>IF(Table122[[#This Row],[Me]],Table122[[#Headers],[Me]],"")</f>
        <v>Me</v>
      </c>
      <c r="Q77" s="283" t="str">
        <f>IF(Table122[[#This Row],[Ma]],Table122[[#Headers],[Ma]],"")</f>
        <v>Ma</v>
      </c>
      <c r="R77" s="283" t="str">
        <f>IF(Table122[[#This Row],[Mo]],Table122[[#Headers],[Mo]],"")</f>
        <v/>
      </c>
      <c r="S77" s="283" t="str">
        <f>IF(Table122[[#This Row],[Su]],Table122[[#Headers],[Su]],"")</f>
        <v/>
      </c>
    </row>
    <row r="78" spans="1:19" hidden="1">
      <c r="A78" s="286">
        <v>77</v>
      </c>
      <c r="B78" s="284">
        <f t="shared" si="14"/>
        <v>1</v>
      </c>
      <c r="C78" s="284">
        <f t="shared" si="15"/>
        <v>0</v>
      </c>
      <c r="D78" s="284">
        <f t="shared" si="16"/>
        <v>0</v>
      </c>
      <c r="E78" s="284">
        <f t="shared" si="17"/>
        <v>1</v>
      </c>
      <c r="F78" s="284">
        <f t="shared" si="18"/>
        <v>1</v>
      </c>
      <c r="G78" s="284">
        <f t="shared" si="19"/>
        <v>0</v>
      </c>
      <c r="H78" s="284">
        <f t="shared" si="20"/>
        <v>1</v>
      </c>
      <c r="I78" s="287">
        <f>SUM(Table122[[#This Row],[Sat]:[Su]])</f>
        <v>4</v>
      </c>
      <c r="L78" s="283" t="str">
        <f>Table122[[#This Row],[Sat2]]&amp;" "&amp;Table122[[#This Row],[Column2]]&amp;" "&amp;Table122[[#This Row],[Column3]]&amp;" "&amp;Table122[[#This Row],[Column4]]&amp;" "&amp;Table122[[#This Row],[Column5]]&amp;" "&amp;Table122[[#This Row],[Column6]]&amp;" "&amp;Table122[[#This Row],[Column7]]</f>
        <v>Sat   Me Ma  Su</v>
      </c>
      <c r="M78" s="283" t="str">
        <f>IF(Table122[[#This Row],[Sat]],Table122[[#Headers],[Sat]],"")</f>
        <v>Sat</v>
      </c>
      <c r="N78" s="283" t="str">
        <f>IF(Table122[[#This Row],[Ve]],Table122[[#Headers],[Ve]],"")</f>
        <v/>
      </c>
      <c r="O78" s="283" t="str">
        <f>IF(Table122[[#This Row],[Ju]],Table122[[#Headers],[Ju]],"")</f>
        <v/>
      </c>
      <c r="P78" s="283" t="str">
        <f>IF(Table122[[#This Row],[Me]],Table122[[#Headers],[Me]],"")</f>
        <v>Me</v>
      </c>
      <c r="Q78" s="283" t="str">
        <f>IF(Table122[[#This Row],[Ma]],Table122[[#Headers],[Ma]],"")</f>
        <v>Ma</v>
      </c>
      <c r="R78" s="283" t="str">
        <f>IF(Table122[[#This Row],[Mo]],Table122[[#Headers],[Mo]],"")</f>
        <v/>
      </c>
      <c r="S78" s="283" t="str">
        <f>IF(Table122[[#This Row],[Su]],Table122[[#Headers],[Su]],"")</f>
        <v>Su</v>
      </c>
    </row>
    <row r="79" spans="1:19" hidden="1">
      <c r="A79" s="286">
        <v>78</v>
      </c>
      <c r="B79" s="284">
        <f t="shared" si="14"/>
        <v>1</v>
      </c>
      <c r="C79" s="284">
        <f t="shared" si="15"/>
        <v>0</v>
      </c>
      <c r="D79" s="284">
        <f t="shared" si="16"/>
        <v>0</v>
      </c>
      <c r="E79" s="284">
        <f t="shared" si="17"/>
        <v>1</v>
      </c>
      <c r="F79" s="284">
        <f t="shared" si="18"/>
        <v>1</v>
      </c>
      <c r="G79" s="284">
        <f t="shared" si="19"/>
        <v>1</v>
      </c>
      <c r="H79" s="284">
        <f t="shared" si="20"/>
        <v>0</v>
      </c>
      <c r="I79" s="287">
        <f>SUM(Table122[[#This Row],[Sat]:[Su]])</f>
        <v>4</v>
      </c>
      <c r="J79" s="283" t="s">
        <v>515</v>
      </c>
      <c r="K79" s="283" t="s">
        <v>516</v>
      </c>
      <c r="L79" s="283" t="str">
        <f>Table122[[#This Row],[Sat2]]&amp;" "&amp;Table122[[#This Row],[Column2]]&amp;" "&amp;Table122[[#This Row],[Column3]]&amp;" "&amp;Table122[[#This Row],[Column4]]&amp;" "&amp;Table122[[#This Row],[Column5]]&amp;" "&amp;Table122[[#This Row],[Column6]]&amp;" "&amp;Table122[[#This Row],[Column7]]</f>
        <v xml:space="preserve">Sat   Me Ma Mo </v>
      </c>
      <c r="M79" s="283" t="str">
        <f>IF(Table122[[#This Row],[Sat]],Table122[[#Headers],[Sat]],"")</f>
        <v>Sat</v>
      </c>
      <c r="N79" s="283" t="str">
        <f>IF(Table122[[#This Row],[Ve]],Table122[[#Headers],[Ve]],"")</f>
        <v/>
      </c>
      <c r="O79" s="283" t="str">
        <f>IF(Table122[[#This Row],[Ju]],Table122[[#Headers],[Ju]],"")</f>
        <v/>
      </c>
      <c r="P79" s="283" t="str">
        <f>IF(Table122[[#This Row],[Me]],Table122[[#Headers],[Me]],"")</f>
        <v>Me</v>
      </c>
      <c r="Q79" s="283" t="str">
        <f>IF(Table122[[#This Row],[Ma]],Table122[[#Headers],[Ma]],"")</f>
        <v>Ma</v>
      </c>
      <c r="R79" s="283" t="str">
        <f>IF(Table122[[#This Row],[Mo]],Table122[[#Headers],[Mo]],"")</f>
        <v>Mo</v>
      </c>
      <c r="S79" s="283" t="str">
        <f>IF(Table122[[#This Row],[Su]],Table122[[#Headers],[Su]],"")</f>
        <v/>
      </c>
    </row>
    <row r="80" spans="1:19" hidden="1">
      <c r="A80" s="286">
        <v>79</v>
      </c>
      <c r="B80" s="284">
        <f t="shared" si="14"/>
        <v>1</v>
      </c>
      <c r="C80" s="284">
        <f t="shared" si="15"/>
        <v>0</v>
      </c>
      <c r="D80" s="284">
        <f t="shared" si="16"/>
        <v>0</v>
      </c>
      <c r="E80" s="284">
        <f t="shared" si="17"/>
        <v>1</v>
      </c>
      <c r="F80" s="284">
        <f t="shared" si="18"/>
        <v>1</v>
      </c>
      <c r="G80" s="284">
        <f t="shared" si="19"/>
        <v>1</v>
      </c>
      <c r="H80" s="284">
        <f t="shared" si="20"/>
        <v>1</v>
      </c>
      <c r="I80" s="287">
        <f>SUM(Table122[[#This Row],[Sat]:[Su]])</f>
        <v>5</v>
      </c>
      <c r="J80" s="283" t="s">
        <v>517</v>
      </c>
      <c r="K80" s="283" t="s">
        <v>518</v>
      </c>
      <c r="L80" s="283" t="str">
        <f>Table122[[#This Row],[Sat2]]&amp;" "&amp;Table122[[#This Row],[Column2]]&amp;" "&amp;Table122[[#This Row],[Column3]]&amp;" "&amp;Table122[[#This Row],[Column4]]&amp;" "&amp;Table122[[#This Row],[Column5]]&amp;" "&amp;Table122[[#This Row],[Column6]]&amp;" "&amp;Table122[[#This Row],[Column7]]</f>
        <v>Sat   Me Ma Mo Su</v>
      </c>
      <c r="M80" s="283" t="str">
        <f>IF(Table122[[#This Row],[Sat]],Table122[[#Headers],[Sat]],"")</f>
        <v>Sat</v>
      </c>
      <c r="N80" s="283" t="str">
        <f>IF(Table122[[#This Row],[Ve]],Table122[[#Headers],[Ve]],"")</f>
        <v/>
      </c>
      <c r="O80" s="283" t="str">
        <f>IF(Table122[[#This Row],[Ju]],Table122[[#Headers],[Ju]],"")</f>
        <v/>
      </c>
      <c r="P80" s="283" t="str">
        <f>IF(Table122[[#This Row],[Me]],Table122[[#Headers],[Me]],"")</f>
        <v>Me</v>
      </c>
      <c r="Q80" s="283" t="str">
        <f>IF(Table122[[#This Row],[Ma]],Table122[[#Headers],[Ma]],"")</f>
        <v>Ma</v>
      </c>
      <c r="R80" s="283" t="str">
        <f>IF(Table122[[#This Row],[Mo]],Table122[[#Headers],[Mo]],"")</f>
        <v>Mo</v>
      </c>
      <c r="S80" s="283" t="str">
        <f>IF(Table122[[#This Row],[Su]],Table122[[#Headers],[Su]],"")</f>
        <v>Su</v>
      </c>
    </row>
    <row r="81" spans="1:19">
      <c r="A81" s="286">
        <v>80</v>
      </c>
      <c r="B81" s="284">
        <f t="shared" si="14"/>
        <v>1</v>
      </c>
      <c r="C81" s="284">
        <f t="shared" si="15"/>
        <v>0</v>
      </c>
      <c r="D81" s="284">
        <f t="shared" si="16"/>
        <v>1</v>
      </c>
      <c r="E81" s="284">
        <f t="shared" si="17"/>
        <v>0</v>
      </c>
      <c r="F81" s="284">
        <f t="shared" si="18"/>
        <v>0</v>
      </c>
      <c r="G81" s="284">
        <f t="shared" si="19"/>
        <v>0</v>
      </c>
      <c r="H81" s="284">
        <f t="shared" si="20"/>
        <v>0</v>
      </c>
      <c r="I81" s="287">
        <f>SUM(Table122[[#This Row],[Sat]:[Su]])</f>
        <v>2</v>
      </c>
      <c r="L81" s="283" t="str">
        <f>Table122[[#This Row],[Sat2]]&amp;" "&amp;Table122[[#This Row],[Column2]]&amp;" "&amp;Table122[[#This Row],[Column3]]&amp;" "&amp;Table122[[#This Row],[Column4]]&amp;" "&amp;Table122[[#This Row],[Column5]]&amp;" "&amp;Table122[[#This Row],[Column6]]&amp;" "&amp;Table122[[#This Row],[Column7]]</f>
        <v xml:space="preserve">Sat  Ju    </v>
      </c>
      <c r="M81" s="283" t="str">
        <f>IF(Table122[[#This Row],[Sat]],Table122[[#Headers],[Sat]],"")</f>
        <v>Sat</v>
      </c>
      <c r="N81" s="283" t="str">
        <f>IF(Table122[[#This Row],[Ve]],Table122[[#Headers],[Ve]],"")</f>
        <v/>
      </c>
      <c r="O81" s="283" t="str">
        <f>IF(Table122[[#This Row],[Ju]],Table122[[#Headers],[Ju]],"")</f>
        <v>Ju</v>
      </c>
      <c r="P81" s="283" t="str">
        <f>IF(Table122[[#This Row],[Me]],Table122[[#Headers],[Me]],"")</f>
        <v/>
      </c>
      <c r="Q81" s="283" t="str">
        <f>IF(Table122[[#This Row],[Ma]],Table122[[#Headers],[Ma]],"")</f>
        <v/>
      </c>
      <c r="R81" s="283" t="str">
        <f>IF(Table122[[#This Row],[Mo]],Table122[[#Headers],[Mo]],"")</f>
        <v/>
      </c>
      <c r="S81" s="283" t="str">
        <f>IF(Table122[[#This Row],[Su]],Table122[[#Headers],[Su]],"")</f>
        <v/>
      </c>
    </row>
    <row r="82" spans="1:19" hidden="1">
      <c r="A82" s="286">
        <v>81</v>
      </c>
      <c r="B82" s="284">
        <f t="shared" si="14"/>
        <v>1</v>
      </c>
      <c r="C82" s="284">
        <f t="shared" si="15"/>
        <v>0</v>
      </c>
      <c r="D82" s="284">
        <f t="shared" si="16"/>
        <v>1</v>
      </c>
      <c r="E82" s="284">
        <f t="shared" si="17"/>
        <v>0</v>
      </c>
      <c r="F82" s="284">
        <f t="shared" si="18"/>
        <v>0</v>
      </c>
      <c r="G82" s="284">
        <f t="shared" si="19"/>
        <v>0</v>
      </c>
      <c r="H82" s="284">
        <f t="shared" si="20"/>
        <v>1</v>
      </c>
      <c r="I82" s="287">
        <f>SUM(Table122[[#This Row],[Sat]:[Su]])</f>
        <v>3</v>
      </c>
      <c r="L82" s="283" t="str">
        <f>Table122[[#This Row],[Sat2]]&amp;" "&amp;Table122[[#This Row],[Column2]]&amp;" "&amp;Table122[[#This Row],[Column3]]&amp;" "&amp;Table122[[#This Row],[Column4]]&amp;" "&amp;Table122[[#This Row],[Column5]]&amp;" "&amp;Table122[[#This Row],[Column6]]&amp;" "&amp;Table122[[#This Row],[Column7]]</f>
        <v>Sat  Ju    Su</v>
      </c>
      <c r="M82" s="283" t="str">
        <f>IF(Table122[[#This Row],[Sat]],Table122[[#Headers],[Sat]],"")</f>
        <v>Sat</v>
      </c>
      <c r="N82" s="283" t="str">
        <f>IF(Table122[[#This Row],[Ve]],Table122[[#Headers],[Ve]],"")</f>
        <v/>
      </c>
      <c r="O82" s="283" t="str">
        <f>IF(Table122[[#This Row],[Ju]],Table122[[#Headers],[Ju]],"")</f>
        <v>Ju</v>
      </c>
      <c r="P82" s="283" t="str">
        <f>IF(Table122[[#This Row],[Me]],Table122[[#Headers],[Me]],"")</f>
        <v/>
      </c>
      <c r="Q82" s="283" t="str">
        <f>IF(Table122[[#This Row],[Ma]],Table122[[#Headers],[Ma]],"")</f>
        <v/>
      </c>
      <c r="R82" s="283" t="str">
        <f>IF(Table122[[#This Row],[Mo]],Table122[[#Headers],[Mo]],"")</f>
        <v/>
      </c>
      <c r="S82" s="283" t="str">
        <f>IF(Table122[[#This Row],[Su]],Table122[[#Headers],[Su]],"")</f>
        <v>Su</v>
      </c>
    </row>
    <row r="83" spans="1:19" hidden="1">
      <c r="A83" s="286">
        <v>82</v>
      </c>
      <c r="B83" s="284">
        <f t="shared" si="14"/>
        <v>1</v>
      </c>
      <c r="C83" s="284">
        <f t="shared" si="15"/>
        <v>0</v>
      </c>
      <c r="D83" s="284">
        <f t="shared" si="16"/>
        <v>1</v>
      </c>
      <c r="E83" s="284">
        <f t="shared" si="17"/>
        <v>0</v>
      </c>
      <c r="F83" s="284">
        <f t="shared" si="18"/>
        <v>0</v>
      </c>
      <c r="G83" s="284">
        <f t="shared" si="19"/>
        <v>1</v>
      </c>
      <c r="H83" s="284">
        <f t="shared" si="20"/>
        <v>0</v>
      </c>
      <c r="I83" s="287">
        <f>SUM(Table122[[#This Row],[Sat]:[Su]])</f>
        <v>3</v>
      </c>
      <c r="L83" s="283" t="str">
        <f>Table122[[#This Row],[Sat2]]&amp;" "&amp;Table122[[#This Row],[Column2]]&amp;" "&amp;Table122[[#This Row],[Column3]]&amp;" "&amp;Table122[[#This Row],[Column4]]&amp;" "&amp;Table122[[#This Row],[Column5]]&amp;" "&amp;Table122[[#This Row],[Column6]]&amp;" "&amp;Table122[[#This Row],[Column7]]</f>
        <v xml:space="preserve">Sat  Ju   Mo </v>
      </c>
      <c r="M83" s="283" t="str">
        <f>IF(Table122[[#This Row],[Sat]],Table122[[#Headers],[Sat]],"")</f>
        <v>Sat</v>
      </c>
      <c r="N83" s="283" t="str">
        <f>IF(Table122[[#This Row],[Ve]],Table122[[#Headers],[Ve]],"")</f>
        <v/>
      </c>
      <c r="O83" s="283" t="str">
        <f>IF(Table122[[#This Row],[Ju]],Table122[[#Headers],[Ju]],"")</f>
        <v>Ju</v>
      </c>
      <c r="P83" s="283" t="str">
        <f>IF(Table122[[#This Row],[Me]],Table122[[#Headers],[Me]],"")</f>
        <v/>
      </c>
      <c r="Q83" s="283" t="str">
        <f>IF(Table122[[#This Row],[Ma]],Table122[[#Headers],[Ma]],"")</f>
        <v/>
      </c>
      <c r="R83" s="283" t="str">
        <f>IF(Table122[[#This Row],[Mo]],Table122[[#Headers],[Mo]],"")</f>
        <v>Mo</v>
      </c>
      <c r="S83" s="283" t="str">
        <f>IF(Table122[[#This Row],[Su]],Table122[[#Headers],[Su]],"")</f>
        <v/>
      </c>
    </row>
    <row r="84" spans="1:19" hidden="1">
      <c r="A84" s="286">
        <v>83</v>
      </c>
      <c r="B84" s="284">
        <f t="shared" si="14"/>
        <v>1</v>
      </c>
      <c r="C84" s="284">
        <f t="shared" si="15"/>
        <v>0</v>
      </c>
      <c r="D84" s="284">
        <f t="shared" si="16"/>
        <v>1</v>
      </c>
      <c r="E84" s="284">
        <f t="shared" si="17"/>
        <v>0</v>
      </c>
      <c r="F84" s="284">
        <f t="shared" si="18"/>
        <v>0</v>
      </c>
      <c r="G84" s="284">
        <f t="shared" si="19"/>
        <v>1</v>
      </c>
      <c r="H84" s="284">
        <f t="shared" si="20"/>
        <v>1</v>
      </c>
      <c r="I84" s="287">
        <f>SUM(Table122[[#This Row],[Sat]:[Su]])</f>
        <v>4</v>
      </c>
      <c r="J84" s="283" t="s">
        <v>495</v>
      </c>
      <c r="K84" s="283" t="s">
        <v>519</v>
      </c>
      <c r="L84" s="283" t="str">
        <f>Table122[[#This Row],[Sat2]]&amp;" "&amp;Table122[[#This Row],[Column2]]&amp;" "&amp;Table122[[#This Row],[Column3]]&amp;" "&amp;Table122[[#This Row],[Column4]]&amp;" "&amp;Table122[[#This Row],[Column5]]&amp;" "&amp;Table122[[#This Row],[Column6]]&amp;" "&amp;Table122[[#This Row],[Column7]]</f>
        <v>Sat  Ju   Mo Su</v>
      </c>
      <c r="M84" s="283" t="str">
        <f>IF(Table122[[#This Row],[Sat]],Table122[[#Headers],[Sat]],"")</f>
        <v>Sat</v>
      </c>
      <c r="N84" s="283" t="str">
        <f>IF(Table122[[#This Row],[Ve]],Table122[[#Headers],[Ve]],"")</f>
        <v/>
      </c>
      <c r="O84" s="283" t="str">
        <f>IF(Table122[[#This Row],[Ju]],Table122[[#Headers],[Ju]],"")</f>
        <v>Ju</v>
      </c>
      <c r="P84" s="283" t="str">
        <f>IF(Table122[[#This Row],[Me]],Table122[[#Headers],[Me]],"")</f>
        <v/>
      </c>
      <c r="Q84" s="283" t="str">
        <f>IF(Table122[[#This Row],[Ma]],Table122[[#Headers],[Ma]],"")</f>
        <v/>
      </c>
      <c r="R84" s="283" t="str">
        <f>IF(Table122[[#This Row],[Mo]],Table122[[#Headers],[Mo]],"")</f>
        <v>Mo</v>
      </c>
      <c r="S84" s="283" t="str">
        <f>IF(Table122[[#This Row],[Su]],Table122[[#Headers],[Su]],"")</f>
        <v>Su</v>
      </c>
    </row>
    <row r="85" spans="1:19" hidden="1">
      <c r="A85" s="286">
        <v>84</v>
      </c>
      <c r="B85" s="284">
        <f t="shared" si="14"/>
        <v>1</v>
      </c>
      <c r="C85" s="284">
        <f t="shared" si="15"/>
        <v>0</v>
      </c>
      <c r="D85" s="284">
        <f t="shared" si="16"/>
        <v>1</v>
      </c>
      <c r="E85" s="284">
        <f t="shared" si="17"/>
        <v>0</v>
      </c>
      <c r="F85" s="284">
        <f t="shared" si="18"/>
        <v>1</v>
      </c>
      <c r="G85" s="284">
        <f t="shared" si="19"/>
        <v>0</v>
      </c>
      <c r="H85" s="284">
        <f t="shared" si="20"/>
        <v>0</v>
      </c>
      <c r="I85" s="287">
        <f>SUM(Table122[[#This Row],[Sat]:[Su]])</f>
        <v>3</v>
      </c>
      <c r="L85" s="283" t="str">
        <f>Table122[[#This Row],[Sat2]]&amp;" "&amp;Table122[[#This Row],[Column2]]&amp;" "&amp;Table122[[#This Row],[Column3]]&amp;" "&amp;Table122[[#This Row],[Column4]]&amp;" "&amp;Table122[[#This Row],[Column5]]&amp;" "&amp;Table122[[#This Row],[Column6]]&amp;" "&amp;Table122[[#This Row],[Column7]]</f>
        <v xml:space="preserve">Sat  Ju  Ma  </v>
      </c>
      <c r="M85" s="283" t="str">
        <f>IF(Table122[[#This Row],[Sat]],Table122[[#Headers],[Sat]],"")</f>
        <v>Sat</v>
      </c>
      <c r="N85" s="283" t="str">
        <f>IF(Table122[[#This Row],[Ve]],Table122[[#Headers],[Ve]],"")</f>
        <v/>
      </c>
      <c r="O85" s="283" t="str">
        <f>IF(Table122[[#This Row],[Ju]],Table122[[#Headers],[Ju]],"")</f>
        <v>Ju</v>
      </c>
      <c r="P85" s="283" t="str">
        <f>IF(Table122[[#This Row],[Me]],Table122[[#Headers],[Me]],"")</f>
        <v/>
      </c>
      <c r="Q85" s="283" t="str">
        <f>IF(Table122[[#This Row],[Ma]],Table122[[#Headers],[Ma]],"")</f>
        <v>Ma</v>
      </c>
      <c r="R85" s="283" t="str">
        <f>IF(Table122[[#This Row],[Mo]],Table122[[#Headers],[Mo]],"")</f>
        <v/>
      </c>
      <c r="S85" s="283" t="str">
        <f>IF(Table122[[#This Row],[Su]],Table122[[#Headers],[Su]],"")</f>
        <v/>
      </c>
    </row>
    <row r="86" spans="1:19" hidden="1">
      <c r="A86" s="286">
        <v>85</v>
      </c>
      <c r="B86" s="284">
        <f t="shared" si="14"/>
        <v>1</v>
      </c>
      <c r="C86" s="284">
        <f t="shared" si="15"/>
        <v>0</v>
      </c>
      <c r="D86" s="284">
        <f t="shared" si="16"/>
        <v>1</v>
      </c>
      <c r="E86" s="284">
        <f t="shared" si="17"/>
        <v>0</v>
      </c>
      <c r="F86" s="284">
        <f t="shared" si="18"/>
        <v>1</v>
      </c>
      <c r="G86" s="284">
        <f t="shared" si="19"/>
        <v>0</v>
      </c>
      <c r="H86" s="284">
        <f t="shared" si="20"/>
        <v>1</v>
      </c>
      <c r="I86" s="287">
        <f>SUM(Table122[[#This Row],[Sat]:[Su]])</f>
        <v>4</v>
      </c>
      <c r="L86" s="283" t="str">
        <f>Table122[[#This Row],[Sat2]]&amp;" "&amp;Table122[[#This Row],[Column2]]&amp;" "&amp;Table122[[#This Row],[Column3]]&amp;" "&amp;Table122[[#This Row],[Column4]]&amp;" "&amp;Table122[[#This Row],[Column5]]&amp;" "&amp;Table122[[#This Row],[Column6]]&amp;" "&amp;Table122[[#This Row],[Column7]]</f>
        <v>Sat  Ju  Ma  Su</v>
      </c>
      <c r="M86" s="283" t="str">
        <f>IF(Table122[[#This Row],[Sat]],Table122[[#Headers],[Sat]],"")</f>
        <v>Sat</v>
      </c>
      <c r="N86" s="283" t="str">
        <f>IF(Table122[[#This Row],[Ve]],Table122[[#Headers],[Ve]],"")</f>
        <v/>
      </c>
      <c r="O86" s="283" t="str">
        <f>IF(Table122[[#This Row],[Ju]],Table122[[#Headers],[Ju]],"")</f>
        <v>Ju</v>
      </c>
      <c r="P86" s="283" t="str">
        <f>IF(Table122[[#This Row],[Me]],Table122[[#Headers],[Me]],"")</f>
        <v/>
      </c>
      <c r="Q86" s="283" t="str">
        <f>IF(Table122[[#This Row],[Ma]],Table122[[#Headers],[Ma]],"")</f>
        <v>Ma</v>
      </c>
      <c r="R86" s="283" t="str">
        <f>IF(Table122[[#This Row],[Mo]],Table122[[#Headers],[Mo]],"")</f>
        <v/>
      </c>
      <c r="S86" s="283" t="str">
        <f>IF(Table122[[#This Row],[Su]],Table122[[#Headers],[Su]],"")</f>
        <v>Su</v>
      </c>
    </row>
    <row r="87" spans="1:19" hidden="1">
      <c r="A87" s="286">
        <v>86</v>
      </c>
      <c r="B87" s="284">
        <f t="shared" si="14"/>
        <v>1</v>
      </c>
      <c r="C87" s="284">
        <f t="shared" si="15"/>
        <v>0</v>
      </c>
      <c r="D87" s="284">
        <f t="shared" si="16"/>
        <v>1</v>
      </c>
      <c r="E87" s="284">
        <f t="shared" si="17"/>
        <v>0</v>
      </c>
      <c r="F87" s="284">
        <f t="shared" si="18"/>
        <v>1</v>
      </c>
      <c r="G87" s="284">
        <f t="shared" si="19"/>
        <v>1</v>
      </c>
      <c r="H87" s="284">
        <f t="shared" si="20"/>
        <v>0</v>
      </c>
      <c r="I87" s="287">
        <f>SUM(Table122[[#This Row],[Sat]:[Su]])</f>
        <v>4</v>
      </c>
      <c r="J87" s="283" t="s">
        <v>520</v>
      </c>
      <c r="K87" s="283" t="s">
        <v>521</v>
      </c>
      <c r="L87" s="283" t="str">
        <f>Table122[[#This Row],[Sat2]]&amp;" "&amp;Table122[[#This Row],[Column2]]&amp;" "&amp;Table122[[#This Row],[Column3]]&amp;" "&amp;Table122[[#This Row],[Column4]]&amp;" "&amp;Table122[[#This Row],[Column5]]&amp;" "&amp;Table122[[#This Row],[Column6]]&amp;" "&amp;Table122[[#This Row],[Column7]]</f>
        <v xml:space="preserve">Sat  Ju  Ma Mo </v>
      </c>
      <c r="M87" s="283" t="str">
        <f>IF(Table122[[#This Row],[Sat]],Table122[[#Headers],[Sat]],"")</f>
        <v>Sat</v>
      </c>
      <c r="N87" s="283" t="str">
        <f>IF(Table122[[#This Row],[Ve]],Table122[[#Headers],[Ve]],"")</f>
        <v/>
      </c>
      <c r="O87" s="283" t="str">
        <f>IF(Table122[[#This Row],[Ju]],Table122[[#Headers],[Ju]],"")</f>
        <v>Ju</v>
      </c>
      <c r="P87" s="283" t="str">
        <f>IF(Table122[[#This Row],[Me]],Table122[[#Headers],[Me]],"")</f>
        <v/>
      </c>
      <c r="Q87" s="283" t="str">
        <f>IF(Table122[[#This Row],[Ma]],Table122[[#Headers],[Ma]],"")</f>
        <v>Ma</v>
      </c>
      <c r="R87" s="283" t="str">
        <f>IF(Table122[[#This Row],[Mo]],Table122[[#Headers],[Mo]],"")</f>
        <v>Mo</v>
      </c>
      <c r="S87" s="283" t="str">
        <f>IF(Table122[[#This Row],[Su]],Table122[[#Headers],[Su]],"")</f>
        <v/>
      </c>
    </row>
    <row r="88" spans="1:19" hidden="1">
      <c r="A88" s="286">
        <v>87</v>
      </c>
      <c r="B88" s="284">
        <f t="shared" si="14"/>
        <v>1</v>
      </c>
      <c r="C88" s="284">
        <f t="shared" si="15"/>
        <v>0</v>
      </c>
      <c r="D88" s="284">
        <f t="shared" si="16"/>
        <v>1</v>
      </c>
      <c r="E88" s="284">
        <f t="shared" si="17"/>
        <v>0</v>
      </c>
      <c r="F88" s="284">
        <f t="shared" si="18"/>
        <v>1</v>
      </c>
      <c r="G88" s="284">
        <f t="shared" si="19"/>
        <v>1</v>
      </c>
      <c r="H88" s="284">
        <f t="shared" si="20"/>
        <v>1</v>
      </c>
      <c r="I88" s="287">
        <f>SUM(Table122[[#This Row],[Sat]:[Su]])</f>
        <v>5</v>
      </c>
      <c r="J88" s="283" t="s">
        <v>522</v>
      </c>
      <c r="K88" s="283" t="s">
        <v>523</v>
      </c>
      <c r="L88" s="283" t="str">
        <f>Table122[[#This Row],[Sat2]]&amp;" "&amp;Table122[[#This Row],[Column2]]&amp;" "&amp;Table122[[#This Row],[Column3]]&amp;" "&amp;Table122[[#This Row],[Column4]]&amp;" "&amp;Table122[[#This Row],[Column5]]&amp;" "&amp;Table122[[#This Row],[Column6]]&amp;" "&amp;Table122[[#This Row],[Column7]]</f>
        <v>Sat  Ju  Ma Mo Su</v>
      </c>
      <c r="M88" s="283" t="str">
        <f>IF(Table122[[#This Row],[Sat]],Table122[[#Headers],[Sat]],"")</f>
        <v>Sat</v>
      </c>
      <c r="N88" s="283" t="str">
        <f>IF(Table122[[#This Row],[Ve]],Table122[[#Headers],[Ve]],"")</f>
        <v/>
      </c>
      <c r="O88" s="283" t="str">
        <f>IF(Table122[[#This Row],[Ju]],Table122[[#Headers],[Ju]],"")</f>
        <v>Ju</v>
      </c>
      <c r="P88" s="283" t="str">
        <f>IF(Table122[[#This Row],[Me]],Table122[[#Headers],[Me]],"")</f>
        <v/>
      </c>
      <c r="Q88" s="283" t="str">
        <f>IF(Table122[[#This Row],[Ma]],Table122[[#Headers],[Ma]],"")</f>
        <v>Ma</v>
      </c>
      <c r="R88" s="283" t="str">
        <f>IF(Table122[[#This Row],[Mo]],Table122[[#Headers],[Mo]],"")</f>
        <v>Mo</v>
      </c>
      <c r="S88" s="283" t="str">
        <f>IF(Table122[[#This Row],[Su]],Table122[[#Headers],[Su]],"")</f>
        <v>Su</v>
      </c>
    </row>
    <row r="89" spans="1:19" hidden="1">
      <c r="A89" s="286">
        <v>88</v>
      </c>
      <c r="B89" s="284">
        <f t="shared" si="14"/>
        <v>1</v>
      </c>
      <c r="C89" s="284">
        <f t="shared" si="15"/>
        <v>0</v>
      </c>
      <c r="D89" s="284">
        <f t="shared" si="16"/>
        <v>1</v>
      </c>
      <c r="E89" s="284">
        <f t="shared" si="17"/>
        <v>1</v>
      </c>
      <c r="F89" s="284">
        <f t="shared" si="18"/>
        <v>0</v>
      </c>
      <c r="G89" s="284">
        <f t="shared" si="19"/>
        <v>0</v>
      </c>
      <c r="H89" s="284">
        <f t="shared" si="20"/>
        <v>0</v>
      </c>
      <c r="I89" s="287">
        <f>SUM(Table122[[#This Row],[Sat]:[Su]])</f>
        <v>3</v>
      </c>
      <c r="L89" s="283" t="str">
        <f>Table122[[#This Row],[Sat2]]&amp;" "&amp;Table122[[#This Row],[Column2]]&amp;" "&amp;Table122[[#This Row],[Column3]]&amp;" "&amp;Table122[[#This Row],[Column4]]&amp;" "&amp;Table122[[#This Row],[Column5]]&amp;" "&amp;Table122[[#This Row],[Column6]]&amp;" "&amp;Table122[[#This Row],[Column7]]</f>
        <v xml:space="preserve">Sat  Ju Me   </v>
      </c>
      <c r="M89" s="283" t="str">
        <f>IF(Table122[[#This Row],[Sat]],Table122[[#Headers],[Sat]],"")</f>
        <v>Sat</v>
      </c>
      <c r="N89" s="283" t="str">
        <f>IF(Table122[[#This Row],[Ve]],Table122[[#Headers],[Ve]],"")</f>
        <v/>
      </c>
      <c r="O89" s="283" t="str">
        <f>IF(Table122[[#This Row],[Ju]],Table122[[#Headers],[Ju]],"")</f>
        <v>Ju</v>
      </c>
      <c r="P89" s="283" t="str">
        <f>IF(Table122[[#This Row],[Me]],Table122[[#Headers],[Me]],"")</f>
        <v>Me</v>
      </c>
      <c r="Q89" s="283" t="str">
        <f>IF(Table122[[#This Row],[Ma]],Table122[[#Headers],[Ma]],"")</f>
        <v/>
      </c>
      <c r="R89" s="283" t="str">
        <f>IF(Table122[[#This Row],[Mo]],Table122[[#Headers],[Mo]],"")</f>
        <v/>
      </c>
      <c r="S89" s="283" t="str">
        <f>IF(Table122[[#This Row],[Su]],Table122[[#Headers],[Su]],"")</f>
        <v/>
      </c>
    </row>
    <row r="90" spans="1:19" hidden="1">
      <c r="A90" s="286">
        <v>89</v>
      </c>
      <c r="B90" s="284">
        <f t="shared" si="14"/>
        <v>1</v>
      </c>
      <c r="C90" s="284">
        <f t="shared" si="15"/>
        <v>0</v>
      </c>
      <c r="D90" s="284">
        <f t="shared" si="16"/>
        <v>1</v>
      </c>
      <c r="E90" s="284">
        <f t="shared" si="17"/>
        <v>1</v>
      </c>
      <c r="F90" s="284">
        <f t="shared" si="18"/>
        <v>0</v>
      </c>
      <c r="G90" s="284">
        <f t="shared" si="19"/>
        <v>0</v>
      </c>
      <c r="H90" s="284">
        <f t="shared" si="20"/>
        <v>1</v>
      </c>
      <c r="I90" s="287">
        <f>SUM(Table122[[#This Row],[Sat]:[Su]])</f>
        <v>4</v>
      </c>
      <c r="L90" s="283" t="str">
        <f>Table122[[#This Row],[Sat2]]&amp;" "&amp;Table122[[#This Row],[Column2]]&amp;" "&amp;Table122[[#This Row],[Column3]]&amp;" "&amp;Table122[[#This Row],[Column4]]&amp;" "&amp;Table122[[#This Row],[Column5]]&amp;" "&amp;Table122[[#This Row],[Column6]]&amp;" "&amp;Table122[[#This Row],[Column7]]</f>
        <v>Sat  Ju Me   Su</v>
      </c>
      <c r="M90" s="283" t="str">
        <f>IF(Table122[[#This Row],[Sat]],Table122[[#Headers],[Sat]],"")</f>
        <v>Sat</v>
      </c>
      <c r="N90" s="283" t="str">
        <f>IF(Table122[[#This Row],[Ve]],Table122[[#Headers],[Ve]],"")</f>
        <v/>
      </c>
      <c r="O90" s="283" t="str">
        <f>IF(Table122[[#This Row],[Ju]],Table122[[#Headers],[Ju]],"")</f>
        <v>Ju</v>
      </c>
      <c r="P90" s="283" t="str">
        <f>IF(Table122[[#This Row],[Me]],Table122[[#Headers],[Me]],"")</f>
        <v>Me</v>
      </c>
      <c r="Q90" s="283" t="str">
        <f>IF(Table122[[#This Row],[Ma]],Table122[[#Headers],[Ma]],"")</f>
        <v/>
      </c>
      <c r="R90" s="283" t="str">
        <f>IF(Table122[[#This Row],[Mo]],Table122[[#Headers],[Mo]],"")</f>
        <v/>
      </c>
      <c r="S90" s="283" t="str">
        <f>IF(Table122[[#This Row],[Su]],Table122[[#Headers],[Su]],"")</f>
        <v>Su</v>
      </c>
    </row>
    <row r="91" spans="1:19" hidden="1">
      <c r="A91" s="286">
        <v>90</v>
      </c>
      <c r="B91" s="284">
        <f t="shared" si="14"/>
        <v>1</v>
      </c>
      <c r="C91" s="284">
        <f t="shared" si="15"/>
        <v>0</v>
      </c>
      <c r="D91" s="284">
        <f t="shared" si="16"/>
        <v>1</v>
      </c>
      <c r="E91" s="284">
        <f t="shared" si="17"/>
        <v>1</v>
      </c>
      <c r="F91" s="284">
        <f t="shared" si="18"/>
        <v>0</v>
      </c>
      <c r="G91" s="284">
        <f t="shared" si="19"/>
        <v>1</v>
      </c>
      <c r="H91" s="284">
        <f t="shared" si="20"/>
        <v>0</v>
      </c>
      <c r="I91" s="287">
        <f>SUM(Table122[[#This Row],[Sat]:[Su]])</f>
        <v>4</v>
      </c>
      <c r="L91" s="283" t="str">
        <f>Table122[[#This Row],[Sat2]]&amp;" "&amp;Table122[[#This Row],[Column2]]&amp;" "&amp;Table122[[#This Row],[Column3]]&amp;" "&amp;Table122[[#This Row],[Column4]]&amp;" "&amp;Table122[[#This Row],[Column5]]&amp;" "&amp;Table122[[#This Row],[Column6]]&amp;" "&amp;Table122[[#This Row],[Column7]]</f>
        <v xml:space="preserve">Sat  Ju Me  Mo </v>
      </c>
      <c r="M91" s="283" t="str">
        <f>IF(Table122[[#This Row],[Sat]],Table122[[#Headers],[Sat]],"")</f>
        <v>Sat</v>
      </c>
      <c r="N91" s="283" t="str">
        <f>IF(Table122[[#This Row],[Ve]],Table122[[#Headers],[Ve]],"")</f>
        <v/>
      </c>
      <c r="O91" s="283" t="str">
        <f>IF(Table122[[#This Row],[Ju]],Table122[[#Headers],[Ju]],"")</f>
        <v>Ju</v>
      </c>
      <c r="P91" s="283" t="str">
        <f>IF(Table122[[#This Row],[Me]],Table122[[#Headers],[Me]],"")</f>
        <v>Me</v>
      </c>
      <c r="Q91" s="283" t="str">
        <f>IF(Table122[[#This Row],[Ma]],Table122[[#Headers],[Ma]],"")</f>
        <v/>
      </c>
      <c r="R91" s="283" t="str">
        <f>IF(Table122[[#This Row],[Mo]],Table122[[#Headers],[Mo]],"")</f>
        <v>Mo</v>
      </c>
      <c r="S91" s="283" t="str">
        <f>IF(Table122[[#This Row],[Su]],Table122[[#Headers],[Su]],"")</f>
        <v/>
      </c>
    </row>
    <row r="92" spans="1:19" hidden="1">
      <c r="A92" s="286">
        <v>91</v>
      </c>
      <c r="B92" s="284">
        <f t="shared" si="14"/>
        <v>1</v>
      </c>
      <c r="C92" s="284">
        <f t="shared" si="15"/>
        <v>0</v>
      </c>
      <c r="D92" s="284">
        <f t="shared" si="16"/>
        <v>1</v>
      </c>
      <c r="E92" s="284">
        <f t="shared" si="17"/>
        <v>1</v>
      </c>
      <c r="F92" s="284">
        <f t="shared" si="18"/>
        <v>0</v>
      </c>
      <c r="G92" s="284">
        <f t="shared" si="19"/>
        <v>1</v>
      </c>
      <c r="H92" s="284">
        <f t="shared" si="20"/>
        <v>1</v>
      </c>
      <c r="I92" s="287">
        <f>SUM(Table122[[#This Row],[Sat]:[Su]])</f>
        <v>5</v>
      </c>
      <c r="L92" s="283" t="str">
        <f>Table122[[#This Row],[Sat2]]&amp;" "&amp;Table122[[#This Row],[Column2]]&amp;" "&amp;Table122[[#This Row],[Column3]]&amp;" "&amp;Table122[[#This Row],[Column4]]&amp;" "&amp;Table122[[#This Row],[Column5]]&amp;" "&amp;Table122[[#This Row],[Column6]]&amp;" "&amp;Table122[[#This Row],[Column7]]</f>
        <v>Sat  Ju Me  Mo Su</v>
      </c>
      <c r="M92" s="283" t="str">
        <f>IF(Table122[[#This Row],[Sat]],Table122[[#Headers],[Sat]],"")</f>
        <v>Sat</v>
      </c>
      <c r="N92" s="283" t="str">
        <f>IF(Table122[[#This Row],[Ve]],Table122[[#Headers],[Ve]],"")</f>
        <v/>
      </c>
      <c r="O92" s="283" t="str">
        <f>IF(Table122[[#This Row],[Ju]],Table122[[#Headers],[Ju]],"")</f>
        <v>Ju</v>
      </c>
      <c r="P92" s="283" t="str">
        <f>IF(Table122[[#This Row],[Me]],Table122[[#Headers],[Me]],"")</f>
        <v>Me</v>
      </c>
      <c r="Q92" s="283" t="str">
        <f>IF(Table122[[#This Row],[Ma]],Table122[[#Headers],[Ma]],"")</f>
        <v/>
      </c>
      <c r="R92" s="283" t="str">
        <f>IF(Table122[[#This Row],[Mo]],Table122[[#Headers],[Mo]],"")</f>
        <v>Mo</v>
      </c>
      <c r="S92" s="283" t="str">
        <f>IF(Table122[[#This Row],[Su]],Table122[[#Headers],[Su]],"")</f>
        <v>Su</v>
      </c>
    </row>
    <row r="93" spans="1:19" hidden="1">
      <c r="A93" s="286">
        <v>92</v>
      </c>
      <c r="B93" s="284">
        <f t="shared" si="14"/>
        <v>1</v>
      </c>
      <c r="C93" s="284">
        <f t="shared" si="15"/>
        <v>0</v>
      </c>
      <c r="D93" s="284">
        <f t="shared" si="16"/>
        <v>1</v>
      </c>
      <c r="E93" s="284">
        <f t="shared" si="17"/>
        <v>1</v>
      </c>
      <c r="F93" s="284">
        <f t="shared" si="18"/>
        <v>1</v>
      </c>
      <c r="G93" s="284">
        <f t="shared" si="19"/>
        <v>0</v>
      </c>
      <c r="H93" s="284">
        <f t="shared" si="20"/>
        <v>0</v>
      </c>
      <c r="I93" s="287">
        <f>SUM(Table122[[#This Row],[Sat]:[Su]])</f>
        <v>4</v>
      </c>
      <c r="J93" s="283" t="s">
        <v>515</v>
      </c>
      <c r="K93" s="283" t="s">
        <v>524</v>
      </c>
      <c r="L93" s="283" t="str">
        <f>Table122[[#This Row],[Sat2]]&amp;" "&amp;Table122[[#This Row],[Column2]]&amp;" "&amp;Table122[[#This Row],[Column3]]&amp;" "&amp;Table122[[#This Row],[Column4]]&amp;" "&amp;Table122[[#This Row],[Column5]]&amp;" "&amp;Table122[[#This Row],[Column6]]&amp;" "&amp;Table122[[#This Row],[Column7]]</f>
        <v xml:space="preserve">Sat  Ju Me Ma  </v>
      </c>
      <c r="M93" s="283" t="str">
        <f>IF(Table122[[#This Row],[Sat]],Table122[[#Headers],[Sat]],"")</f>
        <v>Sat</v>
      </c>
      <c r="N93" s="283" t="str">
        <f>IF(Table122[[#This Row],[Ve]],Table122[[#Headers],[Ve]],"")</f>
        <v/>
      </c>
      <c r="O93" s="283" t="str">
        <f>IF(Table122[[#This Row],[Ju]],Table122[[#Headers],[Ju]],"")</f>
        <v>Ju</v>
      </c>
      <c r="P93" s="283" t="str">
        <f>IF(Table122[[#This Row],[Me]],Table122[[#Headers],[Me]],"")</f>
        <v>Me</v>
      </c>
      <c r="Q93" s="283" t="str">
        <f>IF(Table122[[#This Row],[Ma]],Table122[[#Headers],[Ma]],"")</f>
        <v>Ma</v>
      </c>
      <c r="R93" s="283" t="str">
        <f>IF(Table122[[#This Row],[Mo]],Table122[[#Headers],[Mo]],"")</f>
        <v/>
      </c>
      <c r="S93" s="283" t="str">
        <f>IF(Table122[[#This Row],[Su]],Table122[[#Headers],[Su]],"")</f>
        <v/>
      </c>
    </row>
    <row r="94" spans="1:19" hidden="1">
      <c r="A94" s="286">
        <v>93</v>
      </c>
      <c r="B94" s="284">
        <f t="shared" si="14"/>
        <v>1</v>
      </c>
      <c r="C94" s="284">
        <f t="shared" si="15"/>
        <v>0</v>
      </c>
      <c r="D94" s="284">
        <f t="shared" si="16"/>
        <v>1</v>
      </c>
      <c r="E94" s="284">
        <f t="shared" si="17"/>
        <v>1</v>
      </c>
      <c r="F94" s="284">
        <f t="shared" si="18"/>
        <v>1</v>
      </c>
      <c r="G94" s="284">
        <f t="shared" si="19"/>
        <v>0</v>
      </c>
      <c r="H94" s="284">
        <f t="shared" si="20"/>
        <v>1</v>
      </c>
      <c r="I94" s="287">
        <f>SUM(Table122[[#This Row],[Sat]:[Su]])</f>
        <v>5</v>
      </c>
      <c r="J94" s="283" t="s">
        <v>509</v>
      </c>
      <c r="K94" s="283" t="s">
        <v>525</v>
      </c>
      <c r="L94" s="283" t="str">
        <f>Table122[[#This Row],[Sat2]]&amp;" "&amp;Table122[[#This Row],[Column2]]&amp;" "&amp;Table122[[#This Row],[Column3]]&amp;" "&amp;Table122[[#This Row],[Column4]]&amp;" "&amp;Table122[[#This Row],[Column5]]&amp;" "&amp;Table122[[#This Row],[Column6]]&amp;" "&amp;Table122[[#This Row],[Column7]]</f>
        <v>Sat  Ju Me Ma  Su</v>
      </c>
      <c r="M94" s="283" t="str">
        <f>IF(Table122[[#This Row],[Sat]],Table122[[#Headers],[Sat]],"")</f>
        <v>Sat</v>
      </c>
      <c r="N94" s="283" t="str">
        <f>IF(Table122[[#This Row],[Ve]],Table122[[#Headers],[Ve]],"")</f>
        <v/>
      </c>
      <c r="O94" s="283" t="str">
        <f>IF(Table122[[#This Row],[Ju]],Table122[[#Headers],[Ju]],"")</f>
        <v>Ju</v>
      </c>
      <c r="P94" s="283" t="str">
        <f>IF(Table122[[#This Row],[Me]],Table122[[#Headers],[Me]],"")</f>
        <v>Me</v>
      </c>
      <c r="Q94" s="283" t="str">
        <f>IF(Table122[[#This Row],[Ma]],Table122[[#Headers],[Ma]],"")</f>
        <v>Ma</v>
      </c>
      <c r="R94" s="283" t="str">
        <f>IF(Table122[[#This Row],[Mo]],Table122[[#Headers],[Mo]],"")</f>
        <v/>
      </c>
      <c r="S94" s="283" t="str">
        <f>IF(Table122[[#This Row],[Su]],Table122[[#Headers],[Su]],"")</f>
        <v>Su</v>
      </c>
    </row>
    <row r="95" spans="1:19" hidden="1">
      <c r="A95" s="286">
        <v>94</v>
      </c>
      <c r="B95" s="284">
        <f t="shared" si="14"/>
        <v>1</v>
      </c>
      <c r="C95" s="284">
        <f t="shared" si="15"/>
        <v>0</v>
      </c>
      <c r="D95" s="284">
        <f t="shared" si="16"/>
        <v>1</v>
      </c>
      <c r="E95" s="284">
        <f t="shared" si="17"/>
        <v>1</v>
      </c>
      <c r="F95" s="284">
        <f t="shared" si="18"/>
        <v>1</v>
      </c>
      <c r="G95" s="284">
        <f t="shared" si="19"/>
        <v>1</v>
      </c>
      <c r="H95" s="284">
        <f t="shared" si="20"/>
        <v>0</v>
      </c>
      <c r="I95" s="287">
        <f>SUM(Table122[[#This Row],[Sat]:[Su]])</f>
        <v>5</v>
      </c>
      <c r="J95" s="283" t="s">
        <v>526</v>
      </c>
      <c r="K95" s="283" t="s">
        <v>527</v>
      </c>
      <c r="L95" s="283" t="str">
        <f>Table122[[#This Row],[Sat2]]&amp;" "&amp;Table122[[#This Row],[Column2]]&amp;" "&amp;Table122[[#This Row],[Column3]]&amp;" "&amp;Table122[[#This Row],[Column4]]&amp;" "&amp;Table122[[#This Row],[Column5]]&amp;" "&amp;Table122[[#This Row],[Column6]]&amp;" "&amp;Table122[[#This Row],[Column7]]</f>
        <v xml:space="preserve">Sat  Ju Me Ma Mo </v>
      </c>
      <c r="M95" s="283" t="str">
        <f>IF(Table122[[#This Row],[Sat]],Table122[[#Headers],[Sat]],"")</f>
        <v>Sat</v>
      </c>
      <c r="N95" s="283" t="str">
        <f>IF(Table122[[#This Row],[Ve]],Table122[[#Headers],[Ve]],"")</f>
        <v/>
      </c>
      <c r="O95" s="283" t="str">
        <f>IF(Table122[[#This Row],[Ju]],Table122[[#Headers],[Ju]],"")</f>
        <v>Ju</v>
      </c>
      <c r="P95" s="283" t="str">
        <f>IF(Table122[[#This Row],[Me]],Table122[[#Headers],[Me]],"")</f>
        <v>Me</v>
      </c>
      <c r="Q95" s="283" t="str">
        <f>IF(Table122[[#This Row],[Ma]],Table122[[#Headers],[Ma]],"")</f>
        <v>Ma</v>
      </c>
      <c r="R95" s="283" t="str">
        <f>IF(Table122[[#This Row],[Mo]],Table122[[#Headers],[Mo]],"")</f>
        <v>Mo</v>
      </c>
      <c r="S95" s="283" t="str">
        <f>IF(Table122[[#This Row],[Su]],Table122[[#Headers],[Su]],"")</f>
        <v/>
      </c>
    </row>
    <row r="96" spans="1:19" hidden="1">
      <c r="A96" s="286">
        <v>95</v>
      </c>
      <c r="B96" s="284">
        <f t="shared" si="14"/>
        <v>1</v>
      </c>
      <c r="C96" s="284">
        <f t="shared" si="15"/>
        <v>0</v>
      </c>
      <c r="D96" s="284">
        <f t="shared" si="16"/>
        <v>1</v>
      </c>
      <c r="E96" s="284">
        <f t="shared" si="17"/>
        <v>1</v>
      </c>
      <c r="F96" s="284">
        <f t="shared" si="18"/>
        <v>1</v>
      </c>
      <c r="G96" s="284">
        <f t="shared" si="19"/>
        <v>1</v>
      </c>
      <c r="H96" s="284">
        <f t="shared" si="20"/>
        <v>1</v>
      </c>
      <c r="I96" s="287">
        <f>SUM(Table122[[#This Row],[Sat]:[Su]])</f>
        <v>6</v>
      </c>
      <c r="J96" s="283" t="s">
        <v>528</v>
      </c>
      <c r="K96" s="283" t="s">
        <v>529</v>
      </c>
      <c r="L96" s="283" t="str">
        <f>Table122[[#This Row],[Sat2]]&amp;" "&amp;Table122[[#This Row],[Column2]]&amp;" "&amp;Table122[[#This Row],[Column3]]&amp;" "&amp;Table122[[#This Row],[Column4]]&amp;" "&amp;Table122[[#This Row],[Column5]]&amp;" "&amp;Table122[[#This Row],[Column6]]&amp;" "&amp;Table122[[#This Row],[Column7]]</f>
        <v>Sat  Ju Me Ma Mo Su</v>
      </c>
      <c r="M96" s="283" t="str">
        <f>IF(Table122[[#This Row],[Sat]],Table122[[#Headers],[Sat]],"")</f>
        <v>Sat</v>
      </c>
      <c r="N96" s="283" t="str">
        <f>IF(Table122[[#This Row],[Ve]],Table122[[#Headers],[Ve]],"")</f>
        <v/>
      </c>
      <c r="O96" s="283" t="str">
        <f>IF(Table122[[#This Row],[Ju]],Table122[[#Headers],[Ju]],"")</f>
        <v>Ju</v>
      </c>
      <c r="P96" s="283" t="str">
        <f>IF(Table122[[#This Row],[Me]],Table122[[#Headers],[Me]],"")</f>
        <v>Me</v>
      </c>
      <c r="Q96" s="283" t="str">
        <f>IF(Table122[[#This Row],[Ma]],Table122[[#Headers],[Ma]],"")</f>
        <v>Ma</v>
      </c>
      <c r="R96" s="283" t="str">
        <f>IF(Table122[[#This Row],[Mo]],Table122[[#Headers],[Mo]],"")</f>
        <v>Mo</v>
      </c>
      <c r="S96" s="283" t="str">
        <f>IF(Table122[[#This Row],[Su]],Table122[[#Headers],[Su]],"")</f>
        <v>Su</v>
      </c>
    </row>
    <row r="97" spans="1:19">
      <c r="A97" s="286">
        <v>96</v>
      </c>
      <c r="B97" s="284">
        <f t="shared" si="14"/>
        <v>1</v>
      </c>
      <c r="C97" s="284">
        <f t="shared" si="15"/>
        <v>1</v>
      </c>
      <c r="D97" s="284">
        <f t="shared" si="16"/>
        <v>0</v>
      </c>
      <c r="E97" s="284">
        <f t="shared" si="17"/>
        <v>0</v>
      </c>
      <c r="F97" s="284">
        <f t="shared" si="18"/>
        <v>0</v>
      </c>
      <c r="G97" s="284">
        <f t="shared" si="19"/>
        <v>0</v>
      </c>
      <c r="H97" s="284">
        <f t="shared" si="20"/>
        <v>0</v>
      </c>
      <c r="I97" s="287">
        <f>SUM(Table122[[#This Row],[Sat]:[Su]])</f>
        <v>2</v>
      </c>
      <c r="L97" s="283" t="str">
        <f>Table122[[#This Row],[Sat2]]&amp;" "&amp;Table122[[#This Row],[Column2]]&amp;" "&amp;Table122[[#This Row],[Column3]]&amp;" "&amp;Table122[[#This Row],[Column4]]&amp;" "&amp;Table122[[#This Row],[Column5]]&amp;" "&amp;Table122[[#This Row],[Column6]]&amp;" "&amp;Table122[[#This Row],[Column7]]</f>
        <v xml:space="preserve">Sat Ve     </v>
      </c>
      <c r="M97" s="283" t="str">
        <f>IF(Table122[[#This Row],[Sat]],Table122[[#Headers],[Sat]],"")</f>
        <v>Sat</v>
      </c>
      <c r="N97" s="283" t="str">
        <f>IF(Table122[[#This Row],[Ve]],Table122[[#Headers],[Ve]],"")</f>
        <v>Ve</v>
      </c>
      <c r="O97" s="283" t="str">
        <f>IF(Table122[[#This Row],[Ju]],Table122[[#Headers],[Ju]],"")</f>
        <v/>
      </c>
      <c r="P97" s="283" t="str">
        <f>IF(Table122[[#This Row],[Me]],Table122[[#Headers],[Me]],"")</f>
        <v/>
      </c>
      <c r="Q97" s="283" t="str">
        <f>IF(Table122[[#This Row],[Ma]],Table122[[#Headers],[Ma]],"")</f>
        <v/>
      </c>
      <c r="R97" s="283" t="str">
        <f>IF(Table122[[#This Row],[Mo]],Table122[[#Headers],[Mo]],"")</f>
        <v/>
      </c>
      <c r="S97" s="283" t="str">
        <f>IF(Table122[[#This Row],[Su]],Table122[[#Headers],[Su]],"")</f>
        <v/>
      </c>
    </row>
    <row r="98" spans="1:19" hidden="1">
      <c r="A98" s="286">
        <v>97</v>
      </c>
      <c r="B98" s="284">
        <f t="shared" ref="B98:B128" si="21">MOD(INT($A98/64),2)</f>
        <v>1</v>
      </c>
      <c r="C98" s="284">
        <f t="shared" ref="C98:C128" si="22">MOD(INT($A98/32),2)</f>
        <v>1</v>
      </c>
      <c r="D98" s="284">
        <f t="shared" ref="D98:D128" si="23">MOD(INT($A98/16),2)</f>
        <v>0</v>
      </c>
      <c r="E98" s="284">
        <f t="shared" ref="E98:E128" si="24">MOD(INT($A98/8),2)</f>
        <v>0</v>
      </c>
      <c r="F98" s="284">
        <f t="shared" ref="F98:F128" si="25">MOD(INT($A98/4),2)</f>
        <v>0</v>
      </c>
      <c r="G98" s="284">
        <f t="shared" ref="G98:G128" si="26">MOD(INT($A98/2),2)</f>
        <v>0</v>
      </c>
      <c r="H98" s="284">
        <f t="shared" ref="H98:H128" si="27">MOD(A98,2)</f>
        <v>1</v>
      </c>
      <c r="I98" s="287">
        <f>SUM(Table122[[#This Row],[Sat]:[Su]])</f>
        <v>3</v>
      </c>
      <c r="L98" s="283" t="str">
        <f>Table122[[#This Row],[Sat2]]&amp;" "&amp;Table122[[#This Row],[Column2]]&amp;" "&amp;Table122[[#This Row],[Column3]]&amp;" "&amp;Table122[[#This Row],[Column4]]&amp;" "&amp;Table122[[#This Row],[Column5]]&amp;" "&amp;Table122[[#This Row],[Column6]]&amp;" "&amp;Table122[[#This Row],[Column7]]</f>
        <v>Sat Ve     Su</v>
      </c>
      <c r="M98" s="283" t="str">
        <f>IF(Table122[[#This Row],[Sat]],Table122[[#Headers],[Sat]],"")</f>
        <v>Sat</v>
      </c>
      <c r="N98" s="283" t="str">
        <f>IF(Table122[[#This Row],[Ve]],Table122[[#Headers],[Ve]],"")</f>
        <v>Ve</v>
      </c>
      <c r="O98" s="283" t="str">
        <f>IF(Table122[[#This Row],[Ju]],Table122[[#Headers],[Ju]],"")</f>
        <v/>
      </c>
      <c r="P98" s="283" t="str">
        <f>IF(Table122[[#This Row],[Me]],Table122[[#Headers],[Me]],"")</f>
        <v/>
      </c>
      <c r="Q98" s="283" t="str">
        <f>IF(Table122[[#This Row],[Ma]],Table122[[#Headers],[Ma]],"")</f>
        <v/>
      </c>
      <c r="R98" s="283" t="str">
        <f>IF(Table122[[#This Row],[Mo]],Table122[[#Headers],[Mo]],"")</f>
        <v/>
      </c>
      <c r="S98" s="283" t="str">
        <f>IF(Table122[[#This Row],[Su]],Table122[[#Headers],[Su]],"")</f>
        <v>Su</v>
      </c>
    </row>
    <row r="99" spans="1:19" hidden="1">
      <c r="A99" s="286">
        <v>98</v>
      </c>
      <c r="B99" s="284">
        <f t="shared" si="21"/>
        <v>1</v>
      </c>
      <c r="C99" s="284">
        <f t="shared" si="22"/>
        <v>1</v>
      </c>
      <c r="D99" s="284">
        <f t="shared" si="23"/>
        <v>0</v>
      </c>
      <c r="E99" s="284">
        <f t="shared" si="24"/>
        <v>0</v>
      </c>
      <c r="F99" s="284">
        <f t="shared" si="25"/>
        <v>0</v>
      </c>
      <c r="G99" s="284">
        <f t="shared" si="26"/>
        <v>1</v>
      </c>
      <c r="H99" s="284">
        <f t="shared" si="27"/>
        <v>0</v>
      </c>
      <c r="I99" s="287">
        <f>SUM(Table122[[#This Row],[Sat]:[Su]])</f>
        <v>3</v>
      </c>
      <c r="L99" s="283" t="str">
        <f>Table122[[#This Row],[Sat2]]&amp;" "&amp;Table122[[#This Row],[Column2]]&amp;" "&amp;Table122[[#This Row],[Column3]]&amp;" "&amp;Table122[[#This Row],[Column4]]&amp;" "&amp;Table122[[#This Row],[Column5]]&amp;" "&amp;Table122[[#This Row],[Column6]]&amp;" "&amp;Table122[[#This Row],[Column7]]</f>
        <v xml:space="preserve">Sat Ve    Mo </v>
      </c>
      <c r="M99" s="283" t="str">
        <f>IF(Table122[[#This Row],[Sat]],Table122[[#Headers],[Sat]],"")</f>
        <v>Sat</v>
      </c>
      <c r="N99" s="283" t="str">
        <f>IF(Table122[[#This Row],[Ve]],Table122[[#Headers],[Ve]],"")</f>
        <v>Ve</v>
      </c>
      <c r="O99" s="283" t="str">
        <f>IF(Table122[[#This Row],[Ju]],Table122[[#Headers],[Ju]],"")</f>
        <v/>
      </c>
      <c r="P99" s="283" t="str">
        <f>IF(Table122[[#This Row],[Me]],Table122[[#Headers],[Me]],"")</f>
        <v/>
      </c>
      <c r="Q99" s="283" t="str">
        <f>IF(Table122[[#This Row],[Ma]],Table122[[#Headers],[Ma]],"")</f>
        <v/>
      </c>
      <c r="R99" s="283" t="str">
        <f>IF(Table122[[#This Row],[Mo]],Table122[[#Headers],[Mo]],"")</f>
        <v>Mo</v>
      </c>
      <c r="S99" s="283" t="str">
        <f>IF(Table122[[#This Row],[Su]],Table122[[#Headers],[Su]],"")</f>
        <v/>
      </c>
    </row>
    <row r="100" spans="1:19" hidden="1">
      <c r="A100" s="286">
        <v>99</v>
      </c>
      <c r="B100" s="284">
        <f t="shared" si="21"/>
        <v>1</v>
      </c>
      <c r="C100" s="284">
        <f t="shared" si="22"/>
        <v>1</v>
      </c>
      <c r="D100" s="284">
        <f t="shared" si="23"/>
        <v>0</v>
      </c>
      <c r="E100" s="284">
        <f t="shared" si="24"/>
        <v>0</v>
      </c>
      <c r="F100" s="284">
        <f t="shared" si="25"/>
        <v>0</v>
      </c>
      <c r="G100" s="284">
        <f t="shared" si="26"/>
        <v>1</v>
      </c>
      <c r="H100" s="284">
        <f t="shared" si="27"/>
        <v>1</v>
      </c>
      <c r="I100" s="287">
        <f>SUM(Table122[[#This Row],[Sat]:[Su]])</f>
        <v>4</v>
      </c>
      <c r="J100" s="283" t="s">
        <v>495</v>
      </c>
      <c r="K100" s="283" t="s">
        <v>530</v>
      </c>
      <c r="L100" s="283" t="str">
        <f>Table122[[#This Row],[Sat2]]&amp;" "&amp;Table122[[#This Row],[Column2]]&amp;" "&amp;Table122[[#This Row],[Column3]]&amp;" "&amp;Table122[[#This Row],[Column4]]&amp;" "&amp;Table122[[#This Row],[Column5]]&amp;" "&amp;Table122[[#This Row],[Column6]]&amp;" "&amp;Table122[[#This Row],[Column7]]</f>
        <v>Sat Ve    Mo Su</v>
      </c>
      <c r="M100" s="283" t="str">
        <f>IF(Table122[[#This Row],[Sat]],Table122[[#Headers],[Sat]],"")</f>
        <v>Sat</v>
      </c>
      <c r="N100" s="283" t="str">
        <f>IF(Table122[[#This Row],[Ve]],Table122[[#Headers],[Ve]],"")</f>
        <v>Ve</v>
      </c>
      <c r="O100" s="283" t="str">
        <f>IF(Table122[[#This Row],[Ju]],Table122[[#Headers],[Ju]],"")</f>
        <v/>
      </c>
      <c r="P100" s="283" t="str">
        <f>IF(Table122[[#This Row],[Me]],Table122[[#Headers],[Me]],"")</f>
        <v/>
      </c>
      <c r="Q100" s="283" t="str">
        <f>IF(Table122[[#This Row],[Ma]],Table122[[#Headers],[Ma]],"")</f>
        <v/>
      </c>
      <c r="R100" s="283" t="str">
        <f>IF(Table122[[#This Row],[Mo]],Table122[[#Headers],[Mo]],"")</f>
        <v>Mo</v>
      </c>
      <c r="S100" s="283" t="str">
        <f>IF(Table122[[#This Row],[Su]],Table122[[#Headers],[Su]],"")</f>
        <v>Su</v>
      </c>
    </row>
    <row r="101" spans="1:19" hidden="1">
      <c r="A101" s="286">
        <v>100</v>
      </c>
      <c r="B101" s="284">
        <f t="shared" si="21"/>
        <v>1</v>
      </c>
      <c r="C101" s="284">
        <f t="shared" si="22"/>
        <v>1</v>
      </c>
      <c r="D101" s="284">
        <f t="shared" si="23"/>
        <v>0</v>
      </c>
      <c r="E101" s="284">
        <f t="shared" si="24"/>
        <v>0</v>
      </c>
      <c r="F101" s="284">
        <f t="shared" si="25"/>
        <v>1</v>
      </c>
      <c r="G101" s="284">
        <f t="shared" si="26"/>
        <v>0</v>
      </c>
      <c r="H101" s="284">
        <f t="shared" si="27"/>
        <v>0</v>
      </c>
      <c r="I101" s="287">
        <f>SUM(Table122[[#This Row],[Sat]:[Su]])</f>
        <v>3</v>
      </c>
      <c r="L101" s="283" t="str">
        <f>Table122[[#This Row],[Sat2]]&amp;" "&amp;Table122[[#This Row],[Column2]]&amp;" "&amp;Table122[[#This Row],[Column3]]&amp;" "&amp;Table122[[#This Row],[Column4]]&amp;" "&amp;Table122[[#This Row],[Column5]]&amp;" "&amp;Table122[[#This Row],[Column6]]&amp;" "&amp;Table122[[#This Row],[Column7]]</f>
        <v xml:space="preserve">Sat Ve   Ma  </v>
      </c>
      <c r="M101" s="283" t="str">
        <f>IF(Table122[[#This Row],[Sat]],Table122[[#Headers],[Sat]],"")</f>
        <v>Sat</v>
      </c>
      <c r="N101" s="283" t="str">
        <f>IF(Table122[[#This Row],[Ve]],Table122[[#Headers],[Ve]],"")</f>
        <v>Ve</v>
      </c>
      <c r="O101" s="283" t="str">
        <f>IF(Table122[[#This Row],[Ju]],Table122[[#Headers],[Ju]],"")</f>
        <v/>
      </c>
      <c r="P101" s="283" t="str">
        <f>IF(Table122[[#This Row],[Me]],Table122[[#Headers],[Me]],"")</f>
        <v/>
      </c>
      <c r="Q101" s="283" t="str">
        <f>IF(Table122[[#This Row],[Ma]],Table122[[#Headers],[Ma]],"")</f>
        <v>Ma</v>
      </c>
      <c r="R101" s="283" t="str">
        <f>IF(Table122[[#This Row],[Mo]],Table122[[#Headers],[Mo]],"")</f>
        <v/>
      </c>
      <c r="S101" s="283" t="str">
        <f>IF(Table122[[#This Row],[Su]],Table122[[#Headers],[Su]],"")</f>
        <v/>
      </c>
    </row>
    <row r="102" spans="1:19" hidden="1">
      <c r="A102" s="286">
        <v>101</v>
      </c>
      <c r="B102" s="284">
        <f t="shared" si="21"/>
        <v>1</v>
      </c>
      <c r="C102" s="284">
        <f t="shared" si="22"/>
        <v>1</v>
      </c>
      <c r="D102" s="284">
        <f t="shared" si="23"/>
        <v>0</v>
      </c>
      <c r="E102" s="284">
        <f t="shared" si="24"/>
        <v>0</v>
      </c>
      <c r="F102" s="284">
        <f t="shared" si="25"/>
        <v>1</v>
      </c>
      <c r="G102" s="284">
        <f t="shared" si="26"/>
        <v>0</v>
      </c>
      <c r="H102" s="284">
        <f t="shared" si="27"/>
        <v>1</v>
      </c>
      <c r="I102" s="287">
        <f>SUM(Table122[[#This Row],[Sat]:[Su]])</f>
        <v>4</v>
      </c>
      <c r="J102" s="283" t="s">
        <v>520</v>
      </c>
      <c r="K102" s="283" t="s">
        <v>521</v>
      </c>
      <c r="L102" s="283" t="str">
        <f>Table122[[#This Row],[Sat2]]&amp;" "&amp;Table122[[#This Row],[Column2]]&amp;" "&amp;Table122[[#This Row],[Column3]]&amp;" "&amp;Table122[[#This Row],[Column4]]&amp;" "&amp;Table122[[#This Row],[Column5]]&amp;" "&amp;Table122[[#This Row],[Column6]]&amp;" "&amp;Table122[[#This Row],[Column7]]</f>
        <v>Sat Ve   Ma  Su</v>
      </c>
      <c r="M102" s="283" t="str">
        <f>IF(Table122[[#This Row],[Sat]],Table122[[#Headers],[Sat]],"")</f>
        <v>Sat</v>
      </c>
      <c r="N102" s="283" t="str">
        <f>IF(Table122[[#This Row],[Ve]],Table122[[#Headers],[Ve]],"")</f>
        <v>Ve</v>
      </c>
      <c r="O102" s="283" t="str">
        <f>IF(Table122[[#This Row],[Ju]],Table122[[#Headers],[Ju]],"")</f>
        <v/>
      </c>
      <c r="P102" s="283" t="str">
        <f>IF(Table122[[#This Row],[Me]],Table122[[#Headers],[Me]],"")</f>
        <v/>
      </c>
      <c r="Q102" s="283" t="str">
        <f>IF(Table122[[#This Row],[Ma]],Table122[[#Headers],[Ma]],"")</f>
        <v>Ma</v>
      </c>
      <c r="R102" s="283" t="str">
        <f>IF(Table122[[#This Row],[Mo]],Table122[[#Headers],[Mo]],"")</f>
        <v/>
      </c>
      <c r="S102" s="283" t="str">
        <f>IF(Table122[[#This Row],[Su]],Table122[[#Headers],[Su]],"")</f>
        <v>Su</v>
      </c>
    </row>
    <row r="103" spans="1:19" hidden="1">
      <c r="A103" s="286">
        <v>102</v>
      </c>
      <c r="B103" s="284">
        <f t="shared" si="21"/>
        <v>1</v>
      </c>
      <c r="C103" s="284">
        <f t="shared" si="22"/>
        <v>1</v>
      </c>
      <c r="D103" s="284">
        <f t="shared" si="23"/>
        <v>0</v>
      </c>
      <c r="E103" s="284">
        <f t="shared" si="24"/>
        <v>0</v>
      </c>
      <c r="F103" s="284">
        <f t="shared" si="25"/>
        <v>1</v>
      </c>
      <c r="G103" s="284">
        <f t="shared" si="26"/>
        <v>1</v>
      </c>
      <c r="H103" s="284">
        <f t="shared" si="27"/>
        <v>0</v>
      </c>
      <c r="I103" s="287">
        <f>SUM(Table122[[#This Row],[Sat]:[Su]])</f>
        <v>4</v>
      </c>
      <c r="L103" s="283" t="str">
        <f>Table122[[#This Row],[Sat2]]&amp;" "&amp;Table122[[#This Row],[Column2]]&amp;" "&amp;Table122[[#This Row],[Column3]]&amp;" "&amp;Table122[[#This Row],[Column4]]&amp;" "&amp;Table122[[#This Row],[Column5]]&amp;" "&amp;Table122[[#This Row],[Column6]]&amp;" "&amp;Table122[[#This Row],[Column7]]</f>
        <v xml:space="preserve">Sat Ve   Ma Mo </v>
      </c>
      <c r="M103" s="283" t="str">
        <f>IF(Table122[[#This Row],[Sat]],Table122[[#Headers],[Sat]],"")</f>
        <v>Sat</v>
      </c>
      <c r="N103" s="283" t="str">
        <f>IF(Table122[[#This Row],[Ve]],Table122[[#Headers],[Ve]],"")</f>
        <v>Ve</v>
      </c>
      <c r="O103" s="283" t="str">
        <f>IF(Table122[[#This Row],[Ju]],Table122[[#Headers],[Ju]],"")</f>
        <v/>
      </c>
      <c r="P103" s="283" t="str">
        <f>IF(Table122[[#This Row],[Me]],Table122[[#Headers],[Me]],"")</f>
        <v/>
      </c>
      <c r="Q103" s="283" t="str">
        <f>IF(Table122[[#This Row],[Ma]],Table122[[#Headers],[Ma]],"")</f>
        <v>Ma</v>
      </c>
      <c r="R103" s="283" t="str">
        <f>IF(Table122[[#This Row],[Mo]],Table122[[#Headers],[Mo]],"")</f>
        <v>Mo</v>
      </c>
      <c r="S103" s="283" t="str">
        <f>IF(Table122[[#This Row],[Su]],Table122[[#Headers],[Su]],"")</f>
        <v/>
      </c>
    </row>
    <row r="104" spans="1:19" hidden="1">
      <c r="A104" s="286">
        <v>103</v>
      </c>
      <c r="B104" s="284">
        <f t="shared" si="21"/>
        <v>1</v>
      </c>
      <c r="C104" s="284">
        <f t="shared" si="22"/>
        <v>1</v>
      </c>
      <c r="D104" s="284">
        <f t="shared" si="23"/>
        <v>0</v>
      </c>
      <c r="E104" s="284">
        <f t="shared" si="24"/>
        <v>0</v>
      </c>
      <c r="F104" s="284">
        <f t="shared" si="25"/>
        <v>1</v>
      </c>
      <c r="G104" s="284">
        <f t="shared" si="26"/>
        <v>1</v>
      </c>
      <c r="H104" s="284">
        <f t="shared" si="27"/>
        <v>1</v>
      </c>
      <c r="I104" s="287">
        <f>SUM(Table122[[#This Row],[Sat]:[Su]])</f>
        <v>5</v>
      </c>
      <c r="J104" s="283" t="s">
        <v>522</v>
      </c>
      <c r="K104" s="283" t="s">
        <v>523</v>
      </c>
      <c r="L104" s="283" t="str">
        <f>Table122[[#This Row],[Sat2]]&amp;" "&amp;Table122[[#This Row],[Column2]]&amp;" "&amp;Table122[[#This Row],[Column3]]&amp;" "&amp;Table122[[#This Row],[Column4]]&amp;" "&amp;Table122[[#This Row],[Column5]]&amp;" "&amp;Table122[[#This Row],[Column6]]&amp;" "&amp;Table122[[#This Row],[Column7]]</f>
        <v>Sat Ve   Ma Mo Su</v>
      </c>
      <c r="M104" s="283" t="str">
        <f>IF(Table122[[#This Row],[Sat]],Table122[[#Headers],[Sat]],"")</f>
        <v>Sat</v>
      </c>
      <c r="N104" s="283" t="str">
        <f>IF(Table122[[#This Row],[Ve]],Table122[[#Headers],[Ve]],"")</f>
        <v>Ve</v>
      </c>
      <c r="O104" s="283" t="str">
        <f>IF(Table122[[#This Row],[Ju]],Table122[[#Headers],[Ju]],"")</f>
        <v/>
      </c>
      <c r="P104" s="283" t="str">
        <f>IF(Table122[[#This Row],[Me]],Table122[[#Headers],[Me]],"")</f>
        <v/>
      </c>
      <c r="Q104" s="283" t="str">
        <f>IF(Table122[[#This Row],[Ma]],Table122[[#Headers],[Ma]],"")</f>
        <v>Ma</v>
      </c>
      <c r="R104" s="283" t="str">
        <f>IF(Table122[[#This Row],[Mo]],Table122[[#Headers],[Mo]],"")</f>
        <v>Mo</v>
      </c>
      <c r="S104" s="283" t="str">
        <f>IF(Table122[[#This Row],[Su]],Table122[[#Headers],[Su]],"")</f>
        <v>Su</v>
      </c>
    </row>
    <row r="105" spans="1:19" hidden="1">
      <c r="A105" s="286">
        <v>104</v>
      </c>
      <c r="B105" s="284">
        <f t="shared" si="21"/>
        <v>1</v>
      </c>
      <c r="C105" s="284">
        <f t="shared" si="22"/>
        <v>1</v>
      </c>
      <c r="D105" s="284">
        <f t="shared" si="23"/>
        <v>0</v>
      </c>
      <c r="E105" s="284">
        <f t="shared" si="24"/>
        <v>1</v>
      </c>
      <c r="F105" s="284">
        <f t="shared" si="25"/>
        <v>0</v>
      </c>
      <c r="G105" s="284">
        <f t="shared" si="26"/>
        <v>0</v>
      </c>
      <c r="H105" s="284">
        <f t="shared" si="27"/>
        <v>0</v>
      </c>
      <c r="I105" s="287">
        <f>SUM(Table122[[#This Row],[Sat]:[Su]])</f>
        <v>3</v>
      </c>
      <c r="L105" s="283" t="str">
        <f>Table122[[#This Row],[Sat2]]&amp;" "&amp;Table122[[#This Row],[Column2]]&amp;" "&amp;Table122[[#This Row],[Column3]]&amp;" "&amp;Table122[[#This Row],[Column4]]&amp;" "&amp;Table122[[#This Row],[Column5]]&amp;" "&amp;Table122[[#This Row],[Column6]]&amp;" "&amp;Table122[[#This Row],[Column7]]</f>
        <v xml:space="preserve">Sat Ve  Me   </v>
      </c>
      <c r="M105" s="283" t="str">
        <f>IF(Table122[[#This Row],[Sat]],Table122[[#Headers],[Sat]],"")</f>
        <v>Sat</v>
      </c>
      <c r="N105" s="283" t="str">
        <f>IF(Table122[[#This Row],[Ve]],Table122[[#Headers],[Ve]],"")</f>
        <v>Ve</v>
      </c>
      <c r="O105" s="283" t="str">
        <f>IF(Table122[[#This Row],[Ju]],Table122[[#Headers],[Ju]],"")</f>
        <v/>
      </c>
      <c r="P105" s="283" t="str">
        <f>IF(Table122[[#This Row],[Me]],Table122[[#Headers],[Me]],"")</f>
        <v>Me</v>
      </c>
      <c r="Q105" s="283" t="str">
        <f>IF(Table122[[#This Row],[Ma]],Table122[[#Headers],[Ma]],"")</f>
        <v/>
      </c>
      <c r="R105" s="283" t="str">
        <f>IF(Table122[[#This Row],[Mo]],Table122[[#Headers],[Mo]],"")</f>
        <v/>
      </c>
      <c r="S105" s="283" t="str">
        <f>IF(Table122[[#This Row],[Su]],Table122[[#Headers],[Su]],"")</f>
        <v/>
      </c>
    </row>
    <row r="106" spans="1:19" hidden="1">
      <c r="A106" s="286">
        <v>105</v>
      </c>
      <c r="B106" s="284">
        <f t="shared" si="21"/>
        <v>1</v>
      </c>
      <c r="C106" s="284">
        <f t="shared" si="22"/>
        <v>1</v>
      </c>
      <c r="D106" s="284">
        <f t="shared" si="23"/>
        <v>0</v>
      </c>
      <c r="E106" s="284">
        <f t="shared" si="24"/>
        <v>1</v>
      </c>
      <c r="F106" s="284">
        <f t="shared" si="25"/>
        <v>0</v>
      </c>
      <c r="G106" s="284">
        <f t="shared" si="26"/>
        <v>0</v>
      </c>
      <c r="H106" s="284">
        <f t="shared" si="27"/>
        <v>1</v>
      </c>
      <c r="I106" s="287">
        <f>SUM(Table122[[#This Row],[Sat]:[Su]])</f>
        <v>4</v>
      </c>
      <c r="L106" s="283" t="str">
        <f>Table122[[#This Row],[Sat2]]&amp;" "&amp;Table122[[#This Row],[Column2]]&amp;" "&amp;Table122[[#This Row],[Column3]]&amp;" "&amp;Table122[[#This Row],[Column4]]&amp;" "&amp;Table122[[#This Row],[Column5]]&amp;" "&amp;Table122[[#This Row],[Column6]]&amp;" "&amp;Table122[[#This Row],[Column7]]</f>
        <v>Sat Ve  Me   Su</v>
      </c>
      <c r="M106" s="283" t="str">
        <f>IF(Table122[[#This Row],[Sat]],Table122[[#Headers],[Sat]],"")</f>
        <v>Sat</v>
      </c>
      <c r="N106" s="283" t="str">
        <f>IF(Table122[[#This Row],[Ve]],Table122[[#Headers],[Ve]],"")</f>
        <v>Ve</v>
      </c>
      <c r="O106" s="283" t="str">
        <f>IF(Table122[[#This Row],[Ju]],Table122[[#Headers],[Ju]],"")</f>
        <v/>
      </c>
      <c r="P106" s="283" t="str">
        <f>IF(Table122[[#This Row],[Me]],Table122[[#Headers],[Me]],"")</f>
        <v>Me</v>
      </c>
      <c r="Q106" s="283" t="str">
        <f>IF(Table122[[#This Row],[Ma]],Table122[[#Headers],[Ma]],"")</f>
        <v/>
      </c>
      <c r="R106" s="283" t="str">
        <f>IF(Table122[[#This Row],[Mo]],Table122[[#Headers],[Mo]],"")</f>
        <v/>
      </c>
      <c r="S106" s="283" t="str">
        <f>IF(Table122[[#This Row],[Su]],Table122[[#Headers],[Su]],"")</f>
        <v>Su</v>
      </c>
    </row>
    <row r="107" spans="1:19" hidden="1">
      <c r="A107" s="286">
        <v>106</v>
      </c>
      <c r="B107" s="284">
        <f t="shared" si="21"/>
        <v>1</v>
      </c>
      <c r="C107" s="284">
        <f t="shared" si="22"/>
        <v>1</v>
      </c>
      <c r="D107" s="284">
        <f t="shared" si="23"/>
        <v>0</v>
      </c>
      <c r="E107" s="284">
        <f t="shared" si="24"/>
        <v>1</v>
      </c>
      <c r="F107" s="284">
        <f t="shared" si="25"/>
        <v>0</v>
      </c>
      <c r="G107" s="284">
        <f t="shared" si="26"/>
        <v>1</v>
      </c>
      <c r="H107" s="284">
        <f t="shared" si="27"/>
        <v>0</v>
      </c>
      <c r="I107" s="287">
        <f>SUM(Table122[[#This Row],[Sat]:[Su]])</f>
        <v>4</v>
      </c>
      <c r="L107" s="283" t="str">
        <f>Table122[[#This Row],[Sat2]]&amp;" "&amp;Table122[[#This Row],[Column2]]&amp;" "&amp;Table122[[#This Row],[Column3]]&amp;" "&amp;Table122[[#This Row],[Column4]]&amp;" "&amp;Table122[[#This Row],[Column5]]&amp;" "&amp;Table122[[#This Row],[Column6]]&amp;" "&amp;Table122[[#This Row],[Column7]]</f>
        <v xml:space="preserve">Sat Ve  Me  Mo </v>
      </c>
      <c r="M107" s="283" t="str">
        <f>IF(Table122[[#This Row],[Sat]],Table122[[#Headers],[Sat]],"")</f>
        <v>Sat</v>
      </c>
      <c r="N107" s="283" t="str">
        <f>IF(Table122[[#This Row],[Ve]],Table122[[#Headers],[Ve]],"")</f>
        <v>Ve</v>
      </c>
      <c r="O107" s="283" t="str">
        <f>IF(Table122[[#This Row],[Ju]],Table122[[#Headers],[Ju]],"")</f>
        <v/>
      </c>
      <c r="P107" s="283" t="str">
        <f>IF(Table122[[#This Row],[Me]],Table122[[#Headers],[Me]],"")</f>
        <v>Me</v>
      </c>
      <c r="Q107" s="283" t="str">
        <f>IF(Table122[[#This Row],[Ma]],Table122[[#Headers],[Ma]],"")</f>
        <v/>
      </c>
      <c r="R107" s="283" t="str">
        <f>IF(Table122[[#This Row],[Mo]],Table122[[#Headers],[Mo]],"")</f>
        <v>Mo</v>
      </c>
      <c r="S107" s="283" t="str">
        <f>IF(Table122[[#This Row],[Su]],Table122[[#Headers],[Su]],"")</f>
        <v/>
      </c>
    </row>
    <row r="108" spans="1:19" hidden="1">
      <c r="A108" s="286">
        <v>107</v>
      </c>
      <c r="B108" s="284">
        <f t="shared" si="21"/>
        <v>1</v>
      </c>
      <c r="C108" s="284">
        <f t="shared" si="22"/>
        <v>1</v>
      </c>
      <c r="D108" s="284">
        <f t="shared" si="23"/>
        <v>0</v>
      </c>
      <c r="E108" s="284">
        <f t="shared" si="24"/>
        <v>1</v>
      </c>
      <c r="F108" s="284">
        <f t="shared" si="25"/>
        <v>0</v>
      </c>
      <c r="G108" s="284">
        <f t="shared" si="26"/>
        <v>1</v>
      </c>
      <c r="H108" s="284">
        <f t="shared" si="27"/>
        <v>1</v>
      </c>
      <c r="I108" s="287">
        <f>SUM(Table122[[#This Row],[Sat]:[Su]])</f>
        <v>5</v>
      </c>
      <c r="L108" s="283" t="str">
        <f>Table122[[#This Row],[Sat2]]&amp;" "&amp;Table122[[#This Row],[Column2]]&amp;" "&amp;Table122[[#This Row],[Column3]]&amp;" "&amp;Table122[[#This Row],[Column4]]&amp;" "&amp;Table122[[#This Row],[Column5]]&amp;" "&amp;Table122[[#This Row],[Column6]]&amp;" "&amp;Table122[[#This Row],[Column7]]</f>
        <v>Sat Ve  Me  Mo Su</v>
      </c>
      <c r="M108" s="283" t="str">
        <f>IF(Table122[[#This Row],[Sat]],Table122[[#Headers],[Sat]],"")</f>
        <v>Sat</v>
      </c>
      <c r="N108" s="283" t="str">
        <f>IF(Table122[[#This Row],[Ve]],Table122[[#Headers],[Ve]],"")</f>
        <v>Ve</v>
      </c>
      <c r="O108" s="283" t="str">
        <f>IF(Table122[[#This Row],[Ju]],Table122[[#Headers],[Ju]],"")</f>
        <v/>
      </c>
      <c r="P108" s="283" t="str">
        <f>IF(Table122[[#This Row],[Me]],Table122[[#Headers],[Me]],"")</f>
        <v>Me</v>
      </c>
      <c r="Q108" s="283" t="str">
        <f>IF(Table122[[#This Row],[Ma]],Table122[[#Headers],[Ma]],"")</f>
        <v/>
      </c>
      <c r="R108" s="283" t="str">
        <f>IF(Table122[[#This Row],[Mo]],Table122[[#Headers],[Mo]],"")</f>
        <v>Mo</v>
      </c>
      <c r="S108" s="283" t="str">
        <f>IF(Table122[[#This Row],[Su]],Table122[[#Headers],[Su]],"")</f>
        <v>Su</v>
      </c>
    </row>
    <row r="109" spans="1:19" hidden="1">
      <c r="A109" s="286">
        <v>108</v>
      </c>
      <c r="B109" s="284">
        <f t="shared" si="21"/>
        <v>1</v>
      </c>
      <c r="C109" s="284">
        <f t="shared" si="22"/>
        <v>1</v>
      </c>
      <c r="D109" s="284">
        <f t="shared" si="23"/>
        <v>0</v>
      </c>
      <c r="E109" s="284">
        <f t="shared" si="24"/>
        <v>1</v>
      </c>
      <c r="F109" s="284">
        <f t="shared" si="25"/>
        <v>1</v>
      </c>
      <c r="G109" s="284">
        <f t="shared" si="26"/>
        <v>0</v>
      </c>
      <c r="H109" s="284">
        <f t="shared" si="27"/>
        <v>0</v>
      </c>
      <c r="I109" s="287">
        <f>SUM(Table122[[#This Row],[Sat]:[Su]])</f>
        <v>4</v>
      </c>
      <c r="J109" s="283" t="s">
        <v>504</v>
      </c>
      <c r="K109" s="283" t="s">
        <v>531</v>
      </c>
      <c r="L109" s="283" t="str">
        <f>Table122[[#This Row],[Sat2]]&amp;" "&amp;Table122[[#This Row],[Column2]]&amp;" "&amp;Table122[[#This Row],[Column3]]&amp;" "&amp;Table122[[#This Row],[Column4]]&amp;" "&amp;Table122[[#This Row],[Column5]]&amp;" "&amp;Table122[[#This Row],[Column6]]&amp;" "&amp;Table122[[#This Row],[Column7]]</f>
        <v xml:space="preserve">Sat Ve  Me Ma  </v>
      </c>
      <c r="M109" s="283" t="str">
        <f>IF(Table122[[#This Row],[Sat]],Table122[[#Headers],[Sat]],"")</f>
        <v>Sat</v>
      </c>
      <c r="N109" s="283" t="str">
        <f>IF(Table122[[#This Row],[Ve]],Table122[[#Headers],[Ve]],"")</f>
        <v>Ve</v>
      </c>
      <c r="O109" s="283" t="str">
        <f>IF(Table122[[#This Row],[Ju]],Table122[[#Headers],[Ju]],"")</f>
        <v/>
      </c>
      <c r="P109" s="283" t="str">
        <f>IF(Table122[[#This Row],[Me]],Table122[[#Headers],[Me]],"")</f>
        <v>Me</v>
      </c>
      <c r="Q109" s="283" t="str">
        <f>IF(Table122[[#This Row],[Ma]],Table122[[#Headers],[Ma]],"")</f>
        <v>Ma</v>
      </c>
      <c r="R109" s="283" t="str">
        <f>IF(Table122[[#This Row],[Mo]],Table122[[#Headers],[Mo]],"")</f>
        <v/>
      </c>
      <c r="S109" s="283" t="str">
        <f>IF(Table122[[#This Row],[Su]],Table122[[#Headers],[Su]],"")</f>
        <v/>
      </c>
    </row>
    <row r="110" spans="1:19" hidden="1">
      <c r="A110" s="286">
        <v>109</v>
      </c>
      <c r="B110" s="284">
        <f t="shared" si="21"/>
        <v>1</v>
      </c>
      <c r="C110" s="284">
        <f t="shared" si="22"/>
        <v>1</v>
      </c>
      <c r="D110" s="284">
        <f t="shared" si="23"/>
        <v>0</v>
      </c>
      <c r="E110" s="284">
        <f t="shared" si="24"/>
        <v>1</v>
      </c>
      <c r="F110" s="284">
        <f t="shared" si="25"/>
        <v>1</v>
      </c>
      <c r="G110" s="284">
        <f t="shared" si="26"/>
        <v>0</v>
      </c>
      <c r="H110" s="284">
        <f t="shared" si="27"/>
        <v>1</v>
      </c>
      <c r="I110" s="287">
        <f>SUM(Table122[[#This Row],[Sat]:[Su]])</f>
        <v>5</v>
      </c>
      <c r="J110" s="283" t="s">
        <v>522</v>
      </c>
      <c r="K110" s="283" t="s">
        <v>523</v>
      </c>
      <c r="L110" s="283" t="str">
        <f>Table122[[#This Row],[Sat2]]&amp;" "&amp;Table122[[#This Row],[Column2]]&amp;" "&amp;Table122[[#This Row],[Column3]]&amp;" "&amp;Table122[[#This Row],[Column4]]&amp;" "&amp;Table122[[#This Row],[Column5]]&amp;" "&amp;Table122[[#This Row],[Column6]]&amp;" "&amp;Table122[[#This Row],[Column7]]</f>
        <v>Sat Ve  Me Ma  Su</v>
      </c>
      <c r="M110" s="283" t="str">
        <f>IF(Table122[[#This Row],[Sat]],Table122[[#Headers],[Sat]],"")</f>
        <v>Sat</v>
      </c>
      <c r="N110" s="283" t="str">
        <f>IF(Table122[[#This Row],[Ve]],Table122[[#Headers],[Ve]],"")</f>
        <v>Ve</v>
      </c>
      <c r="O110" s="283" t="str">
        <f>IF(Table122[[#This Row],[Ju]],Table122[[#Headers],[Ju]],"")</f>
        <v/>
      </c>
      <c r="P110" s="283" t="str">
        <f>IF(Table122[[#This Row],[Me]],Table122[[#Headers],[Me]],"")</f>
        <v>Me</v>
      </c>
      <c r="Q110" s="283" t="str">
        <f>IF(Table122[[#This Row],[Ma]],Table122[[#Headers],[Ma]],"")</f>
        <v>Ma</v>
      </c>
      <c r="R110" s="283" t="str">
        <f>IF(Table122[[#This Row],[Mo]],Table122[[#Headers],[Mo]],"")</f>
        <v/>
      </c>
      <c r="S110" s="283" t="str">
        <f>IF(Table122[[#This Row],[Su]],Table122[[#Headers],[Su]],"")</f>
        <v>Su</v>
      </c>
    </row>
    <row r="111" spans="1:19" hidden="1">
      <c r="A111" s="286">
        <v>110</v>
      </c>
      <c r="B111" s="284">
        <f t="shared" si="21"/>
        <v>1</v>
      </c>
      <c r="C111" s="284">
        <f t="shared" si="22"/>
        <v>1</v>
      </c>
      <c r="D111" s="284">
        <f t="shared" si="23"/>
        <v>0</v>
      </c>
      <c r="E111" s="284">
        <f t="shared" si="24"/>
        <v>1</v>
      </c>
      <c r="F111" s="284">
        <f t="shared" si="25"/>
        <v>1</v>
      </c>
      <c r="G111" s="284">
        <f t="shared" si="26"/>
        <v>1</v>
      </c>
      <c r="H111" s="284">
        <f t="shared" si="27"/>
        <v>0</v>
      </c>
      <c r="I111" s="287">
        <f>SUM(Table122[[#This Row],[Sat]:[Su]])</f>
        <v>5</v>
      </c>
      <c r="J111" s="283" t="s">
        <v>526</v>
      </c>
      <c r="K111" s="283" t="s">
        <v>527</v>
      </c>
      <c r="L111" s="283" t="str">
        <f>Table122[[#This Row],[Sat2]]&amp;" "&amp;Table122[[#This Row],[Column2]]&amp;" "&amp;Table122[[#This Row],[Column3]]&amp;" "&amp;Table122[[#This Row],[Column4]]&amp;" "&amp;Table122[[#This Row],[Column5]]&amp;" "&amp;Table122[[#This Row],[Column6]]&amp;" "&amp;Table122[[#This Row],[Column7]]</f>
        <v xml:space="preserve">Sat Ve  Me Ma Mo </v>
      </c>
      <c r="M111" s="283" t="str">
        <f>IF(Table122[[#This Row],[Sat]],Table122[[#Headers],[Sat]],"")</f>
        <v>Sat</v>
      </c>
      <c r="N111" s="283" t="str">
        <f>IF(Table122[[#This Row],[Ve]],Table122[[#Headers],[Ve]],"")</f>
        <v>Ve</v>
      </c>
      <c r="O111" s="283" t="str">
        <f>IF(Table122[[#This Row],[Ju]],Table122[[#Headers],[Ju]],"")</f>
        <v/>
      </c>
      <c r="P111" s="283" t="str">
        <f>IF(Table122[[#This Row],[Me]],Table122[[#Headers],[Me]],"")</f>
        <v>Me</v>
      </c>
      <c r="Q111" s="283" t="str">
        <f>IF(Table122[[#This Row],[Ma]],Table122[[#Headers],[Ma]],"")</f>
        <v>Ma</v>
      </c>
      <c r="R111" s="283" t="str">
        <f>IF(Table122[[#This Row],[Mo]],Table122[[#Headers],[Mo]],"")</f>
        <v>Mo</v>
      </c>
      <c r="S111" s="283" t="str">
        <f>IF(Table122[[#This Row],[Su]],Table122[[#Headers],[Su]],"")</f>
        <v/>
      </c>
    </row>
    <row r="112" spans="1:19" hidden="1">
      <c r="A112" s="286">
        <v>111</v>
      </c>
      <c r="B112" s="284">
        <f t="shared" si="21"/>
        <v>1</v>
      </c>
      <c r="C112" s="284">
        <f t="shared" si="22"/>
        <v>1</v>
      </c>
      <c r="D112" s="284">
        <f t="shared" si="23"/>
        <v>0</v>
      </c>
      <c r="E112" s="284">
        <f t="shared" si="24"/>
        <v>1</v>
      </c>
      <c r="F112" s="284">
        <f t="shared" si="25"/>
        <v>1</v>
      </c>
      <c r="G112" s="284">
        <f t="shared" si="26"/>
        <v>1</v>
      </c>
      <c r="H112" s="284">
        <f t="shared" si="27"/>
        <v>1</v>
      </c>
      <c r="I112" s="287">
        <f>SUM(Table122[[#This Row],[Sat]:[Su]])</f>
        <v>6</v>
      </c>
      <c r="J112" s="283" t="s">
        <v>528</v>
      </c>
      <c r="K112" s="283" t="s">
        <v>532</v>
      </c>
      <c r="L112" s="283" t="str">
        <f>Table122[[#This Row],[Sat2]]&amp;" "&amp;Table122[[#This Row],[Column2]]&amp;" "&amp;Table122[[#This Row],[Column3]]&amp;" "&amp;Table122[[#This Row],[Column4]]&amp;" "&amp;Table122[[#This Row],[Column5]]&amp;" "&amp;Table122[[#This Row],[Column6]]&amp;" "&amp;Table122[[#This Row],[Column7]]</f>
        <v>Sat Ve  Me Ma Mo Su</v>
      </c>
      <c r="M112" s="283" t="str">
        <f>IF(Table122[[#This Row],[Sat]],Table122[[#Headers],[Sat]],"")</f>
        <v>Sat</v>
      </c>
      <c r="N112" s="283" t="str">
        <f>IF(Table122[[#This Row],[Ve]],Table122[[#Headers],[Ve]],"")</f>
        <v>Ve</v>
      </c>
      <c r="O112" s="283" t="str">
        <f>IF(Table122[[#This Row],[Ju]],Table122[[#Headers],[Ju]],"")</f>
        <v/>
      </c>
      <c r="P112" s="283" t="str">
        <f>IF(Table122[[#This Row],[Me]],Table122[[#Headers],[Me]],"")</f>
        <v>Me</v>
      </c>
      <c r="Q112" s="283" t="str">
        <f>IF(Table122[[#This Row],[Ma]],Table122[[#Headers],[Ma]],"")</f>
        <v>Ma</v>
      </c>
      <c r="R112" s="283" t="str">
        <f>IF(Table122[[#This Row],[Mo]],Table122[[#Headers],[Mo]],"")</f>
        <v>Mo</v>
      </c>
      <c r="S112" s="283" t="str">
        <f>IF(Table122[[#This Row],[Su]],Table122[[#Headers],[Su]],"")</f>
        <v>Su</v>
      </c>
    </row>
    <row r="113" spans="1:19" hidden="1">
      <c r="A113" s="286">
        <v>112</v>
      </c>
      <c r="B113" s="284">
        <f t="shared" si="21"/>
        <v>1</v>
      </c>
      <c r="C113" s="284">
        <f t="shared" si="22"/>
        <v>1</v>
      </c>
      <c r="D113" s="284">
        <f t="shared" si="23"/>
        <v>1</v>
      </c>
      <c r="E113" s="284">
        <f t="shared" si="24"/>
        <v>0</v>
      </c>
      <c r="F113" s="284">
        <f t="shared" si="25"/>
        <v>0</v>
      </c>
      <c r="G113" s="284">
        <f t="shared" si="26"/>
        <v>0</v>
      </c>
      <c r="H113" s="284">
        <f t="shared" si="27"/>
        <v>0</v>
      </c>
      <c r="I113" s="287">
        <f>SUM(Table122[[#This Row],[Sat]:[Su]])</f>
        <v>3</v>
      </c>
      <c r="L113" s="283" t="str">
        <f>Table122[[#This Row],[Sat2]]&amp;" "&amp;Table122[[#This Row],[Column2]]&amp;" "&amp;Table122[[#This Row],[Column3]]&amp;" "&amp;Table122[[#This Row],[Column4]]&amp;" "&amp;Table122[[#This Row],[Column5]]&amp;" "&amp;Table122[[#This Row],[Column6]]&amp;" "&amp;Table122[[#This Row],[Column7]]</f>
        <v xml:space="preserve">Sat Ve Ju    </v>
      </c>
      <c r="M113" s="283" t="str">
        <f>IF(Table122[[#This Row],[Sat]],Table122[[#Headers],[Sat]],"")</f>
        <v>Sat</v>
      </c>
      <c r="N113" s="283" t="str">
        <f>IF(Table122[[#This Row],[Ve]],Table122[[#Headers],[Ve]],"")</f>
        <v>Ve</v>
      </c>
      <c r="O113" s="283" t="str">
        <f>IF(Table122[[#This Row],[Ju]],Table122[[#Headers],[Ju]],"")</f>
        <v>Ju</v>
      </c>
      <c r="P113" s="283" t="str">
        <f>IF(Table122[[#This Row],[Me]],Table122[[#Headers],[Me]],"")</f>
        <v/>
      </c>
      <c r="Q113" s="283" t="str">
        <f>IF(Table122[[#This Row],[Ma]],Table122[[#Headers],[Ma]],"")</f>
        <v/>
      </c>
      <c r="R113" s="283" t="str">
        <f>IF(Table122[[#This Row],[Mo]],Table122[[#Headers],[Mo]],"")</f>
        <v/>
      </c>
      <c r="S113" s="283" t="str">
        <f>IF(Table122[[#This Row],[Su]],Table122[[#Headers],[Su]],"")</f>
        <v/>
      </c>
    </row>
    <row r="114" spans="1:19" hidden="1">
      <c r="A114" s="286">
        <v>113</v>
      </c>
      <c r="B114" s="284">
        <f t="shared" si="21"/>
        <v>1</v>
      </c>
      <c r="C114" s="284">
        <f t="shared" si="22"/>
        <v>1</v>
      </c>
      <c r="D114" s="284">
        <f t="shared" si="23"/>
        <v>1</v>
      </c>
      <c r="E114" s="284">
        <f t="shared" si="24"/>
        <v>0</v>
      </c>
      <c r="F114" s="284">
        <f t="shared" si="25"/>
        <v>0</v>
      </c>
      <c r="G114" s="284">
        <f t="shared" si="26"/>
        <v>0</v>
      </c>
      <c r="H114" s="284">
        <f t="shared" si="27"/>
        <v>1</v>
      </c>
      <c r="I114" s="287">
        <f>SUM(Table122[[#This Row],[Sat]:[Su]])</f>
        <v>4</v>
      </c>
      <c r="J114" s="283" t="s">
        <v>490</v>
      </c>
      <c r="K114" s="283" t="s">
        <v>533</v>
      </c>
      <c r="L114" s="283" t="str">
        <f>Table122[[#This Row],[Sat2]]&amp;" "&amp;Table122[[#This Row],[Column2]]&amp;" "&amp;Table122[[#This Row],[Column3]]&amp;" "&amp;Table122[[#This Row],[Column4]]&amp;" "&amp;Table122[[#This Row],[Column5]]&amp;" "&amp;Table122[[#This Row],[Column6]]&amp;" "&amp;Table122[[#This Row],[Column7]]</f>
        <v>Sat Ve Ju    Su</v>
      </c>
      <c r="M114" s="283" t="str">
        <f>IF(Table122[[#This Row],[Sat]],Table122[[#Headers],[Sat]],"")</f>
        <v>Sat</v>
      </c>
      <c r="N114" s="283" t="str">
        <f>IF(Table122[[#This Row],[Ve]],Table122[[#Headers],[Ve]],"")</f>
        <v>Ve</v>
      </c>
      <c r="O114" s="283" t="str">
        <f>IF(Table122[[#This Row],[Ju]],Table122[[#Headers],[Ju]],"")</f>
        <v>Ju</v>
      </c>
      <c r="P114" s="283" t="str">
        <f>IF(Table122[[#This Row],[Me]],Table122[[#Headers],[Me]],"")</f>
        <v/>
      </c>
      <c r="Q114" s="283" t="str">
        <f>IF(Table122[[#This Row],[Ma]],Table122[[#Headers],[Ma]],"")</f>
        <v/>
      </c>
      <c r="R114" s="283" t="str">
        <f>IF(Table122[[#This Row],[Mo]],Table122[[#Headers],[Mo]],"")</f>
        <v/>
      </c>
      <c r="S114" s="283" t="str">
        <f>IF(Table122[[#This Row],[Su]],Table122[[#Headers],[Su]],"")</f>
        <v>Su</v>
      </c>
    </row>
    <row r="115" spans="1:19" hidden="1">
      <c r="A115" s="286">
        <v>114</v>
      </c>
      <c r="B115" s="284">
        <f t="shared" si="21"/>
        <v>1</v>
      </c>
      <c r="C115" s="284">
        <f t="shared" si="22"/>
        <v>1</v>
      </c>
      <c r="D115" s="284">
        <f t="shared" si="23"/>
        <v>1</v>
      </c>
      <c r="E115" s="284">
        <f t="shared" si="24"/>
        <v>0</v>
      </c>
      <c r="F115" s="284">
        <f t="shared" si="25"/>
        <v>0</v>
      </c>
      <c r="G115" s="284">
        <f t="shared" si="26"/>
        <v>1</v>
      </c>
      <c r="H115" s="284">
        <f t="shared" si="27"/>
        <v>0</v>
      </c>
      <c r="I115" s="287">
        <f>SUM(Table122[[#This Row],[Sat]:[Su]])</f>
        <v>4</v>
      </c>
      <c r="J115" s="283" t="s">
        <v>534</v>
      </c>
      <c r="K115" s="283" t="s">
        <v>535</v>
      </c>
      <c r="L115" s="283" t="str">
        <f>Table122[[#This Row],[Sat2]]&amp;" "&amp;Table122[[#This Row],[Column2]]&amp;" "&amp;Table122[[#This Row],[Column3]]&amp;" "&amp;Table122[[#This Row],[Column4]]&amp;" "&amp;Table122[[#This Row],[Column5]]&amp;" "&amp;Table122[[#This Row],[Column6]]&amp;" "&amp;Table122[[#This Row],[Column7]]</f>
        <v xml:space="preserve">Sat Ve Ju   Mo </v>
      </c>
      <c r="M115" s="283" t="str">
        <f>IF(Table122[[#This Row],[Sat]],Table122[[#Headers],[Sat]],"")</f>
        <v>Sat</v>
      </c>
      <c r="N115" s="283" t="str">
        <f>IF(Table122[[#This Row],[Ve]],Table122[[#Headers],[Ve]],"")</f>
        <v>Ve</v>
      </c>
      <c r="O115" s="283" t="str">
        <f>IF(Table122[[#This Row],[Ju]],Table122[[#Headers],[Ju]],"")</f>
        <v>Ju</v>
      </c>
      <c r="P115" s="283" t="str">
        <f>IF(Table122[[#This Row],[Me]],Table122[[#Headers],[Me]],"")</f>
        <v/>
      </c>
      <c r="Q115" s="283" t="str">
        <f>IF(Table122[[#This Row],[Ma]],Table122[[#Headers],[Ma]],"")</f>
        <v/>
      </c>
      <c r="R115" s="283" t="str">
        <f>IF(Table122[[#This Row],[Mo]],Table122[[#Headers],[Mo]],"")</f>
        <v>Mo</v>
      </c>
      <c r="S115" s="283" t="str">
        <f>IF(Table122[[#This Row],[Su]],Table122[[#Headers],[Su]],"")</f>
        <v/>
      </c>
    </row>
    <row r="116" spans="1:19" hidden="1">
      <c r="A116" s="286">
        <v>115</v>
      </c>
      <c r="B116" s="284">
        <f t="shared" si="21"/>
        <v>1</v>
      </c>
      <c r="C116" s="284">
        <f t="shared" si="22"/>
        <v>1</v>
      </c>
      <c r="D116" s="284">
        <f t="shared" si="23"/>
        <v>1</v>
      </c>
      <c r="E116" s="284">
        <f t="shared" si="24"/>
        <v>0</v>
      </c>
      <c r="F116" s="284">
        <f t="shared" si="25"/>
        <v>0</v>
      </c>
      <c r="G116" s="284">
        <f t="shared" si="26"/>
        <v>1</v>
      </c>
      <c r="H116" s="284">
        <f t="shared" si="27"/>
        <v>1</v>
      </c>
      <c r="I116" s="287">
        <f>SUM(Table122[[#This Row],[Sat]:[Su]])</f>
        <v>5</v>
      </c>
      <c r="L116" s="283" t="str">
        <f>Table122[[#This Row],[Sat2]]&amp;" "&amp;Table122[[#This Row],[Column2]]&amp;" "&amp;Table122[[#This Row],[Column3]]&amp;" "&amp;Table122[[#This Row],[Column4]]&amp;" "&amp;Table122[[#This Row],[Column5]]&amp;" "&amp;Table122[[#This Row],[Column6]]&amp;" "&amp;Table122[[#This Row],[Column7]]</f>
        <v>Sat Ve Ju   Mo Su</v>
      </c>
      <c r="M116" s="283" t="str">
        <f>IF(Table122[[#This Row],[Sat]],Table122[[#Headers],[Sat]],"")</f>
        <v>Sat</v>
      </c>
      <c r="N116" s="283" t="str">
        <f>IF(Table122[[#This Row],[Ve]],Table122[[#Headers],[Ve]],"")</f>
        <v>Ve</v>
      </c>
      <c r="O116" s="283" t="str">
        <f>IF(Table122[[#This Row],[Ju]],Table122[[#Headers],[Ju]],"")</f>
        <v>Ju</v>
      </c>
      <c r="P116" s="283" t="str">
        <f>IF(Table122[[#This Row],[Me]],Table122[[#Headers],[Me]],"")</f>
        <v/>
      </c>
      <c r="Q116" s="283" t="str">
        <f>IF(Table122[[#This Row],[Ma]],Table122[[#Headers],[Ma]],"")</f>
        <v/>
      </c>
      <c r="R116" s="283" t="str">
        <f>IF(Table122[[#This Row],[Mo]],Table122[[#Headers],[Mo]],"")</f>
        <v>Mo</v>
      </c>
      <c r="S116" s="283" t="str">
        <f>IF(Table122[[#This Row],[Su]],Table122[[#Headers],[Su]],"")</f>
        <v>Su</v>
      </c>
    </row>
    <row r="117" spans="1:19" hidden="1">
      <c r="A117" s="286">
        <v>116</v>
      </c>
      <c r="B117" s="284">
        <f t="shared" si="21"/>
        <v>1</v>
      </c>
      <c r="C117" s="284">
        <f t="shared" si="22"/>
        <v>1</v>
      </c>
      <c r="D117" s="284">
        <f t="shared" si="23"/>
        <v>1</v>
      </c>
      <c r="E117" s="284">
        <f t="shared" si="24"/>
        <v>0</v>
      </c>
      <c r="F117" s="284">
        <f t="shared" si="25"/>
        <v>1</v>
      </c>
      <c r="G117" s="284">
        <f t="shared" si="26"/>
        <v>0</v>
      </c>
      <c r="H117" s="284">
        <f t="shared" si="27"/>
        <v>0</v>
      </c>
      <c r="I117" s="287">
        <f>SUM(Table122[[#This Row],[Sat]:[Su]])</f>
        <v>4</v>
      </c>
      <c r="L117" s="283" t="str">
        <f>Table122[[#This Row],[Sat2]]&amp;" "&amp;Table122[[#This Row],[Column2]]&amp;" "&amp;Table122[[#This Row],[Column3]]&amp;" "&amp;Table122[[#This Row],[Column4]]&amp;" "&amp;Table122[[#This Row],[Column5]]&amp;" "&amp;Table122[[#This Row],[Column6]]&amp;" "&amp;Table122[[#This Row],[Column7]]</f>
        <v xml:space="preserve">Sat Ve Ju  Ma  </v>
      </c>
      <c r="M117" s="283" t="str">
        <f>IF(Table122[[#This Row],[Sat]],Table122[[#Headers],[Sat]],"")</f>
        <v>Sat</v>
      </c>
      <c r="N117" s="283" t="str">
        <f>IF(Table122[[#This Row],[Ve]],Table122[[#Headers],[Ve]],"")</f>
        <v>Ve</v>
      </c>
      <c r="O117" s="283" t="str">
        <f>IF(Table122[[#This Row],[Ju]],Table122[[#Headers],[Ju]],"")</f>
        <v>Ju</v>
      </c>
      <c r="P117" s="283" t="str">
        <f>IF(Table122[[#This Row],[Me]],Table122[[#Headers],[Me]],"")</f>
        <v/>
      </c>
      <c r="Q117" s="283" t="str">
        <f>IF(Table122[[#This Row],[Ma]],Table122[[#Headers],[Ma]],"")</f>
        <v>Ma</v>
      </c>
      <c r="R117" s="283" t="str">
        <f>IF(Table122[[#This Row],[Mo]],Table122[[#Headers],[Mo]],"")</f>
        <v/>
      </c>
      <c r="S117" s="283" t="str">
        <f>IF(Table122[[#This Row],[Su]],Table122[[#Headers],[Su]],"")</f>
        <v/>
      </c>
    </row>
    <row r="118" spans="1:19" hidden="1">
      <c r="A118" s="286">
        <v>117</v>
      </c>
      <c r="B118" s="284">
        <f t="shared" si="21"/>
        <v>1</v>
      </c>
      <c r="C118" s="284">
        <f t="shared" si="22"/>
        <v>1</v>
      </c>
      <c r="D118" s="284">
        <f t="shared" si="23"/>
        <v>1</v>
      </c>
      <c r="E118" s="284">
        <f t="shared" si="24"/>
        <v>0</v>
      </c>
      <c r="F118" s="284">
        <f t="shared" si="25"/>
        <v>1</v>
      </c>
      <c r="G118" s="284">
        <f t="shared" si="26"/>
        <v>0</v>
      </c>
      <c r="H118" s="284">
        <f t="shared" si="27"/>
        <v>1</v>
      </c>
      <c r="I118" s="287">
        <f>SUM(Table122[[#This Row],[Sat]:[Su]])</f>
        <v>5</v>
      </c>
      <c r="J118" s="283" t="s">
        <v>526</v>
      </c>
      <c r="K118" s="283" t="s">
        <v>527</v>
      </c>
      <c r="L118" s="283" t="str">
        <f>Table122[[#This Row],[Sat2]]&amp;" "&amp;Table122[[#This Row],[Column2]]&amp;" "&amp;Table122[[#This Row],[Column3]]&amp;" "&amp;Table122[[#This Row],[Column4]]&amp;" "&amp;Table122[[#This Row],[Column5]]&amp;" "&amp;Table122[[#This Row],[Column6]]&amp;" "&amp;Table122[[#This Row],[Column7]]</f>
        <v>Sat Ve Ju  Ma  Su</v>
      </c>
      <c r="M118" s="283" t="str">
        <f>IF(Table122[[#This Row],[Sat]],Table122[[#Headers],[Sat]],"")</f>
        <v>Sat</v>
      </c>
      <c r="N118" s="283" t="str">
        <f>IF(Table122[[#This Row],[Ve]],Table122[[#Headers],[Ve]],"")</f>
        <v>Ve</v>
      </c>
      <c r="O118" s="283" t="str">
        <f>IF(Table122[[#This Row],[Ju]],Table122[[#Headers],[Ju]],"")</f>
        <v>Ju</v>
      </c>
      <c r="P118" s="283" t="str">
        <f>IF(Table122[[#This Row],[Me]],Table122[[#Headers],[Me]],"")</f>
        <v/>
      </c>
      <c r="Q118" s="283" t="str">
        <f>IF(Table122[[#This Row],[Ma]],Table122[[#Headers],[Ma]],"")</f>
        <v>Ma</v>
      </c>
      <c r="R118" s="283" t="str">
        <f>IF(Table122[[#This Row],[Mo]],Table122[[#Headers],[Mo]],"")</f>
        <v/>
      </c>
      <c r="S118" s="283" t="str">
        <f>IF(Table122[[#This Row],[Su]],Table122[[#Headers],[Su]],"")</f>
        <v>Su</v>
      </c>
    </row>
    <row r="119" spans="1:19" hidden="1">
      <c r="A119" s="286">
        <v>118</v>
      </c>
      <c r="B119" s="284">
        <f t="shared" si="21"/>
        <v>1</v>
      </c>
      <c r="C119" s="284">
        <f t="shared" si="22"/>
        <v>1</v>
      </c>
      <c r="D119" s="284">
        <f t="shared" si="23"/>
        <v>1</v>
      </c>
      <c r="E119" s="284">
        <f t="shared" si="24"/>
        <v>0</v>
      </c>
      <c r="F119" s="284">
        <f t="shared" si="25"/>
        <v>1</v>
      </c>
      <c r="G119" s="284">
        <f t="shared" si="26"/>
        <v>1</v>
      </c>
      <c r="H119" s="284">
        <f t="shared" si="27"/>
        <v>0</v>
      </c>
      <c r="I119" s="287">
        <f>SUM(Table122[[#This Row],[Sat]:[Su]])</f>
        <v>5</v>
      </c>
      <c r="J119" s="283" t="s">
        <v>509</v>
      </c>
      <c r="K119" s="283" t="s">
        <v>536</v>
      </c>
      <c r="L119" s="283" t="str">
        <f>Table122[[#This Row],[Sat2]]&amp;" "&amp;Table122[[#This Row],[Column2]]&amp;" "&amp;Table122[[#This Row],[Column3]]&amp;" "&amp;Table122[[#This Row],[Column4]]&amp;" "&amp;Table122[[#This Row],[Column5]]&amp;" "&amp;Table122[[#This Row],[Column6]]&amp;" "&amp;Table122[[#This Row],[Column7]]</f>
        <v xml:space="preserve">Sat Ve Ju  Ma Mo </v>
      </c>
      <c r="M119" s="283" t="str">
        <f>IF(Table122[[#This Row],[Sat]],Table122[[#Headers],[Sat]],"")</f>
        <v>Sat</v>
      </c>
      <c r="N119" s="283" t="str">
        <f>IF(Table122[[#This Row],[Ve]],Table122[[#Headers],[Ve]],"")</f>
        <v>Ve</v>
      </c>
      <c r="O119" s="283" t="str">
        <f>IF(Table122[[#This Row],[Ju]],Table122[[#Headers],[Ju]],"")</f>
        <v>Ju</v>
      </c>
      <c r="P119" s="283" t="str">
        <f>IF(Table122[[#This Row],[Me]],Table122[[#Headers],[Me]],"")</f>
        <v/>
      </c>
      <c r="Q119" s="283" t="str">
        <f>IF(Table122[[#This Row],[Ma]],Table122[[#Headers],[Ma]],"")</f>
        <v>Ma</v>
      </c>
      <c r="R119" s="283" t="str">
        <f>IF(Table122[[#This Row],[Mo]],Table122[[#Headers],[Mo]],"")</f>
        <v>Mo</v>
      </c>
      <c r="S119" s="283" t="str">
        <f>IF(Table122[[#This Row],[Su]],Table122[[#Headers],[Su]],"")</f>
        <v/>
      </c>
    </row>
    <row r="120" spans="1:19" hidden="1">
      <c r="A120" s="286">
        <v>119</v>
      </c>
      <c r="B120" s="284">
        <f t="shared" si="21"/>
        <v>1</v>
      </c>
      <c r="C120" s="284">
        <f t="shared" si="22"/>
        <v>1</v>
      </c>
      <c r="D120" s="284">
        <f t="shared" si="23"/>
        <v>1</v>
      </c>
      <c r="E120" s="284">
        <f t="shared" si="24"/>
        <v>0</v>
      </c>
      <c r="F120" s="284">
        <f t="shared" si="25"/>
        <v>1</v>
      </c>
      <c r="G120" s="284">
        <f t="shared" si="26"/>
        <v>1</v>
      </c>
      <c r="H120" s="284">
        <f t="shared" si="27"/>
        <v>1</v>
      </c>
      <c r="I120" s="287">
        <f>SUM(Table122[[#This Row],[Sat]:[Su]])</f>
        <v>6</v>
      </c>
      <c r="J120" s="283" t="s">
        <v>537</v>
      </c>
      <c r="K120" s="283" t="s">
        <v>538</v>
      </c>
      <c r="L120" s="283" t="str">
        <f>Table122[[#This Row],[Sat2]]&amp;" "&amp;Table122[[#This Row],[Column2]]&amp;" "&amp;Table122[[#This Row],[Column3]]&amp;" "&amp;Table122[[#This Row],[Column4]]&amp;" "&amp;Table122[[#This Row],[Column5]]&amp;" "&amp;Table122[[#This Row],[Column6]]&amp;" "&amp;Table122[[#This Row],[Column7]]</f>
        <v>Sat Ve Ju  Ma Mo Su</v>
      </c>
      <c r="M120" s="283" t="str">
        <f>IF(Table122[[#This Row],[Sat]],Table122[[#Headers],[Sat]],"")</f>
        <v>Sat</v>
      </c>
      <c r="N120" s="283" t="str">
        <f>IF(Table122[[#This Row],[Ve]],Table122[[#Headers],[Ve]],"")</f>
        <v>Ve</v>
      </c>
      <c r="O120" s="283" t="str">
        <f>IF(Table122[[#This Row],[Ju]],Table122[[#Headers],[Ju]],"")</f>
        <v>Ju</v>
      </c>
      <c r="P120" s="283" t="str">
        <f>IF(Table122[[#This Row],[Me]],Table122[[#Headers],[Me]],"")</f>
        <v/>
      </c>
      <c r="Q120" s="283" t="str">
        <f>IF(Table122[[#This Row],[Ma]],Table122[[#Headers],[Ma]],"")</f>
        <v>Ma</v>
      </c>
      <c r="R120" s="283" t="str">
        <f>IF(Table122[[#This Row],[Mo]],Table122[[#Headers],[Mo]],"")</f>
        <v>Mo</v>
      </c>
      <c r="S120" s="283" t="str">
        <f>IF(Table122[[#This Row],[Su]],Table122[[#Headers],[Su]],"")</f>
        <v>Su</v>
      </c>
    </row>
    <row r="121" spans="1:19" hidden="1">
      <c r="A121" s="286">
        <v>120</v>
      </c>
      <c r="B121" s="284">
        <f t="shared" si="21"/>
        <v>1</v>
      </c>
      <c r="C121" s="284">
        <f t="shared" si="22"/>
        <v>1</v>
      </c>
      <c r="D121" s="284">
        <f t="shared" si="23"/>
        <v>1</v>
      </c>
      <c r="E121" s="284">
        <f t="shared" si="24"/>
        <v>1</v>
      </c>
      <c r="F121" s="284">
        <f t="shared" si="25"/>
        <v>0</v>
      </c>
      <c r="G121" s="284">
        <f t="shared" si="26"/>
        <v>0</v>
      </c>
      <c r="H121" s="284">
        <f t="shared" si="27"/>
        <v>0</v>
      </c>
      <c r="I121" s="287">
        <f>SUM(Table122[[#This Row],[Sat]:[Su]])</f>
        <v>4</v>
      </c>
      <c r="L121" s="283" t="str">
        <f>Table122[[#This Row],[Sat2]]&amp;" "&amp;Table122[[#This Row],[Column2]]&amp;" "&amp;Table122[[#This Row],[Column3]]&amp;" "&amp;Table122[[#This Row],[Column4]]&amp;" "&amp;Table122[[#This Row],[Column5]]&amp;" "&amp;Table122[[#This Row],[Column6]]&amp;" "&amp;Table122[[#This Row],[Column7]]</f>
        <v xml:space="preserve">Sat Ve Ju Me   </v>
      </c>
      <c r="M121" s="283" t="str">
        <f>IF(Table122[[#This Row],[Sat]],Table122[[#Headers],[Sat]],"")</f>
        <v>Sat</v>
      </c>
      <c r="N121" s="283" t="str">
        <f>IF(Table122[[#This Row],[Ve]],Table122[[#Headers],[Ve]],"")</f>
        <v>Ve</v>
      </c>
      <c r="O121" s="283" t="str">
        <f>IF(Table122[[#This Row],[Ju]],Table122[[#Headers],[Ju]],"")</f>
        <v>Ju</v>
      </c>
      <c r="P121" s="283" t="str">
        <f>IF(Table122[[#This Row],[Me]],Table122[[#Headers],[Me]],"")</f>
        <v>Me</v>
      </c>
      <c r="Q121" s="283" t="str">
        <f>IF(Table122[[#This Row],[Ma]],Table122[[#Headers],[Ma]],"")</f>
        <v/>
      </c>
      <c r="R121" s="283" t="str">
        <f>IF(Table122[[#This Row],[Mo]],Table122[[#Headers],[Mo]],"")</f>
        <v/>
      </c>
      <c r="S121" s="283" t="str">
        <f>IF(Table122[[#This Row],[Su]],Table122[[#Headers],[Su]],"")</f>
        <v/>
      </c>
    </row>
    <row r="122" spans="1:19" hidden="1">
      <c r="A122" s="286">
        <v>121</v>
      </c>
      <c r="B122" s="284">
        <f t="shared" si="21"/>
        <v>1</v>
      </c>
      <c r="C122" s="284">
        <f t="shared" si="22"/>
        <v>1</v>
      </c>
      <c r="D122" s="284">
        <f t="shared" si="23"/>
        <v>1</v>
      </c>
      <c r="E122" s="284">
        <f t="shared" si="24"/>
        <v>1</v>
      </c>
      <c r="F122" s="284">
        <f t="shared" si="25"/>
        <v>0</v>
      </c>
      <c r="G122" s="284">
        <f t="shared" si="26"/>
        <v>0</v>
      </c>
      <c r="H122" s="284">
        <f t="shared" si="27"/>
        <v>1</v>
      </c>
      <c r="I122" s="287">
        <f>SUM(Table122[[#This Row],[Sat]:[Su]])</f>
        <v>5</v>
      </c>
      <c r="L122" s="283" t="str">
        <f>Table122[[#This Row],[Sat2]]&amp;" "&amp;Table122[[#This Row],[Column2]]&amp;" "&amp;Table122[[#This Row],[Column3]]&amp;" "&amp;Table122[[#This Row],[Column4]]&amp;" "&amp;Table122[[#This Row],[Column5]]&amp;" "&amp;Table122[[#This Row],[Column6]]&amp;" "&amp;Table122[[#This Row],[Column7]]</f>
        <v>Sat Ve Ju Me   Su</v>
      </c>
      <c r="M122" s="283" t="str">
        <f>IF(Table122[[#This Row],[Sat]],Table122[[#Headers],[Sat]],"")</f>
        <v>Sat</v>
      </c>
      <c r="N122" s="283" t="str">
        <f>IF(Table122[[#This Row],[Ve]],Table122[[#Headers],[Ve]],"")</f>
        <v>Ve</v>
      </c>
      <c r="O122" s="283" t="str">
        <f>IF(Table122[[#This Row],[Ju]],Table122[[#Headers],[Ju]],"")</f>
        <v>Ju</v>
      </c>
      <c r="P122" s="283" t="str">
        <f>IF(Table122[[#This Row],[Me]],Table122[[#Headers],[Me]],"")</f>
        <v>Me</v>
      </c>
      <c r="Q122" s="283" t="str">
        <f>IF(Table122[[#This Row],[Ma]],Table122[[#Headers],[Ma]],"")</f>
        <v/>
      </c>
      <c r="R122" s="283" t="str">
        <f>IF(Table122[[#This Row],[Mo]],Table122[[#Headers],[Mo]],"")</f>
        <v/>
      </c>
      <c r="S122" s="283" t="str">
        <f>IF(Table122[[#This Row],[Su]],Table122[[#Headers],[Su]],"")</f>
        <v>Su</v>
      </c>
    </row>
    <row r="123" spans="1:19" hidden="1">
      <c r="A123" s="286">
        <v>122</v>
      </c>
      <c r="B123" s="284">
        <f t="shared" si="21"/>
        <v>1</v>
      </c>
      <c r="C123" s="284">
        <f t="shared" si="22"/>
        <v>1</v>
      </c>
      <c r="D123" s="284">
        <f t="shared" si="23"/>
        <v>1</v>
      </c>
      <c r="E123" s="284">
        <f t="shared" si="24"/>
        <v>1</v>
      </c>
      <c r="F123" s="284">
        <f t="shared" si="25"/>
        <v>0</v>
      </c>
      <c r="G123" s="284">
        <f t="shared" si="26"/>
        <v>1</v>
      </c>
      <c r="H123" s="284">
        <f t="shared" si="27"/>
        <v>0</v>
      </c>
      <c r="I123" s="287">
        <f>SUM(Table122[[#This Row],[Sat]:[Su]])</f>
        <v>5</v>
      </c>
      <c r="L123" s="283" t="str">
        <f>Table122[[#This Row],[Sat2]]&amp;" "&amp;Table122[[#This Row],[Column2]]&amp;" "&amp;Table122[[#This Row],[Column3]]&amp;" "&amp;Table122[[#This Row],[Column4]]&amp;" "&amp;Table122[[#This Row],[Column5]]&amp;" "&amp;Table122[[#This Row],[Column6]]&amp;" "&amp;Table122[[#This Row],[Column7]]</f>
        <v xml:space="preserve">Sat Ve Ju Me  Mo </v>
      </c>
      <c r="M123" s="283" t="str">
        <f>IF(Table122[[#This Row],[Sat]],Table122[[#Headers],[Sat]],"")</f>
        <v>Sat</v>
      </c>
      <c r="N123" s="283" t="str">
        <f>IF(Table122[[#This Row],[Ve]],Table122[[#Headers],[Ve]],"")</f>
        <v>Ve</v>
      </c>
      <c r="O123" s="283" t="str">
        <f>IF(Table122[[#This Row],[Ju]],Table122[[#Headers],[Ju]],"")</f>
        <v>Ju</v>
      </c>
      <c r="P123" s="283" t="str">
        <f>IF(Table122[[#This Row],[Me]],Table122[[#Headers],[Me]],"")</f>
        <v>Me</v>
      </c>
      <c r="Q123" s="283" t="str">
        <f>IF(Table122[[#This Row],[Ma]],Table122[[#Headers],[Ma]],"")</f>
        <v/>
      </c>
      <c r="R123" s="283" t="str">
        <f>IF(Table122[[#This Row],[Mo]],Table122[[#Headers],[Mo]],"")</f>
        <v>Mo</v>
      </c>
      <c r="S123" s="283" t="str">
        <f>IF(Table122[[#This Row],[Su]],Table122[[#Headers],[Su]],"")</f>
        <v/>
      </c>
    </row>
    <row r="124" spans="1:19" hidden="1">
      <c r="A124" s="286">
        <v>123</v>
      </c>
      <c r="B124" s="284">
        <f t="shared" si="21"/>
        <v>1</v>
      </c>
      <c r="C124" s="284">
        <f t="shared" si="22"/>
        <v>1</v>
      </c>
      <c r="D124" s="284">
        <f t="shared" si="23"/>
        <v>1</v>
      </c>
      <c r="E124" s="284">
        <f t="shared" si="24"/>
        <v>1</v>
      </c>
      <c r="F124" s="284">
        <f t="shared" si="25"/>
        <v>0</v>
      </c>
      <c r="G124" s="284">
        <f t="shared" si="26"/>
        <v>1</v>
      </c>
      <c r="H124" s="284">
        <f t="shared" si="27"/>
        <v>1</v>
      </c>
      <c r="I124" s="287">
        <f>SUM(Table122[[#This Row],[Sat]:[Su]])</f>
        <v>6</v>
      </c>
      <c r="J124" s="283" t="s">
        <v>539</v>
      </c>
      <c r="K124" s="283" t="s">
        <v>540</v>
      </c>
      <c r="L124" s="283" t="str">
        <f>Table122[[#This Row],[Sat2]]&amp;" "&amp;Table122[[#This Row],[Column2]]&amp;" "&amp;Table122[[#This Row],[Column3]]&amp;" "&amp;Table122[[#This Row],[Column4]]&amp;" "&amp;Table122[[#This Row],[Column5]]&amp;" "&amp;Table122[[#This Row],[Column6]]&amp;" "&amp;Table122[[#This Row],[Column7]]</f>
        <v>Sat Ve Ju Me  Mo Su</v>
      </c>
      <c r="M124" s="283" t="str">
        <f>IF(Table122[[#This Row],[Sat]],Table122[[#Headers],[Sat]],"")</f>
        <v>Sat</v>
      </c>
      <c r="N124" s="283" t="str">
        <f>IF(Table122[[#This Row],[Ve]],Table122[[#Headers],[Ve]],"")</f>
        <v>Ve</v>
      </c>
      <c r="O124" s="283" t="str">
        <f>IF(Table122[[#This Row],[Ju]],Table122[[#Headers],[Ju]],"")</f>
        <v>Ju</v>
      </c>
      <c r="P124" s="283" t="str">
        <f>IF(Table122[[#This Row],[Me]],Table122[[#Headers],[Me]],"")</f>
        <v>Me</v>
      </c>
      <c r="Q124" s="283" t="str">
        <f>IF(Table122[[#This Row],[Ma]],Table122[[#Headers],[Ma]],"")</f>
        <v/>
      </c>
      <c r="R124" s="283" t="str">
        <f>IF(Table122[[#This Row],[Mo]],Table122[[#Headers],[Mo]],"")</f>
        <v>Mo</v>
      </c>
      <c r="S124" s="283" t="str">
        <f>IF(Table122[[#This Row],[Su]],Table122[[#Headers],[Su]],"")</f>
        <v>Su</v>
      </c>
    </row>
    <row r="125" spans="1:19" hidden="1">
      <c r="A125" s="286">
        <v>124</v>
      </c>
      <c r="B125" s="284">
        <f t="shared" si="21"/>
        <v>1</v>
      </c>
      <c r="C125" s="284">
        <f t="shared" si="22"/>
        <v>1</v>
      </c>
      <c r="D125" s="284">
        <f t="shared" si="23"/>
        <v>1</v>
      </c>
      <c r="E125" s="284">
        <f t="shared" si="24"/>
        <v>1</v>
      </c>
      <c r="F125" s="284">
        <f t="shared" si="25"/>
        <v>1</v>
      </c>
      <c r="G125" s="284">
        <f t="shared" si="26"/>
        <v>0</v>
      </c>
      <c r="H125" s="284">
        <f t="shared" si="27"/>
        <v>0</v>
      </c>
      <c r="I125" s="287">
        <f>SUM(Table122[[#This Row],[Sat]:[Su]])</f>
        <v>5</v>
      </c>
      <c r="J125" s="283" t="s">
        <v>517</v>
      </c>
      <c r="K125" s="283" t="s">
        <v>541</v>
      </c>
      <c r="L125" s="283" t="str">
        <f>Table122[[#This Row],[Sat2]]&amp;" "&amp;Table122[[#This Row],[Column2]]&amp;" "&amp;Table122[[#This Row],[Column3]]&amp;" "&amp;Table122[[#This Row],[Column4]]&amp;" "&amp;Table122[[#This Row],[Column5]]&amp;" "&amp;Table122[[#This Row],[Column6]]&amp;" "&amp;Table122[[#This Row],[Column7]]</f>
        <v xml:space="preserve">Sat Ve Ju Me Ma  </v>
      </c>
      <c r="M125" s="283" t="str">
        <f>IF(Table122[[#This Row],[Sat]],Table122[[#Headers],[Sat]],"")</f>
        <v>Sat</v>
      </c>
      <c r="N125" s="283" t="str">
        <f>IF(Table122[[#This Row],[Ve]],Table122[[#Headers],[Ve]],"")</f>
        <v>Ve</v>
      </c>
      <c r="O125" s="283" t="str">
        <f>IF(Table122[[#This Row],[Ju]],Table122[[#Headers],[Ju]],"")</f>
        <v>Ju</v>
      </c>
      <c r="P125" s="283" t="str">
        <f>IF(Table122[[#This Row],[Me]],Table122[[#Headers],[Me]],"")</f>
        <v>Me</v>
      </c>
      <c r="Q125" s="283" t="str">
        <f>IF(Table122[[#This Row],[Ma]],Table122[[#Headers],[Ma]],"")</f>
        <v>Ma</v>
      </c>
      <c r="R125" s="283" t="str">
        <f>IF(Table122[[#This Row],[Mo]],Table122[[#Headers],[Mo]],"")</f>
        <v/>
      </c>
      <c r="S125" s="283" t="str">
        <f>IF(Table122[[#This Row],[Su]],Table122[[#Headers],[Su]],"")</f>
        <v/>
      </c>
    </row>
    <row r="126" spans="1:19" hidden="1">
      <c r="A126" s="286">
        <v>125</v>
      </c>
      <c r="B126" s="284">
        <f t="shared" si="21"/>
        <v>1</v>
      </c>
      <c r="C126" s="284">
        <f t="shared" si="22"/>
        <v>1</v>
      </c>
      <c r="D126" s="284">
        <f t="shared" si="23"/>
        <v>1</v>
      </c>
      <c r="E126" s="284">
        <f t="shared" si="24"/>
        <v>1</v>
      </c>
      <c r="F126" s="284">
        <f t="shared" si="25"/>
        <v>1</v>
      </c>
      <c r="G126" s="284">
        <f t="shared" si="26"/>
        <v>0</v>
      </c>
      <c r="H126" s="284">
        <f t="shared" si="27"/>
        <v>1</v>
      </c>
      <c r="I126" s="287">
        <f>SUM(Table122[[#This Row],[Sat]:[Su]])</f>
        <v>6</v>
      </c>
      <c r="J126" s="283" t="s">
        <v>542</v>
      </c>
      <c r="K126" s="283" t="s">
        <v>543</v>
      </c>
      <c r="L126" s="283" t="str">
        <f>Table122[[#This Row],[Sat2]]&amp;" "&amp;Table122[[#This Row],[Column2]]&amp;" "&amp;Table122[[#This Row],[Column3]]&amp;" "&amp;Table122[[#This Row],[Column4]]&amp;" "&amp;Table122[[#This Row],[Column5]]&amp;" "&amp;Table122[[#This Row],[Column6]]&amp;" "&amp;Table122[[#This Row],[Column7]]</f>
        <v>Sat Ve Ju Me Ma  Su</v>
      </c>
      <c r="M126" s="283" t="str">
        <f>IF(Table122[[#This Row],[Sat]],Table122[[#Headers],[Sat]],"")</f>
        <v>Sat</v>
      </c>
      <c r="N126" s="283" t="str">
        <f>IF(Table122[[#This Row],[Ve]],Table122[[#Headers],[Ve]],"")</f>
        <v>Ve</v>
      </c>
      <c r="O126" s="283" t="str">
        <f>IF(Table122[[#This Row],[Ju]],Table122[[#Headers],[Ju]],"")</f>
        <v>Ju</v>
      </c>
      <c r="P126" s="283" t="str">
        <f>IF(Table122[[#This Row],[Me]],Table122[[#Headers],[Me]],"")</f>
        <v>Me</v>
      </c>
      <c r="Q126" s="283" t="str">
        <f>IF(Table122[[#This Row],[Ma]],Table122[[#Headers],[Ma]],"")</f>
        <v>Ma</v>
      </c>
      <c r="R126" s="283" t="str">
        <f>IF(Table122[[#This Row],[Mo]],Table122[[#Headers],[Mo]],"")</f>
        <v/>
      </c>
      <c r="S126" s="283" t="str">
        <f>IF(Table122[[#This Row],[Su]],Table122[[#Headers],[Su]],"")</f>
        <v>Su</v>
      </c>
    </row>
    <row r="127" spans="1:19" hidden="1">
      <c r="A127" s="286">
        <v>126</v>
      </c>
      <c r="B127" s="284">
        <f t="shared" si="21"/>
        <v>1</v>
      </c>
      <c r="C127" s="284">
        <f t="shared" si="22"/>
        <v>1</v>
      </c>
      <c r="D127" s="284">
        <f t="shared" si="23"/>
        <v>1</v>
      </c>
      <c r="E127" s="284">
        <f t="shared" si="24"/>
        <v>1</v>
      </c>
      <c r="F127" s="284">
        <f t="shared" si="25"/>
        <v>1</v>
      </c>
      <c r="G127" s="284">
        <f t="shared" si="26"/>
        <v>1</v>
      </c>
      <c r="H127" s="284">
        <f t="shared" si="27"/>
        <v>0</v>
      </c>
      <c r="I127" s="287">
        <f>SUM(Table122[[#This Row],[Sat]:[Su]])</f>
        <v>6</v>
      </c>
      <c r="J127" s="283" t="s">
        <v>542</v>
      </c>
      <c r="K127" s="283" t="s">
        <v>544</v>
      </c>
      <c r="L127" s="283" t="str">
        <f>Table122[[#This Row],[Sat2]]&amp;" "&amp;Table122[[#This Row],[Column2]]&amp;" "&amp;Table122[[#This Row],[Column3]]&amp;" "&amp;Table122[[#This Row],[Column4]]&amp;" "&amp;Table122[[#This Row],[Column5]]&amp;" "&amp;Table122[[#This Row],[Column6]]&amp;" "&amp;Table122[[#This Row],[Column7]]</f>
        <v xml:space="preserve">Sat Ve Ju Me Ma Mo </v>
      </c>
      <c r="M127" s="283" t="str">
        <f>IF(Table122[[#This Row],[Sat]],Table122[[#Headers],[Sat]],"")</f>
        <v>Sat</v>
      </c>
      <c r="N127" s="283" t="str">
        <f>IF(Table122[[#This Row],[Ve]],Table122[[#Headers],[Ve]],"")</f>
        <v>Ve</v>
      </c>
      <c r="O127" s="283" t="str">
        <f>IF(Table122[[#This Row],[Ju]],Table122[[#Headers],[Ju]],"")</f>
        <v>Ju</v>
      </c>
      <c r="P127" s="283" t="str">
        <f>IF(Table122[[#This Row],[Me]],Table122[[#Headers],[Me]],"")</f>
        <v>Me</v>
      </c>
      <c r="Q127" s="283" t="str">
        <f>IF(Table122[[#This Row],[Ma]],Table122[[#Headers],[Ma]],"")</f>
        <v>Ma</v>
      </c>
      <c r="R127" s="283" t="str">
        <f>IF(Table122[[#This Row],[Mo]],Table122[[#Headers],[Mo]],"")</f>
        <v>Mo</v>
      </c>
      <c r="S127" s="283" t="str">
        <f>IF(Table122[[#This Row],[Su]],Table122[[#Headers],[Su]],"")</f>
        <v/>
      </c>
    </row>
    <row r="128" spans="1:19" hidden="1">
      <c r="A128" s="286">
        <v>127</v>
      </c>
      <c r="B128" s="284">
        <f t="shared" si="21"/>
        <v>1</v>
      </c>
      <c r="C128" s="284">
        <f t="shared" si="22"/>
        <v>1</v>
      </c>
      <c r="D128" s="284">
        <f t="shared" si="23"/>
        <v>1</v>
      </c>
      <c r="E128" s="284">
        <f t="shared" si="24"/>
        <v>1</v>
      </c>
      <c r="F128" s="284">
        <f t="shared" si="25"/>
        <v>1</v>
      </c>
      <c r="G128" s="284">
        <f t="shared" si="26"/>
        <v>1</v>
      </c>
      <c r="H128" s="284">
        <f t="shared" si="27"/>
        <v>1</v>
      </c>
      <c r="I128" s="287">
        <f>SUM(Table122[[#This Row],[Sat]:[Su]])</f>
        <v>7</v>
      </c>
      <c r="J128" s="283" t="s">
        <v>545</v>
      </c>
      <c r="K128" s="283" t="s">
        <v>546</v>
      </c>
      <c r="L128" s="283" t="str">
        <f>Table122[[#This Row],[Sat2]]&amp;" "&amp;Table122[[#This Row],[Column2]]&amp;" "&amp;Table122[[#This Row],[Column3]]&amp;" "&amp;Table122[[#This Row],[Column4]]&amp;" "&amp;Table122[[#This Row],[Column5]]&amp;" "&amp;Table122[[#This Row],[Column6]]&amp;" "&amp;Table122[[#This Row],[Column7]]</f>
        <v>Sat Ve Ju Me Ma Mo Su</v>
      </c>
      <c r="M128" s="283" t="str">
        <f>IF(Table122[[#This Row],[Sat]],Table122[[#Headers],[Sat]],"")</f>
        <v>Sat</v>
      </c>
      <c r="N128" s="283" t="str">
        <f>IF(Table122[[#This Row],[Ve]],Table122[[#Headers],[Ve]],"")</f>
        <v>Ve</v>
      </c>
      <c r="O128" s="283" t="str">
        <f>IF(Table122[[#This Row],[Ju]],Table122[[#Headers],[Ju]],"")</f>
        <v>Ju</v>
      </c>
      <c r="P128" s="283" t="str">
        <f>IF(Table122[[#This Row],[Me]],Table122[[#Headers],[Me]],"")</f>
        <v>Me</v>
      </c>
      <c r="Q128" s="283" t="str">
        <f>IF(Table122[[#This Row],[Ma]],Table122[[#Headers],[Ma]],"")</f>
        <v>Ma</v>
      </c>
      <c r="R128" s="283" t="str">
        <f>IF(Table122[[#This Row],[Mo]],Table122[[#Headers],[Mo]],"")</f>
        <v>Mo</v>
      </c>
      <c r="S128" s="283" t="str">
        <f>IF(Table122[[#This Row],[Su]],Table122[[#Headers],[Su]],"")</f>
        <v>Su</v>
      </c>
    </row>
  </sheetData>
  <conditionalFormatting sqref="B2:H128">
    <cfRule type="cellIs" dxfId="19" priority="2" operator="equal">
      <formula>0</formula>
    </cfRule>
  </conditionalFormatting>
  <pageMargins left="0.7" right="0.7" top="0.75" bottom="0.75" header="0.511811023622047" footer="0.511811023622047"/>
  <pageSetup paperSize="9" orientation="portrait" horizontalDpi="300" verticalDpi="300"/>
  <tableParts count="1">
    <tablePart r:id="rId2"/>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131"/>
  <sheetViews>
    <sheetView topLeftCell="A72" zoomScaleNormal="100" workbookViewId="0">
      <selection activeCell="A82" sqref="A82"/>
    </sheetView>
  </sheetViews>
  <sheetFormatPr defaultColWidth="7.140625" defaultRowHeight="15"/>
  <cols>
    <col min="1" max="1" width="4.85546875" style="58" customWidth="1"/>
    <col min="2" max="2" width="13.85546875" style="58" customWidth="1"/>
    <col min="3" max="3" width="12.7109375" style="58" customWidth="1"/>
    <col min="4" max="4" width="12.28515625" style="58" customWidth="1"/>
    <col min="5" max="5" width="13.28515625" style="58" customWidth="1"/>
    <col min="6" max="7" width="11.7109375" style="58" customWidth="1"/>
    <col min="8" max="8" width="8.140625" style="58" customWidth="1"/>
    <col min="9" max="9" width="7.42578125" style="58" customWidth="1"/>
    <col min="10" max="10" width="9.28515625" style="58" customWidth="1"/>
    <col min="11" max="11" width="8.42578125" style="58" customWidth="1"/>
    <col min="12" max="12" width="8.140625" style="58" customWidth="1"/>
    <col min="13" max="13" width="13.28515625" style="58" customWidth="1"/>
    <col min="14" max="15" width="11.7109375" style="58" customWidth="1"/>
    <col min="16" max="16" width="7.85546875" style="58" customWidth="1"/>
    <col min="17" max="17" width="12.42578125" style="58" customWidth="1"/>
    <col min="18" max="18" width="19.28515625" style="58" customWidth="1"/>
    <col min="19" max="19" width="8.28515625" style="58" customWidth="1"/>
    <col min="20" max="20" width="8.140625" style="58" customWidth="1"/>
    <col min="21" max="21" width="11.42578125" style="58" customWidth="1"/>
    <col min="22" max="23" width="11.7109375" style="58" customWidth="1"/>
    <col min="24" max="24" width="8.140625" style="58" customWidth="1"/>
    <col min="25" max="25" width="15.140625" style="58" customWidth="1"/>
    <col min="26" max="26" width="8.140625" style="58" customWidth="1"/>
    <col min="27" max="27" width="11.42578125" style="58" customWidth="1"/>
    <col min="28" max="28" width="9.42578125" style="58" customWidth="1"/>
    <col min="29" max="29" width="10.28515625" style="58" customWidth="1"/>
    <col min="30" max="1024" width="7.140625" style="58"/>
  </cols>
  <sheetData>
    <row r="1" spans="1:18">
      <c r="A1" s="58" t="s">
        <v>243</v>
      </c>
      <c r="B1" s="297" t="s">
        <v>547</v>
      </c>
      <c r="C1" s="298" t="s">
        <v>548</v>
      </c>
      <c r="D1" s="298" t="s">
        <v>140</v>
      </c>
      <c r="E1" s="298" t="s">
        <v>549</v>
      </c>
      <c r="F1" s="298" t="s">
        <v>469</v>
      </c>
      <c r="G1" s="298"/>
      <c r="H1" s="298"/>
      <c r="I1" s="298"/>
      <c r="J1" s="298"/>
      <c r="K1" s="298"/>
      <c r="L1" s="298"/>
      <c r="M1" s="298"/>
      <c r="N1" s="298"/>
      <c r="O1" s="298"/>
      <c r="P1" s="298"/>
      <c r="Q1" s="299" t="s">
        <v>550</v>
      </c>
      <c r="R1" s="299" t="s">
        <v>551</v>
      </c>
    </row>
    <row r="2" spans="1:18">
      <c r="A2" s="58">
        <v>1</v>
      </c>
      <c r="B2" s="300" t="s">
        <v>552</v>
      </c>
      <c r="C2" s="301">
        <v>120</v>
      </c>
      <c r="D2" s="301" t="s">
        <v>553</v>
      </c>
      <c r="E2" s="301">
        <v>27</v>
      </c>
      <c r="F2" s="302">
        <v>9</v>
      </c>
      <c r="G2" s="301" t="s">
        <v>385</v>
      </c>
      <c r="H2" s="301" t="s">
        <v>158</v>
      </c>
      <c r="I2" s="301" t="s">
        <v>159</v>
      </c>
      <c r="J2" s="301" t="s">
        <v>160</v>
      </c>
      <c r="K2" s="301" t="s">
        <v>165</v>
      </c>
      <c r="L2" s="301" t="s">
        <v>162</v>
      </c>
      <c r="M2" s="301" t="s">
        <v>164</v>
      </c>
      <c r="N2" s="301" t="s">
        <v>161</v>
      </c>
      <c r="O2" s="301" t="s">
        <v>166</v>
      </c>
      <c r="P2" s="301" t="s">
        <v>163</v>
      </c>
      <c r="Q2" s="303"/>
      <c r="R2" s="303" t="s">
        <v>554</v>
      </c>
    </row>
    <row r="3" spans="1:18">
      <c r="B3" s="304"/>
      <c r="C3" s="305">
        <f>SUM(H3:P3)</f>
        <v>120</v>
      </c>
      <c r="D3" s="305" t="str">
        <f>VLOOKUP(D2,NakshatraTbl,24,0)</f>
        <v>Aïgiras</v>
      </c>
      <c r="E3" s="305" t="s">
        <v>555</v>
      </c>
      <c r="F3" s="305"/>
      <c r="G3" s="305" t="s">
        <v>400</v>
      </c>
      <c r="H3" s="305">
        <v>6</v>
      </c>
      <c r="I3" s="305">
        <v>10</v>
      </c>
      <c r="J3" s="305">
        <v>7</v>
      </c>
      <c r="K3" s="305">
        <v>18</v>
      </c>
      <c r="L3" s="305">
        <v>16</v>
      </c>
      <c r="M3" s="305">
        <v>19</v>
      </c>
      <c r="N3" s="305">
        <v>17</v>
      </c>
      <c r="O3" s="305">
        <v>7</v>
      </c>
      <c r="P3" s="305">
        <v>20</v>
      </c>
      <c r="Q3" s="306"/>
      <c r="R3" s="306"/>
    </row>
    <row r="4" spans="1:18">
      <c r="A4" s="58">
        <v>2</v>
      </c>
      <c r="B4" s="300" t="s">
        <v>556</v>
      </c>
      <c r="C4" s="301">
        <v>108</v>
      </c>
      <c r="D4" s="307" t="s">
        <v>557</v>
      </c>
      <c r="E4" s="301">
        <v>28</v>
      </c>
      <c r="F4" s="308">
        <v>8</v>
      </c>
      <c r="G4" s="301" t="s">
        <v>385</v>
      </c>
      <c r="H4" s="301" t="s">
        <v>158</v>
      </c>
      <c r="I4" s="301" t="s">
        <v>159</v>
      </c>
      <c r="J4" s="301" t="s">
        <v>160</v>
      </c>
      <c r="K4" s="301" t="s">
        <v>161</v>
      </c>
      <c r="L4" s="301" t="s">
        <v>164</v>
      </c>
      <c r="M4" s="301" t="s">
        <v>162</v>
      </c>
      <c r="N4" s="301" t="s">
        <v>165</v>
      </c>
      <c r="O4" s="301" t="s">
        <v>163</v>
      </c>
      <c r="P4" s="301"/>
      <c r="Q4" s="303" t="s">
        <v>558</v>
      </c>
      <c r="R4" s="303" t="s">
        <v>163</v>
      </c>
    </row>
    <row r="5" spans="1:18">
      <c r="B5" s="309" t="s">
        <v>559</v>
      </c>
      <c r="C5" s="305" t="s">
        <v>560</v>
      </c>
      <c r="D5" s="305" t="str">
        <f>VLOOKUP(D4,NakshatraTbl,24,0)</f>
        <v>Pulaha</v>
      </c>
      <c r="E5" s="305" t="s">
        <v>561</v>
      </c>
      <c r="F5" s="305" t="s">
        <v>562</v>
      </c>
      <c r="G5" s="305" t="s">
        <v>400</v>
      </c>
      <c r="H5" s="310">
        <v>6</v>
      </c>
      <c r="I5" s="310">
        <v>15</v>
      </c>
      <c r="J5" s="305">
        <v>8</v>
      </c>
      <c r="K5" s="305">
        <v>17</v>
      </c>
      <c r="L5" s="305">
        <v>10</v>
      </c>
      <c r="M5" s="305">
        <v>19</v>
      </c>
      <c r="N5" s="305">
        <v>12</v>
      </c>
      <c r="O5" s="305">
        <v>21</v>
      </c>
      <c r="P5" s="305"/>
      <c r="Q5" s="306" t="s">
        <v>563</v>
      </c>
      <c r="R5" s="306" t="s">
        <v>564</v>
      </c>
    </row>
    <row r="6" spans="1:18">
      <c r="A6" s="58">
        <v>3</v>
      </c>
      <c r="B6" s="300" t="s">
        <v>565</v>
      </c>
      <c r="C6" s="301">
        <v>116</v>
      </c>
      <c r="D6" s="311" t="s">
        <v>566</v>
      </c>
      <c r="E6" s="301">
        <v>28</v>
      </c>
      <c r="F6" s="308">
        <v>8</v>
      </c>
      <c r="G6" s="301" t="s">
        <v>385</v>
      </c>
      <c r="H6" s="301" t="s">
        <v>158</v>
      </c>
      <c r="I6" s="301" t="s">
        <v>160</v>
      </c>
      <c r="J6" s="301" t="s">
        <v>162</v>
      </c>
      <c r="K6" s="301" t="s">
        <v>164</v>
      </c>
      <c r="L6" s="301" t="s">
        <v>166</v>
      </c>
      <c r="M6" s="301" t="s">
        <v>159</v>
      </c>
      <c r="N6" s="301" t="s">
        <v>161</v>
      </c>
      <c r="O6" s="301" t="s">
        <v>163</v>
      </c>
      <c r="P6" s="301"/>
      <c r="Q6" s="303" t="s">
        <v>567</v>
      </c>
      <c r="R6" s="303" t="s">
        <v>568</v>
      </c>
    </row>
    <row r="7" spans="1:18">
      <c r="B7" s="309" t="s">
        <v>569</v>
      </c>
      <c r="C7" s="305" t="s">
        <v>570</v>
      </c>
      <c r="D7" s="305" t="str">
        <f>VLOOKUP(D6,NakshatraTbl,24,0)</f>
        <v>Marichi</v>
      </c>
      <c r="E7" s="305"/>
      <c r="F7" s="305" t="s">
        <v>571</v>
      </c>
      <c r="G7" s="305" t="s">
        <v>400</v>
      </c>
      <c r="H7" s="305">
        <v>11</v>
      </c>
      <c r="I7" s="305">
        <v>12</v>
      </c>
      <c r="J7" s="305">
        <v>13</v>
      </c>
      <c r="K7" s="305">
        <v>14</v>
      </c>
      <c r="L7" s="305">
        <v>15</v>
      </c>
      <c r="M7" s="305">
        <v>16</v>
      </c>
      <c r="N7" s="305">
        <v>17</v>
      </c>
      <c r="O7" s="305">
        <v>18</v>
      </c>
      <c r="P7" s="305"/>
      <c r="Q7" s="306" t="s">
        <v>572</v>
      </c>
      <c r="R7" s="306" t="s">
        <v>564</v>
      </c>
    </row>
    <row r="8" spans="1:18">
      <c r="A8" s="58">
        <v>4</v>
      </c>
      <c r="B8" s="300" t="s">
        <v>573</v>
      </c>
      <c r="C8" s="301">
        <v>112</v>
      </c>
      <c r="D8" s="312" t="s">
        <v>574</v>
      </c>
      <c r="E8" s="301">
        <v>28</v>
      </c>
      <c r="F8" s="308">
        <v>8</v>
      </c>
      <c r="G8" s="301" t="s">
        <v>385</v>
      </c>
      <c r="H8" s="301" t="s">
        <v>158</v>
      </c>
      <c r="I8" s="301" t="s">
        <v>162</v>
      </c>
      <c r="J8" s="301" t="s">
        <v>166</v>
      </c>
      <c r="K8" s="301" t="s">
        <v>161</v>
      </c>
      <c r="L8" s="301" t="s">
        <v>165</v>
      </c>
      <c r="M8" s="301" t="s">
        <v>160</v>
      </c>
      <c r="N8" s="301" t="s">
        <v>164</v>
      </c>
      <c r="O8" s="301" t="s">
        <v>159</v>
      </c>
      <c r="P8" s="301"/>
      <c r="Q8" s="303" t="s">
        <v>575</v>
      </c>
      <c r="R8" s="303" t="s">
        <v>163</v>
      </c>
    </row>
    <row r="9" spans="1:18" ht="89.25">
      <c r="B9" s="313" t="s">
        <v>576</v>
      </c>
      <c r="C9" s="314" t="s">
        <v>577</v>
      </c>
      <c r="D9" s="305" t="str">
        <f>VLOOKUP(D8,NakshatraTbl,24,0)</f>
        <v>Kratu</v>
      </c>
      <c r="E9" s="314"/>
      <c r="F9" s="314" t="s">
        <v>578</v>
      </c>
      <c r="G9" s="314" t="s">
        <v>400</v>
      </c>
      <c r="H9" s="314">
        <v>7</v>
      </c>
      <c r="I9" s="314">
        <v>9</v>
      </c>
      <c r="J9" s="314">
        <v>11</v>
      </c>
      <c r="K9" s="314">
        <v>13</v>
      </c>
      <c r="L9" s="314">
        <v>15</v>
      </c>
      <c r="M9" s="314">
        <v>17</v>
      </c>
      <c r="N9" s="305">
        <v>19</v>
      </c>
      <c r="O9" s="305">
        <v>21</v>
      </c>
      <c r="P9" s="305"/>
      <c r="Q9" s="315" t="s">
        <v>579</v>
      </c>
      <c r="R9" s="306" t="s">
        <v>564</v>
      </c>
    </row>
    <row r="10" spans="1:18" ht="15" customHeight="1">
      <c r="A10" s="58">
        <v>5</v>
      </c>
      <c r="B10" s="316" t="s">
        <v>580</v>
      </c>
      <c r="C10" s="317">
        <v>105</v>
      </c>
      <c r="D10" s="318" t="s">
        <v>581</v>
      </c>
      <c r="E10" s="317">
        <v>28</v>
      </c>
      <c r="F10" s="319">
        <v>7</v>
      </c>
      <c r="G10" s="317" t="s">
        <v>385</v>
      </c>
      <c r="H10" s="317" t="s">
        <v>158</v>
      </c>
      <c r="I10" s="317" t="s">
        <v>161</v>
      </c>
      <c r="J10" s="317" t="s">
        <v>164</v>
      </c>
      <c r="K10" s="317" t="s">
        <v>160</v>
      </c>
      <c r="L10" s="317" t="s">
        <v>163</v>
      </c>
      <c r="M10" s="317" t="s">
        <v>159</v>
      </c>
      <c r="N10" s="301" t="s">
        <v>162</v>
      </c>
      <c r="O10" s="301"/>
      <c r="P10" s="301"/>
      <c r="Q10" s="303" t="s">
        <v>582</v>
      </c>
      <c r="R10" s="303" t="s">
        <v>564</v>
      </c>
    </row>
    <row r="11" spans="1:18" ht="15.75" customHeight="1">
      <c r="B11" s="320" t="s">
        <v>583</v>
      </c>
      <c r="C11" s="305" t="s">
        <v>584</v>
      </c>
      <c r="D11" s="305" t="str">
        <f>VLOOKUP(D10,NakshatraTbl,24,0)</f>
        <v>Aïgiras</v>
      </c>
      <c r="E11" s="305"/>
      <c r="F11" s="305" t="s">
        <v>585</v>
      </c>
      <c r="G11" s="305" t="s">
        <v>400</v>
      </c>
      <c r="H11" s="305">
        <v>12</v>
      </c>
      <c r="I11" s="305">
        <v>13</v>
      </c>
      <c r="J11" s="305">
        <v>14</v>
      </c>
      <c r="K11" s="305">
        <v>15</v>
      </c>
      <c r="L11" s="305">
        <v>16</v>
      </c>
      <c r="M11" s="305">
        <v>17</v>
      </c>
      <c r="N11" s="305">
        <v>18</v>
      </c>
      <c r="O11" s="305"/>
      <c r="P11" s="305"/>
      <c r="Q11" s="306" t="s">
        <v>586</v>
      </c>
      <c r="R11" s="306" t="s">
        <v>564</v>
      </c>
    </row>
    <row r="12" spans="1:18">
      <c r="A12" s="58">
        <v>6</v>
      </c>
      <c r="B12" s="321" t="s">
        <v>587</v>
      </c>
      <c r="C12" s="301">
        <v>100</v>
      </c>
      <c r="D12" s="312" t="s">
        <v>574</v>
      </c>
      <c r="E12" s="301">
        <v>28</v>
      </c>
      <c r="F12" s="322">
        <v>7</v>
      </c>
      <c r="G12" s="301" t="s">
        <v>385</v>
      </c>
      <c r="H12" s="301" t="s">
        <v>158</v>
      </c>
      <c r="I12" s="301" t="s">
        <v>159</v>
      </c>
      <c r="J12" s="301" t="s">
        <v>163</v>
      </c>
      <c r="K12" s="301" t="s">
        <v>161</v>
      </c>
      <c r="L12" s="301" t="s">
        <v>162</v>
      </c>
      <c r="M12" s="301" t="s">
        <v>160</v>
      </c>
      <c r="N12" s="301" t="s">
        <v>164</v>
      </c>
      <c r="O12" s="301"/>
      <c r="P12" s="301"/>
      <c r="Q12" s="303" t="s">
        <v>588</v>
      </c>
      <c r="R12" s="303" t="s">
        <v>319</v>
      </c>
    </row>
    <row r="13" spans="1:18">
      <c r="B13" s="320" t="s">
        <v>583</v>
      </c>
      <c r="C13" s="305" t="s">
        <v>589</v>
      </c>
      <c r="D13" s="305" t="str">
        <f>VLOOKUP(D12,NakshatraTbl,24,0)</f>
        <v>Kratu</v>
      </c>
      <c r="E13" s="305"/>
      <c r="F13" s="305" t="s">
        <v>590</v>
      </c>
      <c r="G13" s="305" t="s">
        <v>400</v>
      </c>
      <c r="H13" s="305">
        <v>5</v>
      </c>
      <c r="I13" s="305">
        <v>5</v>
      </c>
      <c r="J13" s="305">
        <v>10</v>
      </c>
      <c r="K13" s="305">
        <v>10</v>
      </c>
      <c r="L13" s="305">
        <v>20</v>
      </c>
      <c r="M13" s="305">
        <v>20</v>
      </c>
      <c r="N13" s="305">
        <v>30</v>
      </c>
      <c r="O13" s="305"/>
      <c r="P13" s="305"/>
      <c r="Q13" s="306"/>
      <c r="R13" s="306"/>
    </row>
    <row r="14" spans="1:18" ht="18.75">
      <c r="A14" s="58">
        <v>7</v>
      </c>
      <c r="B14" s="321" t="s">
        <v>591</v>
      </c>
      <c r="C14" s="301">
        <v>84</v>
      </c>
      <c r="D14" s="311" t="s">
        <v>592</v>
      </c>
      <c r="E14" s="301">
        <v>28</v>
      </c>
      <c r="F14" s="322">
        <v>7</v>
      </c>
      <c r="G14" s="301" t="s">
        <v>385</v>
      </c>
      <c r="H14" s="301" t="s">
        <v>158</v>
      </c>
      <c r="I14" s="301" t="s">
        <v>159</v>
      </c>
      <c r="J14" s="301" t="s">
        <v>160</v>
      </c>
      <c r="K14" s="301" t="s">
        <v>161</v>
      </c>
      <c r="L14" s="301" t="s">
        <v>162</v>
      </c>
      <c r="M14" s="301" t="s">
        <v>163</v>
      </c>
      <c r="N14" s="301" t="s">
        <v>164</v>
      </c>
      <c r="O14" s="301"/>
      <c r="P14" s="301"/>
      <c r="Q14" s="303" t="s">
        <v>593</v>
      </c>
      <c r="R14" s="303" t="s">
        <v>161</v>
      </c>
    </row>
    <row r="15" spans="1:18">
      <c r="B15" s="323" t="s">
        <v>583</v>
      </c>
      <c r="C15" s="324" t="s">
        <v>594</v>
      </c>
      <c r="D15" s="305" t="str">
        <f>VLOOKUP(D14,NakshatraTbl,24,0)</f>
        <v>Marichi</v>
      </c>
      <c r="E15" s="324"/>
      <c r="F15" s="324" t="s">
        <v>595</v>
      </c>
      <c r="G15" s="324" t="s">
        <v>400</v>
      </c>
      <c r="H15" s="324">
        <v>12</v>
      </c>
      <c r="I15" s="324">
        <v>12</v>
      </c>
      <c r="J15" s="324">
        <v>12</v>
      </c>
      <c r="K15" s="324">
        <v>12</v>
      </c>
      <c r="L15" s="324">
        <v>12</v>
      </c>
      <c r="M15" s="324">
        <v>12</v>
      </c>
      <c r="N15" s="305">
        <v>12</v>
      </c>
      <c r="O15" s="305"/>
      <c r="P15" s="305"/>
      <c r="Q15" s="306"/>
      <c r="R15" s="306"/>
    </row>
    <row r="16" spans="1:18">
      <c r="A16" s="58">
        <v>8</v>
      </c>
      <c r="B16" s="325" t="s">
        <v>596</v>
      </c>
      <c r="C16" s="314">
        <v>72</v>
      </c>
      <c r="D16" s="326" t="s">
        <v>597</v>
      </c>
      <c r="E16" s="314">
        <v>28</v>
      </c>
      <c r="F16" s="327">
        <v>8</v>
      </c>
      <c r="G16" s="314" t="s">
        <v>385</v>
      </c>
      <c r="H16" s="314" t="s">
        <v>158</v>
      </c>
      <c r="I16" s="314" t="s">
        <v>159</v>
      </c>
      <c r="J16" s="314" t="s">
        <v>160</v>
      </c>
      <c r="K16" s="314" t="s">
        <v>161</v>
      </c>
      <c r="L16" s="314" t="s">
        <v>162</v>
      </c>
      <c r="M16" s="314" t="s">
        <v>163</v>
      </c>
      <c r="N16" s="301" t="s">
        <v>164</v>
      </c>
      <c r="O16" s="301" t="s">
        <v>165</v>
      </c>
      <c r="P16" s="301"/>
      <c r="Q16" s="303" t="s">
        <v>598</v>
      </c>
      <c r="R16" s="303" t="s">
        <v>159</v>
      </c>
    </row>
    <row r="17" spans="1:27">
      <c r="B17" s="309" t="s">
        <v>559</v>
      </c>
      <c r="C17" s="305" t="s">
        <v>599</v>
      </c>
      <c r="D17" s="305" t="str">
        <f>VLOOKUP(D16,NakshatraTbl,24,0)</f>
        <v>Pulastya</v>
      </c>
      <c r="E17" s="305"/>
      <c r="F17" s="305" t="s">
        <v>595</v>
      </c>
      <c r="G17" s="305" t="s">
        <v>400</v>
      </c>
      <c r="H17" s="305">
        <v>9</v>
      </c>
      <c r="I17" s="305" t="s">
        <v>158</v>
      </c>
      <c r="J17" s="305">
        <v>9</v>
      </c>
      <c r="K17" s="305">
        <v>9</v>
      </c>
      <c r="L17" s="305">
        <v>9</v>
      </c>
      <c r="M17" s="305">
        <v>9</v>
      </c>
      <c r="N17" s="305">
        <v>9</v>
      </c>
      <c r="O17" s="305">
        <v>9</v>
      </c>
      <c r="P17" s="305"/>
      <c r="Q17" s="306" t="s">
        <v>600</v>
      </c>
      <c r="R17" s="306" t="s">
        <v>564</v>
      </c>
    </row>
    <row r="18" spans="1:27" ht="15.75">
      <c r="A18" s="58">
        <v>9</v>
      </c>
      <c r="B18" s="300" t="s">
        <v>601</v>
      </c>
      <c r="C18" s="301">
        <v>60</v>
      </c>
      <c r="D18" s="328" t="s">
        <v>602</v>
      </c>
      <c r="E18" s="301">
        <v>28</v>
      </c>
      <c r="F18" s="308">
        <v>8</v>
      </c>
      <c r="G18" s="301" t="s">
        <v>385</v>
      </c>
      <c r="H18" s="301" t="s">
        <v>162</v>
      </c>
      <c r="I18" s="301" t="s">
        <v>158</v>
      </c>
      <c r="J18" s="301" t="s">
        <v>160</v>
      </c>
      <c r="K18" s="301" t="s">
        <v>159</v>
      </c>
      <c r="L18" s="301" t="s">
        <v>161</v>
      </c>
      <c r="M18" s="301" t="s">
        <v>163</v>
      </c>
      <c r="N18" s="301" t="s">
        <v>164</v>
      </c>
      <c r="O18" s="301" t="s">
        <v>165</v>
      </c>
      <c r="P18" s="301"/>
      <c r="Q18" s="303" t="s">
        <v>603</v>
      </c>
      <c r="R18" s="303" t="s">
        <v>158</v>
      </c>
    </row>
    <row r="19" spans="1:27">
      <c r="B19" s="309" t="s">
        <v>559</v>
      </c>
      <c r="C19" s="305" t="s">
        <v>604</v>
      </c>
      <c r="D19" s="305" t="str">
        <f>VLOOKUP(D18,NakshatraTbl,24,0)</f>
        <v>Marichi</v>
      </c>
      <c r="E19" s="305" t="s">
        <v>605</v>
      </c>
      <c r="F19" s="305" t="s">
        <v>606</v>
      </c>
      <c r="G19" s="305" t="s">
        <v>400</v>
      </c>
      <c r="H19" s="305">
        <v>10</v>
      </c>
      <c r="I19" s="305">
        <v>10</v>
      </c>
      <c r="J19" s="305">
        <v>10</v>
      </c>
      <c r="K19" s="305">
        <v>6</v>
      </c>
      <c r="L19" s="305">
        <v>6</v>
      </c>
      <c r="M19" s="305">
        <v>6</v>
      </c>
      <c r="N19" s="305">
        <v>6</v>
      </c>
      <c r="O19" s="305">
        <v>6</v>
      </c>
      <c r="P19" s="305"/>
      <c r="Q19" s="306" t="s">
        <v>607</v>
      </c>
      <c r="R19" s="306" t="s">
        <v>564</v>
      </c>
    </row>
    <row r="20" spans="1:27">
      <c r="A20" s="58">
        <v>10</v>
      </c>
      <c r="B20" s="300" t="s">
        <v>608</v>
      </c>
      <c r="C20" s="301">
        <v>36</v>
      </c>
      <c r="D20" s="329" t="s">
        <v>609</v>
      </c>
      <c r="E20" s="301">
        <v>28</v>
      </c>
      <c r="F20" s="308">
        <v>8</v>
      </c>
      <c r="G20" s="301" t="s">
        <v>385</v>
      </c>
      <c r="H20" s="301" t="s">
        <v>159</v>
      </c>
      <c r="I20" s="301" t="s">
        <v>158</v>
      </c>
      <c r="J20" s="301" t="s">
        <v>162</v>
      </c>
      <c r="K20" s="301" t="s">
        <v>160</v>
      </c>
      <c r="L20" s="301" t="s">
        <v>161</v>
      </c>
      <c r="M20" s="301" t="s">
        <v>164</v>
      </c>
      <c r="N20" s="301" t="s">
        <v>163</v>
      </c>
      <c r="O20" s="301" t="s">
        <v>165</v>
      </c>
      <c r="P20" s="301"/>
      <c r="Q20" s="303" t="s">
        <v>610</v>
      </c>
      <c r="R20" s="303" t="s">
        <v>611</v>
      </c>
    </row>
    <row r="21" spans="1:27">
      <c r="B21" s="309" t="s">
        <v>559</v>
      </c>
      <c r="C21" s="305" t="s">
        <v>612</v>
      </c>
      <c r="D21" s="305" t="str">
        <f>VLOOKUP(D20,NakshatraTbl,24,0)</f>
        <v>Vashishtha</v>
      </c>
      <c r="E21" s="305"/>
      <c r="F21" s="305" t="s">
        <v>613</v>
      </c>
      <c r="G21" s="305" t="s">
        <v>400</v>
      </c>
      <c r="H21" s="330">
        <v>1</v>
      </c>
      <c r="I21" s="305">
        <v>2</v>
      </c>
      <c r="J21" s="305">
        <v>3</v>
      </c>
      <c r="K21" s="305">
        <v>4</v>
      </c>
      <c r="L21" s="305">
        <v>5</v>
      </c>
      <c r="M21" s="305">
        <v>6</v>
      </c>
      <c r="N21" s="305">
        <v>7</v>
      </c>
      <c r="O21" s="305">
        <v>8</v>
      </c>
      <c r="P21" s="305"/>
      <c r="Q21" s="306"/>
      <c r="R21" s="306"/>
    </row>
    <row r="22" spans="1:27">
      <c r="A22" s="58">
        <v>11</v>
      </c>
      <c r="B22" s="300" t="s">
        <v>614</v>
      </c>
      <c r="C22" s="301">
        <v>36</v>
      </c>
      <c r="D22" s="301" t="s">
        <v>557</v>
      </c>
      <c r="E22" s="301">
        <v>28</v>
      </c>
      <c r="F22" s="308">
        <v>8</v>
      </c>
      <c r="G22" s="301" t="s">
        <v>385</v>
      </c>
      <c r="H22" s="301" t="s">
        <v>159</v>
      </c>
      <c r="I22" s="301" t="s">
        <v>158</v>
      </c>
      <c r="J22" s="301" t="s">
        <v>162</v>
      </c>
      <c r="K22" s="301" t="s">
        <v>160</v>
      </c>
      <c r="L22" s="301" t="s">
        <v>161</v>
      </c>
      <c r="M22" s="301" t="s">
        <v>164</v>
      </c>
      <c r="N22" s="301" t="s">
        <v>163</v>
      </c>
      <c r="O22" s="301" t="s">
        <v>165</v>
      </c>
      <c r="P22" s="301"/>
      <c r="Q22" s="303"/>
      <c r="R22" s="303"/>
    </row>
    <row r="23" spans="1:27">
      <c r="B23" s="325" t="s">
        <v>614</v>
      </c>
      <c r="C23" s="314">
        <v>36</v>
      </c>
      <c r="D23" s="331" t="s">
        <v>557</v>
      </c>
      <c r="E23" s="314">
        <v>28</v>
      </c>
      <c r="F23" s="314"/>
      <c r="G23" s="314" t="s">
        <v>385</v>
      </c>
      <c r="H23" s="314" t="s">
        <v>615</v>
      </c>
      <c r="I23" s="314" t="s">
        <v>616</v>
      </c>
      <c r="J23" s="314" t="s">
        <v>617</v>
      </c>
      <c r="K23" s="314" t="s">
        <v>618</v>
      </c>
      <c r="L23" s="314" t="s">
        <v>619</v>
      </c>
      <c r="M23" s="314" t="s">
        <v>233</v>
      </c>
      <c r="N23" s="314" t="s">
        <v>620</v>
      </c>
      <c r="O23" s="314" t="s">
        <v>621</v>
      </c>
      <c r="P23" s="314"/>
      <c r="Q23" s="332"/>
      <c r="R23" s="333"/>
    </row>
    <row r="24" spans="1:27">
      <c r="B24" s="304" t="s">
        <v>559</v>
      </c>
      <c r="C24" s="305" t="s">
        <v>612</v>
      </c>
      <c r="D24" s="305" t="str">
        <f>VLOOKUP(D23,NakshatraTbl,24,0)</f>
        <v>Pulaha</v>
      </c>
      <c r="E24" s="305" t="s">
        <v>561</v>
      </c>
      <c r="F24" s="305"/>
      <c r="G24" s="305" t="s">
        <v>400</v>
      </c>
      <c r="H24" s="305">
        <v>1</v>
      </c>
      <c r="I24" s="305">
        <v>2</v>
      </c>
      <c r="J24" s="305">
        <v>3</v>
      </c>
      <c r="K24" s="305">
        <v>4</v>
      </c>
      <c r="L24" s="305">
        <v>5</v>
      </c>
      <c r="M24" s="305">
        <v>6</v>
      </c>
      <c r="N24" s="305">
        <v>7</v>
      </c>
      <c r="O24" s="305">
        <v>8</v>
      </c>
      <c r="P24" s="305"/>
      <c r="Q24" s="306"/>
      <c r="R24" s="306"/>
    </row>
    <row r="25" spans="1:27">
      <c r="A25" s="334"/>
    </row>
    <row r="26" spans="1:27">
      <c r="A26" s="334"/>
      <c r="D26" s="1333" t="s">
        <v>622</v>
      </c>
      <c r="E26" s="1333"/>
      <c r="F26" s="1333"/>
      <c r="G26" s="1333"/>
      <c r="H26" s="1333"/>
      <c r="I26" s="1333"/>
    </row>
    <row r="27" spans="1:27" s="68" customFormat="1" ht="32.65" customHeight="1">
      <c r="D27" s="1334" t="s">
        <v>623</v>
      </c>
      <c r="E27" s="1334"/>
      <c r="F27" s="1334" t="s">
        <v>624</v>
      </c>
      <c r="G27" s="1334"/>
      <c r="H27" s="68">
        <v>6</v>
      </c>
      <c r="J27" s="68">
        <v>8</v>
      </c>
      <c r="L27" s="68">
        <v>10</v>
      </c>
      <c r="N27" s="68">
        <v>12</v>
      </c>
      <c r="P27" s="68">
        <v>14</v>
      </c>
      <c r="R27" s="68">
        <v>16</v>
      </c>
      <c r="T27" s="68">
        <v>18</v>
      </c>
      <c r="V27" s="336">
        <v>20</v>
      </c>
      <c r="W27" s="336"/>
      <c r="X27" s="336">
        <v>22</v>
      </c>
      <c r="Y27" s="336"/>
      <c r="Z27" s="68">
        <v>24</v>
      </c>
    </row>
    <row r="28" spans="1:27">
      <c r="A28" s="337"/>
      <c r="B28" s="337"/>
      <c r="C28" s="337"/>
      <c r="D28" s="1335" t="s">
        <v>625</v>
      </c>
      <c r="E28" s="1335"/>
      <c r="F28" s="1335" t="s">
        <v>626</v>
      </c>
      <c r="G28" s="1335"/>
      <c r="H28" s="1335" t="s">
        <v>627</v>
      </c>
      <c r="I28" s="1335"/>
      <c r="J28" s="1335" t="s">
        <v>628</v>
      </c>
      <c r="K28" s="1335"/>
      <c r="L28" s="1335" t="s">
        <v>629</v>
      </c>
      <c r="M28" s="1335"/>
      <c r="N28" s="1335" t="s">
        <v>630</v>
      </c>
      <c r="O28" s="1335"/>
      <c r="P28" s="1335" t="s">
        <v>631</v>
      </c>
      <c r="Q28" s="1335"/>
      <c r="R28" s="1335" t="s">
        <v>632</v>
      </c>
      <c r="S28" s="1335"/>
      <c r="T28" s="1335" t="s">
        <v>633</v>
      </c>
      <c r="U28" s="1335"/>
      <c r="V28" s="1336" t="s">
        <v>634</v>
      </c>
      <c r="W28" s="1336"/>
      <c r="X28" s="1336" t="s">
        <v>635</v>
      </c>
      <c r="Y28" s="1336"/>
      <c r="Z28" s="1335" t="s">
        <v>636</v>
      </c>
      <c r="AA28" s="1335"/>
    </row>
    <row r="29" spans="1:27">
      <c r="A29" s="338" t="s">
        <v>243</v>
      </c>
      <c r="B29" s="32"/>
      <c r="C29" s="32" t="s">
        <v>637</v>
      </c>
      <c r="D29" s="339" t="s">
        <v>301</v>
      </c>
      <c r="E29" s="340" t="s">
        <v>548</v>
      </c>
      <c r="F29" s="339" t="s">
        <v>301</v>
      </c>
      <c r="G29" s="340" t="s">
        <v>548</v>
      </c>
      <c r="H29" s="339" t="s">
        <v>301</v>
      </c>
      <c r="I29" s="340" t="s">
        <v>548</v>
      </c>
      <c r="J29" s="339" t="s">
        <v>301</v>
      </c>
      <c r="K29" s="340" t="s">
        <v>548</v>
      </c>
      <c r="L29" s="339" t="s">
        <v>301</v>
      </c>
      <c r="M29" s="340" t="s">
        <v>548</v>
      </c>
      <c r="N29" s="339" t="s">
        <v>301</v>
      </c>
      <c r="O29" s="340" t="s">
        <v>548</v>
      </c>
      <c r="P29" s="339" t="s">
        <v>301</v>
      </c>
      <c r="Q29" s="340" t="s">
        <v>548</v>
      </c>
      <c r="R29" s="339" t="s">
        <v>301</v>
      </c>
      <c r="S29" s="340" t="s">
        <v>548</v>
      </c>
      <c r="T29" s="339" t="s">
        <v>301</v>
      </c>
      <c r="U29" s="340" t="s">
        <v>548</v>
      </c>
      <c r="V29" s="341" t="s">
        <v>301</v>
      </c>
      <c r="W29" s="342" t="s">
        <v>548</v>
      </c>
      <c r="X29" s="341" t="s">
        <v>301</v>
      </c>
      <c r="Y29" s="342" t="s">
        <v>548</v>
      </c>
      <c r="Z29" s="339" t="s">
        <v>301</v>
      </c>
      <c r="AA29" s="340" t="s">
        <v>548</v>
      </c>
    </row>
    <row r="30" spans="1:27">
      <c r="A30" s="58">
        <v>1</v>
      </c>
      <c r="B30" s="58" t="s">
        <v>638</v>
      </c>
      <c r="C30" s="30">
        <v>0</v>
      </c>
      <c r="D30" s="343" t="s">
        <v>165</v>
      </c>
      <c r="E30" s="344">
        <f>12/4</f>
        <v>3</v>
      </c>
      <c r="F30" s="345" t="s">
        <v>162</v>
      </c>
      <c r="G30" s="346">
        <f>10/3</f>
        <v>3.3333333333333335</v>
      </c>
      <c r="H30" s="343" t="str">
        <f>H57</f>
        <v>Venus</v>
      </c>
      <c r="I30" s="347">
        <f>I57</f>
        <v>1.75</v>
      </c>
      <c r="J30" s="348" t="s">
        <v>161</v>
      </c>
      <c r="K30" s="349">
        <f>17/4</f>
        <v>4.25</v>
      </c>
      <c r="L30" s="345" t="s">
        <v>161</v>
      </c>
      <c r="M30" s="346">
        <f>17/3</f>
        <v>5.666666666666667</v>
      </c>
      <c r="N30" s="345" t="s">
        <v>159</v>
      </c>
      <c r="O30" s="346">
        <f>21/3</f>
        <v>7</v>
      </c>
      <c r="P30" s="343" t="str">
        <f>P31</f>
        <v>Venus</v>
      </c>
      <c r="Q30" s="347">
        <f>Q31</f>
        <v>1.75</v>
      </c>
      <c r="R30" s="343" t="str">
        <f>R31</f>
        <v>Venus</v>
      </c>
      <c r="S30" s="347">
        <f>S31</f>
        <v>2.25</v>
      </c>
      <c r="T30" s="348" t="s">
        <v>163</v>
      </c>
      <c r="U30" s="349">
        <f>9/3</f>
        <v>3</v>
      </c>
      <c r="V30" s="350" t="s">
        <v>161</v>
      </c>
      <c r="W30" s="351">
        <f>9/4</f>
        <v>2.25</v>
      </c>
      <c r="X30" s="350" t="s">
        <v>160</v>
      </c>
      <c r="Y30" s="351">
        <f>9/4</f>
        <v>2.25</v>
      </c>
      <c r="Z30" s="352" t="str">
        <f>Z57</f>
        <v>Sun</v>
      </c>
      <c r="AA30" s="353">
        <f>7/3</f>
        <v>2.3333333333333335</v>
      </c>
    </row>
    <row r="31" spans="1:27">
      <c r="A31" s="58">
        <v>2</v>
      </c>
      <c r="B31" s="58" t="s">
        <v>639</v>
      </c>
      <c r="C31" s="30">
        <f t="shared" ref="C31:C50" si="0">C30+13+1/3</f>
        <v>13.333333333333334</v>
      </c>
      <c r="D31" s="343" t="s">
        <v>165</v>
      </c>
      <c r="E31" s="344">
        <f>12/4</f>
        <v>3</v>
      </c>
      <c r="F31" s="345" t="str">
        <f>F30</f>
        <v>Jupiter</v>
      </c>
      <c r="G31" s="346">
        <f>G30</f>
        <v>3.3333333333333335</v>
      </c>
      <c r="H31" s="343" t="str">
        <f>H30</f>
        <v>Venus</v>
      </c>
      <c r="I31" s="347">
        <f>I30</f>
        <v>1.75</v>
      </c>
      <c r="J31" s="348" t="s">
        <v>161</v>
      </c>
      <c r="K31" s="349">
        <f>17/4</f>
        <v>4.25</v>
      </c>
      <c r="L31" s="345" t="s">
        <v>161</v>
      </c>
      <c r="M31" s="346">
        <f>17/3</f>
        <v>5.666666666666667</v>
      </c>
      <c r="N31" s="345" t="str">
        <f>N30</f>
        <v>Moon</v>
      </c>
      <c r="O31" s="346">
        <f>O30</f>
        <v>7</v>
      </c>
      <c r="P31" s="343" t="s">
        <v>163</v>
      </c>
      <c r="Q31" s="347">
        <f>7/4</f>
        <v>1.75</v>
      </c>
      <c r="R31" s="343" t="s">
        <v>163</v>
      </c>
      <c r="S31" s="347">
        <f>9/4</f>
        <v>2.25</v>
      </c>
      <c r="T31" s="348" t="str">
        <f>T32</f>
        <v>Jupiter</v>
      </c>
      <c r="U31" s="349">
        <f>9/4</f>
        <v>2.25</v>
      </c>
      <c r="V31" s="350" t="s">
        <v>161</v>
      </c>
      <c r="W31" s="351">
        <f>9/4</f>
        <v>2.25</v>
      </c>
      <c r="X31" s="350" t="s">
        <v>161</v>
      </c>
      <c r="Y31" s="351">
        <f>9/3</f>
        <v>3</v>
      </c>
      <c r="Z31" s="352" t="str">
        <f>Z30</f>
        <v>Sun</v>
      </c>
      <c r="AA31" s="353">
        <f>AA30</f>
        <v>2.3333333333333335</v>
      </c>
    </row>
    <row r="32" spans="1:27">
      <c r="A32" s="58">
        <v>3</v>
      </c>
      <c r="B32" s="58" t="s">
        <v>640</v>
      </c>
      <c r="C32" s="30">
        <f t="shared" si="0"/>
        <v>26.666666666666668</v>
      </c>
      <c r="D32" s="354" t="s">
        <v>163</v>
      </c>
      <c r="E32" s="355">
        <f>21/3</f>
        <v>7</v>
      </c>
      <c r="F32" s="345" t="str">
        <f>F31</f>
        <v>Jupiter</v>
      </c>
      <c r="G32" s="346">
        <f>G31</f>
        <v>3.3333333333333335</v>
      </c>
      <c r="H32" s="354" t="s">
        <v>165</v>
      </c>
      <c r="I32" s="356">
        <f>7/3</f>
        <v>2.3333333333333335</v>
      </c>
      <c r="J32" s="348" t="s">
        <v>161</v>
      </c>
      <c r="K32" s="349">
        <f>17/4</f>
        <v>4.25</v>
      </c>
      <c r="L32" s="345" t="s">
        <v>161</v>
      </c>
      <c r="M32" s="346">
        <f>17/3</f>
        <v>5.666666666666667</v>
      </c>
      <c r="N32" s="345" t="str">
        <f>N31</f>
        <v>Moon</v>
      </c>
      <c r="O32" s="346">
        <f>O31</f>
        <v>7</v>
      </c>
      <c r="P32" s="354" t="str">
        <f t="shared" ref="P32:S33" si="1">P33</f>
        <v>Saturn</v>
      </c>
      <c r="Q32" s="356">
        <f t="shared" si="1"/>
        <v>2</v>
      </c>
      <c r="R32" s="354" t="str">
        <f t="shared" si="1"/>
        <v>Jupiter</v>
      </c>
      <c r="S32" s="356">
        <f t="shared" si="1"/>
        <v>3</v>
      </c>
      <c r="T32" s="348" t="str">
        <f>T33</f>
        <v>Jupiter</v>
      </c>
      <c r="U32" s="349">
        <f>U33</f>
        <v>2.25</v>
      </c>
      <c r="V32" s="350" t="s">
        <v>161</v>
      </c>
      <c r="W32" s="351">
        <f>9/4</f>
        <v>2.25</v>
      </c>
      <c r="X32" s="350" t="s">
        <v>161</v>
      </c>
      <c r="Y32" s="351">
        <f>9/3</f>
        <v>3</v>
      </c>
      <c r="Z32" s="345" t="s">
        <v>162</v>
      </c>
      <c r="AA32" s="357">
        <f>9/4</f>
        <v>2.25</v>
      </c>
    </row>
    <row r="33" spans="1:27">
      <c r="A33" s="58">
        <v>4</v>
      </c>
      <c r="B33" s="58" t="s">
        <v>641</v>
      </c>
      <c r="C33" s="30">
        <f t="shared" si="0"/>
        <v>40.000000000000007</v>
      </c>
      <c r="D33" s="358" t="s">
        <v>163</v>
      </c>
      <c r="E33" s="359">
        <f>21/3</f>
        <v>7</v>
      </c>
      <c r="F33" s="352" t="s">
        <v>158</v>
      </c>
      <c r="G33" s="360">
        <f>10/4</f>
        <v>2.5</v>
      </c>
      <c r="H33" s="358" t="str">
        <f>H32</f>
        <v>Rahu</v>
      </c>
      <c r="I33" s="361">
        <f>I32</f>
        <v>2.3333333333333335</v>
      </c>
      <c r="J33" s="348" t="s">
        <v>161</v>
      </c>
      <c r="K33" s="349">
        <f>17/4</f>
        <v>4.25</v>
      </c>
      <c r="L33" s="352" t="s">
        <v>163</v>
      </c>
      <c r="M33" s="360">
        <f>18/4</f>
        <v>4.5</v>
      </c>
      <c r="N33" s="352" t="s">
        <v>164</v>
      </c>
      <c r="O33" s="360">
        <f>19/4</f>
        <v>4.75</v>
      </c>
      <c r="P33" s="358" t="str">
        <f t="shared" si="1"/>
        <v>Saturn</v>
      </c>
      <c r="Q33" s="362">
        <f t="shared" si="1"/>
        <v>2</v>
      </c>
      <c r="R33" s="358" t="str">
        <f t="shared" si="1"/>
        <v>Jupiter</v>
      </c>
      <c r="S33" s="362">
        <f t="shared" si="1"/>
        <v>3</v>
      </c>
      <c r="T33" s="348" t="str">
        <f>T34</f>
        <v>Jupiter</v>
      </c>
      <c r="U33" s="349">
        <f>U34</f>
        <v>2.25</v>
      </c>
      <c r="V33" s="350" t="s">
        <v>161</v>
      </c>
      <c r="W33" s="351">
        <f>9/4</f>
        <v>2.25</v>
      </c>
      <c r="X33" s="350" t="s">
        <v>161</v>
      </c>
      <c r="Y33" s="351">
        <f>9/3</f>
        <v>3</v>
      </c>
      <c r="Z33" s="345" t="str">
        <f t="shared" ref="Z33:AA35" si="2">Z32</f>
        <v>Jupiter</v>
      </c>
      <c r="AA33" s="357">
        <f t="shared" si="2"/>
        <v>2.25</v>
      </c>
    </row>
    <row r="34" spans="1:27">
      <c r="A34" s="58">
        <v>5</v>
      </c>
      <c r="B34" s="58" t="s">
        <v>642</v>
      </c>
      <c r="C34" s="30">
        <f t="shared" si="0"/>
        <v>53.333333333333343</v>
      </c>
      <c r="D34" s="363" t="s">
        <v>163</v>
      </c>
      <c r="E34" s="364">
        <f>21/3</f>
        <v>7</v>
      </c>
      <c r="F34" s="352" t="str">
        <f t="shared" ref="F34:G36" si="3">F33</f>
        <v>Sun</v>
      </c>
      <c r="G34" s="360">
        <f t="shared" si="3"/>
        <v>2.5</v>
      </c>
      <c r="H34" s="358" t="str">
        <f>H33</f>
        <v>Rahu</v>
      </c>
      <c r="I34" s="361">
        <f>I33</f>
        <v>2.3333333333333335</v>
      </c>
      <c r="J34" s="348" t="s">
        <v>163</v>
      </c>
      <c r="K34" s="349">
        <f>18/3</f>
        <v>6</v>
      </c>
      <c r="L34" s="352" t="s">
        <v>163</v>
      </c>
      <c r="M34" s="360">
        <f>18/4</f>
        <v>4.5</v>
      </c>
      <c r="N34" s="352" t="str">
        <f t="shared" ref="N34:O36" si="4">N33</f>
        <v>Saturn</v>
      </c>
      <c r="O34" s="360">
        <f t="shared" si="4"/>
        <v>4.75</v>
      </c>
      <c r="P34" s="363" t="s">
        <v>164</v>
      </c>
      <c r="Q34" s="365">
        <f>6/3</f>
        <v>2</v>
      </c>
      <c r="R34" s="363" t="s">
        <v>162</v>
      </c>
      <c r="S34" s="365">
        <f>9/3</f>
        <v>3</v>
      </c>
      <c r="T34" s="348" t="s">
        <v>162</v>
      </c>
      <c r="U34" s="349">
        <f>9/4</f>
        <v>2.25</v>
      </c>
      <c r="V34" s="350" t="s">
        <v>162</v>
      </c>
      <c r="W34" s="351">
        <f>9/3</f>
        <v>3</v>
      </c>
      <c r="X34" s="350" t="s">
        <v>162</v>
      </c>
      <c r="Y34" s="351">
        <f>9/4</f>
        <v>2.25</v>
      </c>
      <c r="Z34" s="345" t="str">
        <f t="shared" si="2"/>
        <v>Jupiter</v>
      </c>
      <c r="AA34" s="357">
        <f t="shared" si="2"/>
        <v>2.25</v>
      </c>
    </row>
    <row r="35" spans="1:27">
      <c r="A35" s="58">
        <v>6</v>
      </c>
      <c r="B35" s="32" t="s">
        <v>557</v>
      </c>
      <c r="C35" s="30">
        <f t="shared" si="0"/>
        <v>66.666666666666671</v>
      </c>
      <c r="D35" s="366" t="s">
        <v>158</v>
      </c>
      <c r="E35" s="367">
        <f>6/4</f>
        <v>1.5</v>
      </c>
      <c r="F35" s="352" t="str">
        <f t="shared" si="3"/>
        <v>Sun</v>
      </c>
      <c r="G35" s="360">
        <f t="shared" si="3"/>
        <v>2.5</v>
      </c>
      <c r="H35" s="366" t="s">
        <v>159</v>
      </c>
      <c r="I35" s="368">
        <f>1/4</f>
        <v>0.25</v>
      </c>
      <c r="J35" s="348" t="s">
        <v>163</v>
      </c>
      <c r="K35" s="349">
        <f>18/3</f>
        <v>6</v>
      </c>
      <c r="L35" s="352" t="s">
        <v>163</v>
      </c>
      <c r="M35" s="360">
        <f>18/4</f>
        <v>4.5</v>
      </c>
      <c r="N35" s="352" t="str">
        <f t="shared" si="4"/>
        <v>Saturn</v>
      </c>
      <c r="O35" s="360">
        <f t="shared" si="4"/>
        <v>4.75</v>
      </c>
      <c r="P35" s="369" t="str">
        <f t="shared" ref="P35:U36" si="5">P36</f>
        <v>Mercury</v>
      </c>
      <c r="Q35" s="368">
        <f t="shared" si="5"/>
        <v>1.25</v>
      </c>
      <c r="R35" s="369" t="str">
        <f t="shared" si="5"/>
        <v>Mercury</v>
      </c>
      <c r="S35" s="368">
        <f t="shared" si="5"/>
        <v>2.25</v>
      </c>
      <c r="T35" s="348" t="str">
        <f t="shared" si="5"/>
        <v>Mercury</v>
      </c>
      <c r="U35" s="349">
        <f t="shared" si="5"/>
        <v>3</v>
      </c>
      <c r="V35" s="350" t="s">
        <v>162</v>
      </c>
      <c r="W35" s="351">
        <f>9/3</f>
        <v>3</v>
      </c>
      <c r="X35" s="350" t="s">
        <v>162</v>
      </c>
      <c r="Y35" s="351">
        <f>9/4</f>
        <v>2.25</v>
      </c>
      <c r="Z35" s="345" t="str">
        <f t="shared" si="2"/>
        <v>Jupiter</v>
      </c>
      <c r="AA35" s="357">
        <f t="shared" si="2"/>
        <v>2.25</v>
      </c>
    </row>
    <row r="36" spans="1:27">
      <c r="A36" s="58">
        <v>7</v>
      </c>
      <c r="B36" s="58" t="s">
        <v>643</v>
      </c>
      <c r="C36" s="30">
        <f t="shared" si="0"/>
        <v>80</v>
      </c>
      <c r="D36" s="370" t="s">
        <v>158</v>
      </c>
      <c r="E36" s="344">
        <f>6/4</f>
        <v>1.5</v>
      </c>
      <c r="F36" s="352" t="str">
        <f t="shared" si="3"/>
        <v>Sun</v>
      </c>
      <c r="G36" s="360">
        <f t="shared" si="3"/>
        <v>2.5</v>
      </c>
      <c r="H36" s="366" t="s">
        <v>159</v>
      </c>
      <c r="I36" s="368">
        <f>1/4</f>
        <v>0.25</v>
      </c>
      <c r="J36" s="348" t="s">
        <v>163</v>
      </c>
      <c r="K36" s="349">
        <f>18/3</f>
        <v>6</v>
      </c>
      <c r="L36" s="352" t="s">
        <v>163</v>
      </c>
      <c r="M36" s="360">
        <f>18/4</f>
        <v>4.5</v>
      </c>
      <c r="N36" s="352" t="str">
        <f t="shared" si="4"/>
        <v>Saturn</v>
      </c>
      <c r="O36" s="360">
        <f t="shared" si="4"/>
        <v>4.75</v>
      </c>
      <c r="P36" s="343" t="str">
        <f t="shared" si="5"/>
        <v>Mercury</v>
      </c>
      <c r="Q36" s="347">
        <f t="shared" si="5"/>
        <v>1.25</v>
      </c>
      <c r="R36" s="343" t="str">
        <f t="shared" si="5"/>
        <v>Mercury</v>
      </c>
      <c r="S36" s="347">
        <f t="shared" si="5"/>
        <v>2.25</v>
      </c>
      <c r="T36" s="348" t="str">
        <f t="shared" si="5"/>
        <v>Mercury</v>
      </c>
      <c r="U36" s="349">
        <f t="shared" si="5"/>
        <v>3</v>
      </c>
      <c r="V36" s="350" t="s">
        <v>162</v>
      </c>
      <c r="W36" s="351">
        <f>9/3</f>
        <v>3</v>
      </c>
      <c r="X36" s="350" t="s">
        <v>162</v>
      </c>
      <c r="Y36" s="351">
        <f>9/4</f>
        <v>2.25</v>
      </c>
      <c r="Z36" s="352" t="s">
        <v>166</v>
      </c>
      <c r="AA36" s="353">
        <f>11/3</f>
        <v>3.6666666666666665</v>
      </c>
    </row>
    <row r="37" spans="1:27">
      <c r="A37" s="58">
        <v>8</v>
      </c>
      <c r="B37" s="58" t="s">
        <v>566</v>
      </c>
      <c r="C37" s="30">
        <f t="shared" si="0"/>
        <v>93.333333333333329</v>
      </c>
      <c r="D37" s="370" t="s">
        <v>158</v>
      </c>
      <c r="E37" s="344">
        <f>6/4</f>
        <v>1.5</v>
      </c>
      <c r="F37" s="371" t="s">
        <v>160</v>
      </c>
      <c r="G37" s="346">
        <f>10/3</f>
        <v>3.3333333333333335</v>
      </c>
      <c r="H37" s="366" t="s">
        <v>159</v>
      </c>
      <c r="I37" s="368">
        <f>1/4</f>
        <v>0.25</v>
      </c>
      <c r="J37" s="339" t="s">
        <v>158</v>
      </c>
      <c r="K37" s="349">
        <f>11/4</f>
        <v>2.75</v>
      </c>
      <c r="L37" s="371" t="s">
        <v>158</v>
      </c>
      <c r="M37" s="346">
        <f>11/3</f>
        <v>3.6666666666666665</v>
      </c>
      <c r="N37" s="371" t="s">
        <v>160</v>
      </c>
      <c r="O37" s="346">
        <f>17/3</f>
        <v>5.666666666666667</v>
      </c>
      <c r="P37" s="343" t="str">
        <f>P38</f>
        <v>Mercury</v>
      </c>
      <c r="Q37" s="347">
        <f>Q38</f>
        <v>1.25</v>
      </c>
      <c r="R37" s="343" t="str">
        <f>R38</f>
        <v>Mercury</v>
      </c>
      <c r="S37" s="347">
        <f>9/4</f>
        <v>2.25</v>
      </c>
      <c r="T37" s="348" t="s">
        <v>161</v>
      </c>
      <c r="U37" s="349">
        <f>9/3</f>
        <v>3</v>
      </c>
      <c r="V37" s="350" t="s">
        <v>163</v>
      </c>
      <c r="W37" s="351">
        <f>9/4</f>
        <v>2.25</v>
      </c>
      <c r="X37" s="350" t="s">
        <v>162</v>
      </c>
      <c r="Y37" s="351">
        <f>9/4</f>
        <v>2.25</v>
      </c>
      <c r="Z37" s="352" t="str">
        <f>Z36</f>
        <v>Ketu</v>
      </c>
      <c r="AA37" s="353">
        <f>AA36</f>
        <v>3.6666666666666665</v>
      </c>
    </row>
    <row r="38" spans="1:27">
      <c r="A38" s="58">
        <v>9</v>
      </c>
      <c r="B38" s="58" t="s">
        <v>644</v>
      </c>
      <c r="C38" s="30">
        <f t="shared" si="0"/>
        <v>106.66666666666666</v>
      </c>
      <c r="D38" s="372" t="s">
        <v>158</v>
      </c>
      <c r="E38" s="373">
        <f>6/4</f>
        <v>1.5</v>
      </c>
      <c r="F38" s="371" t="str">
        <f>F37</f>
        <v>Mars</v>
      </c>
      <c r="G38" s="346">
        <f>G37</f>
        <v>3.3333333333333335</v>
      </c>
      <c r="H38" s="366" t="s">
        <v>159</v>
      </c>
      <c r="I38" s="368">
        <f>1/4</f>
        <v>0.25</v>
      </c>
      <c r="J38" s="339" t="s">
        <v>158</v>
      </c>
      <c r="K38" s="349">
        <f>11/4</f>
        <v>2.75</v>
      </c>
      <c r="L38" s="371" t="s">
        <v>158</v>
      </c>
      <c r="M38" s="346">
        <f>11/3</f>
        <v>3.6666666666666665</v>
      </c>
      <c r="N38" s="371" t="str">
        <f>N37</f>
        <v>Mars</v>
      </c>
      <c r="O38" s="346">
        <f>O37</f>
        <v>5.666666666666667</v>
      </c>
      <c r="P38" s="374" t="s">
        <v>161</v>
      </c>
      <c r="Q38" s="375">
        <f>5/4</f>
        <v>1.25</v>
      </c>
      <c r="R38" s="374" t="s">
        <v>161</v>
      </c>
      <c r="S38" s="375">
        <f>9/4</f>
        <v>2.25</v>
      </c>
      <c r="T38" s="348" t="str">
        <f>T39</f>
        <v>Mars</v>
      </c>
      <c r="U38" s="349">
        <f>9/4</f>
        <v>2.25</v>
      </c>
      <c r="V38" s="350" t="s">
        <v>163</v>
      </c>
      <c r="W38" s="351">
        <f>9/4</f>
        <v>2.25</v>
      </c>
      <c r="X38" s="350" t="s">
        <v>163</v>
      </c>
      <c r="Y38" s="351">
        <f>9/3</f>
        <v>3</v>
      </c>
      <c r="Z38" s="352" t="str">
        <f>Z37</f>
        <v>Ketu</v>
      </c>
      <c r="AA38" s="353">
        <f>AA37</f>
        <v>3.6666666666666665</v>
      </c>
    </row>
    <row r="39" spans="1:27">
      <c r="A39" s="58">
        <v>10</v>
      </c>
      <c r="B39" s="58" t="s">
        <v>645</v>
      </c>
      <c r="C39" s="30">
        <f t="shared" si="0"/>
        <v>119.99999999999999</v>
      </c>
      <c r="D39" s="354" t="s">
        <v>159</v>
      </c>
      <c r="E39" s="355">
        <f>15/3</f>
        <v>5</v>
      </c>
      <c r="F39" s="371" t="str">
        <f>F38</f>
        <v>Mars</v>
      </c>
      <c r="G39" s="346">
        <f>G38</f>
        <v>3.3333333333333335</v>
      </c>
      <c r="H39" s="354" t="s">
        <v>158</v>
      </c>
      <c r="I39" s="356">
        <f>1/3</f>
        <v>0.33333333333333331</v>
      </c>
      <c r="J39" s="339" t="s">
        <v>158</v>
      </c>
      <c r="K39" s="349">
        <f>11/4</f>
        <v>2.75</v>
      </c>
      <c r="L39" s="371" t="s">
        <v>158</v>
      </c>
      <c r="M39" s="346">
        <f>11/3</f>
        <v>3.6666666666666665</v>
      </c>
      <c r="N39" s="371" t="str">
        <f>N38</f>
        <v>Mars</v>
      </c>
      <c r="O39" s="346">
        <f>O38</f>
        <v>5.666666666666667</v>
      </c>
      <c r="P39" s="354" t="str">
        <f t="shared" ref="P39:S40" si="6">P40</f>
        <v>Mars</v>
      </c>
      <c r="Q39" s="356">
        <f t="shared" si="6"/>
        <v>1.3333333333333333</v>
      </c>
      <c r="R39" s="354" t="str">
        <f t="shared" si="6"/>
        <v>Mars</v>
      </c>
      <c r="S39" s="356">
        <f t="shared" si="6"/>
        <v>3</v>
      </c>
      <c r="T39" s="348" t="str">
        <f>T40</f>
        <v>Mars</v>
      </c>
      <c r="U39" s="349">
        <f>U40</f>
        <v>2.25</v>
      </c>
      <c r="V39" s="350" t="s">
        <v>163</v>
      </c>
      <c r="W39" s="351">
        <f>9/4</f>
        <v>2.25</v>
      </c>
      <c r="X39" s="350" t="s">
        <v>163</v>
      </c>
      <c r="Y39" s="351">
        <f>9/3</f>
        <v>3</v>
      </c>
      <c r="Z39" s="371" t="s">
        <v>161</v>
      </c>
      <c r="AA39" s="357">
        <f>13/4</f>
        <v>3.25</v>
      </c>
    </row>
    <row r="40" spans="1:27">
      <c r="A40" s="58">
        <v>11</v>
      </c>
      <c r="B40" s="58" t="s">
        <v>646</v>
      </c>
      <c r="C40" s="30">
        <f t="shared" si="0"/>
        <v>133.33333333333334</v>
      </c>
      <c r="D40" s="358" t="s">
        <v>159</v>
      </c>
      <c r="E40" s="359">
        <f>15/3</f>
        <v>5</v>
      </c>
      <c r="F40" s="352" t="s">
        <v>159</v>
      </c>
      <c r="G40" s="360">
        <f>6/4</f>
        <v>1.5</v>
      </c>
      <c r="H40" s="354" t="s">
        <v>158</v>
      </c>
      <c r="I40" s="356">
        <f>1/3</f>
        <v>0.33333333333333331</v>
      </c>
      <c r="J40" s="339" t="s">
        <v>158</v>
      </c>
      <c r="K40" s="349">
        <f>11/4</f>
        <v>2.75</v>
      </c>
      <c r="L40" s="352" t="s">
        <v>160</v>
      </c>
      <c r="M40" s="360">
        <f>12/4</f>
        <v>3</v>
      </c>
      <c r="N40" s="352" t="s">
        <v>165</v>
      </c>
      <c r="O40" s="360">
        <f>15/4</f>
        <v>3.75</v>
      </c>
      <c r="P40" s="358" t="str">
        <f t="shared" si="6"/>
        <v>Mars</v>
      </c>
      <c r="Q40" s="362">
        <f t="shared" si="6"/>
        <v>1.3333333333333333</v>
      </c>
      <c r="R40" s="358" t="str">
        <f t="shared" si="6"/>
        <v>Mars</v>
      </c>
      <c r="S40" s="362">
        <f t="shared" si="6"/>
        <v>3</v>
      </c>
      <c r="T40" s="348" t="str">
        <f>T41</f>
        <v>Mars</v>
      </c>
      <c r="U40" s="349">
        <f>U41</f>
        <v>2.25</v>
      </c>
      <c r="V40" s="350" t="s">
        <v>163</v>
      </c>
      <c r="W40" s="351">
        <f>9/4</f>
        <v>2.25</v>
      </c>
      <c r="X40" s="350" t="s">
        <v>163</v>
      </c>
      <c r="Y40" s="351">
        <f>9/3</f>
        <v>3</v>
      </c>
      <c r="Z40" s="371" t="s">
        <v>161</v>
      </c>
      <c r="AA40" s="357">
        <f>AA39</f>
        <v>3.25</v>
      </c>
    </row>
    <row r="41" spans="1:27">
      <c r="A41" s="58">
        <v>12</v>
      </c>
      <c r="B41" s="58" t="s">
        <v>647</v>
      </c>
      <c r="C41" s="30">
        <f t="shared" si="0"/>
        <v>146.66666666666669</v>
      </c>
      <c r="D41" s="363" t="s">
        <v>159</v>
      </c>
      <c r="E41" s="364">
        <f>15/3</f>
        <v>5</v>
      </c>
      <c r="F41" s="352" t="str">
        <f t="shared" ref="F41:G43" si="7">F40</f>
        <v>Moon</v>
      </c>
      <c r="G41" s="360">
        <f t="shared" si="7"/>
        <v>1.5</v>
      </c>
      <c r="H41" s="354" t="s">
        <v>158</v>
      </c>
      <c r="I41" s="356">
        <f>1/3</f>
        <v>0.33333333333333331</v>
      </c>
      <c r="J41" s="348" t="s">
        <v>160</v>
      </c>
      <c r="K41" s="349">
        <f>12/3</f>
        <v>4</v>
      </c>
      <c r="L41" s="352" t="s">
        <v>160</v>
      </c>
      <c r="M41" s="360">
        <f>12/4</f>
        <v>3</v>
      </c>
      <c r="N41" s="352" t="str">
        <f t="shared" ref="N41:O43" si="8">N40</f>
        <v>Rahu</v>
      </c>
      <c r="O41" s="360">
        <f t="shared" si="8"/>
        <v>3.75</v>
      </c>
      <c r="P41" s="363" t="s">
        <v>160</v>
      </c>
      <c r="Q41" s="365">
        <f>4/3</f>
        <v>1.3333333333333333</v>
      </c>
      <c r="R41" s="363" t="s">
        <v>160</v>
      </c>
      <c r="S41" s="365">
        <f>9/3</f>
        <v>3</v>
      </c>
      <c r="T41" s="348" t="s">
        <v>160</v>
      </c>
      <c r="U41" s="349">
        <f>9/4</f>
        <v>2.25</v>
      </c>
      <c r="V41" s="350" t="s">
        <v>164</v>
      </c>
      <c r="W41" s="351">
        <f>9/3</f>
        <v>3</v>
      </c>
      <c r="X41" s="350" t="s">
        <v>164</v>
      </c>
      <c r="Y41" s="351">
        <f>9/4</f>
        <v>2.25</v>
      </c>
      <c r="Z41" s="371" t="s">
        <v>161</v>
      </c>
      <c r="AA41" s="357">
        <f>AA40</f>
        <v>3.25</v>
      </c>
    </row>
    <row r="42" spans="1:27">
      <c r="A42" s="58">
        <v>13</v>
      </c>
      <c r="B42" s="32" t="s">
        <v>648</v>
      </c>
      <c r="C42" s="30">
        <f t="shared" si="0"/>
        <v>160.00000000000003</v>
      </c>
      <c r="D42" s="369" t="s">
        <v>160</v>
      </c>
      <c r="E42" s="367">
        <f>8/4</f>
        <v>2</v>
      </c>
      <c r="F42" s="352" t="str">
        <f t="shared" si="7"/>
        <v>Moon</v>
      </c>
      <c r="G42" s="360">
        <f t="shared" si="7"/>
        <v>1.5</v>
      </c>
      <c r="H42" s="369" t="s">
        <v>162</v>
      </c>
      <c r="I42" s="368">
        <f>3/4</f>
        <v>0.75</v>
      </c>
      <c r="J42" s="348" t="s">
        <v>160</v>
      </c>
      <c r="K42" s="349">
        <f>12/3</f>
        <v>4</v>
      </c>
      <c r="L42" s="352" t="s">
        <v>160</v>
      </c>
      <c r="M42" s="360">
        <f>12/4</f>
        <v>3</v>
      </c>
      <c r="N42" s="352" t="str">
        <f t="shared" si="8"/>
        <v>Rahu</v>
      </c>
      <c r="O42" s="360">
        <f t="shared" si="8"/>
        <v>3.75</v>
      </c>
      <c r="P42" s="369" t="str">
        <f t="shared" ref="P42:U43" si="9">P43</f>
        <v>Jupiter</v>
      </c>
      <c r="Q42" s="368">
        <f t="shared" si="9"/>
        <v>0.75</v>
      </c>
      <c r="R42" s="369" t="str">
        <f t="shared" si="9"/>
        <v>Moon</v>
      </c>
      <c r="S42" s="368">
        <f t="shared" si="9"/>
        <v>2.25</v>
      </c>
      <c r="T42" s="348" t="str">
        <f t="shared" si="9"/>
        <v>Moon</v>
      </c>
      <c r="U42" s="349">
        <f t="shared" si="9"/>
        <v>3</v>
      </c>
      <c r="V42" s="350" t="s">
        <v>164</v>
      </c>
      <c r="W42" s="351">
        <f>9/3</f>
        <v>3</v>
      </c>
      <c r="X42" s="350" t="s">
        <v>164</v>
      </c>
      <c r="Y42" s="351">
        <f>9/4</f>
        <v>2.25</v>
      </c>
      <c r="Z42" s="371" t="s">
        <v>161</v>
      </c>
      <c r="AA42" s="357">
        <f>AA41</f>
        <v>3.25</v>
      </c>
    </row>
    <row r="43" spans="1:27">
      <c r="A43" s="58">
        <v>14</v>
      </c>
      <c r="B43" s="58" t="s">
        <v>649</v>
      </c>
      <c r="C43" s="30">
        <f t="shared" si="0"/>
        <v>173.33333333333337</v>
      </c>
      <c r="D43" s="343" t="s">
        <v>160</v>
      </c>
      <c r="E43" s="344">
        <f>8/4</f>
        <v>2</v>
      </c>
      <c r="F43" s="352" t="str">
        <f t="shared" si="7"/>
        <v>Moon</v>
      </c>
      <c r="G43" s="360">
        <f t="shared" si="7"/>
        <v>1.5</v>
      </c>
      <c r="H43" s="369" t="s">
        <v>162</v>
      </c>
      <c r="I43" s="368">
        <f>3/4</f>
        <v>0.75</v>
      </c>
      <c r="J43" s="348" t="s">
        <v>160</v>
      </c>
      <c r="K43" s="349">
        <f>12/3</f>
        <v>4</v>
      </c>
      <c r="L43" s="352" t="s">
        <v>160</v>
      </c>
      <c r="M43" s="360">
        <f>12/4</f>
        <v>3</v>
      </c>
      <c r="N43" s="352" t="str">
        <f t="shared" si="8"/>
        <v>Rahu</v>
      </c>
      <c r="O43" s="360">
        <f t="shared" si="8"/>
        <v>3.75</v>
      </c>
      <c r="P43" s="343" t="str">
        <f t="shared" si="9"/>
        <v>Jupiter</v>
      </c>
      <c r="Q43" s="347">
        <f t="shared" si="9"/>
        <v>0.75</v>
      </c>
      <c r="R43" s="343" t="str">
        <f t="shared" si="9"/>
        <v>Moon</v>
      </c>
      <c r="S43" s="347">
        <f t="shared" si="9"/>
        <v>2.25</v>
      </c>
      <c r="T43" s="348" t="str">
        <f t="shared" si="9"/>
        <v>Moon</v>
      </c>
      <c r="U43" s="349">
        <f t="shared" si="9"/>
        <v>3</v>
      </c>
      <c r="V43" s="350" t="s">
        <v>164</v>
      </c>
      <c r="W43" s="351">
        <f>9/3</f>
        <v>3</v>
      </c>
      <c r="X43" s="350" t="s">
        <v>164</v>
      </c>
      <c r="Y43" s="351">
        <f>9/4</f>
        <v>2.25</v>
      </c>
      <c r="Z43" s="352" t="s">
        <v>165</v>
      </c>
      <c r="AA43" s="353">
        <f>15/3</f>
        <v>5</v>
      </c>
    </row>
    <row r="44" spans="1:27">
      <c r="A44" s="58">
        <v>15</v>
      </c>
      <c r="B44" s="58" t="s">
        <v>592</v>
      </c>
      <c r="C44" s="30">
        <f t="shared" si="0"/>
        <v>186.66666666666671</v>
      </c>
      <c r="D44" s="343" t="s">
        <v>160</v>
      </c>
      <c r="E44" s="344">
        <f>8/4</f>
        <v>2</v>
      </c>
      <c r="F44" s="371" t="s">
        <v>161</v>
      </c>
      <c r="G44" s="346">
        <f>6/3</f>
        <v>2</v>
      </c>
      <c r="H44" s="369" t="s">
        <v>162</v>
      </c>
      <c r="I44" s="368">
        <f>3/4</f>
        <v>0.75</v>
      </c>
      <c r="J44" s="348" t="s">
        <v>162</v>
      </c>
      <c r="K44" s="349">
        <f>13/4</f>
        <v>3.25</v>
      </c>
      <c r="L44" s="371" t="s">
        <v>162</v>
      </c>
      <c r="M44" s="346">
        <f>13/3</f>
        <v>4.333333333333333</v>
      </c>
      <c r="N44" s="371" t="s">
        <v>161</v>
      </c>
      <c r="O44" s="346">
        <f>13/3</f>
        <v>4.333333333333333</v>
      </c>
      <c r="P44" s="343" t="str">
        <f>P45</f>
        <v>Jupiter</v>
      </c>
      <c r="Q44" s="347">
        <f>Q45</f>
        <v>0.75</v>
      </c>
      <c r="R44" s="343" t="str">
        <f>R45</f>
        <v>Moon</v>
      </c>
      <c r="S44" s="347">
        <f>S45</f>
        <v>2.25</v>
      </c>
      <c r="T44" s="348" t="s">
        <v>159</v>
      </c>
      <c r="U44" s="349">
        <f>9/3</f>
        <v>3</v>
      </c>
      <c r="V44" s="350" t="s">
        <v>165</v>
      </c>
      <c r="W44" s="351">
        <f>9/4</f>
        <v>2.25</v>
      </c>
      <c r="X44" s="350" t="s">
        <v>164</v>
      </c>
      <c r="Y44" s="351">
        <f>9/4</f>
        <v>2.25</v>
      </c>
      <c r="Z44" s="352" t="s">
        <v>165</v>
      </c>
      <c r="AA44" s="353">
        <f>AA43</f>
        <v>5</v>
      </c>
    </row>
    <row r="45" spans="1:27">
      <c r="A45" s="58">
        <v>16</v>
      </c>
      <c r="B45" s="58" t="s">
        <v>650</v>
      </c>
      <c r="C45" s="30">
        <f t="shared" si="0"/>
        <v>200.00000000000006</v>
      </c>
      <c r="D45" s="374" t="s">
        <v>160</v>
      </c>
      <c r="E45" s="373">
        <f>8/4</f>
        <v>2</v>
      </c>
      <c r="F45" s="371" t="str">
        <f>F44</f>
        <v>Mercury</v>
      </c>
      <c r="G45" s="346">
        <f>G44</f>
        <v>2</v>
      </c>
      <c r="H45" s="369" t="s">
        <v>162</v>
      </c>
      <c r="I45" s="368">
        <f>3/4</f>
        <v>0.75</v>
      </c>
      <c r="J45" s="348" t="s">
        <v>162</v>
      </c>
      <c r="K45" s="349">
        <f>13/4</f>
        <v>3.25</v>
      </c>
      <c r="L45" s="371" t="s">
        <v>162</v>
      </c>
      <c r="M45" s="346">
        <f>13/3</f>
        <v>4.333333333333333</v>
      </c>
      <c r="N45" s="371" t="str">
        <f>N44</f>
        <v>Mercury</v>
      </c>
      <c r="O45" s="346">
        <f>O44</f>
        <v>4.333333333333333</v>
      </c>
      <c r="P45" s="374" t="s">
        <v>162</v>
      </c>
      <c r="Q45" s="375">
        <f>3/4</f>
        <v>0.75</v>
      </c>
      <c r="R45" s="374" t="s">
        <v>159</v>
      </c>
      <c r="S45" s="375">
        <f>9/4</f>
        <v>2.25</v>
      </c>
      <c r="T45" s="339" t="str">
        <f>T46</f>
        <v>Sun</v>
      </c>
      <c r="U45" s="349">
        <f>9/4</f>
        <v>2.25</v>
      </c>
      <c r="V45" s="350" t="s">
        <v>165</v>
      </c>
      <c r="W45" s="351">
        <f>9/4</f>
        <v>2.25</v>
      </c>
      <c r="X45" s="350" t="s">
        <v>165</v>
      </c>
      <c r="Y45" s="351">
        <f>9/3</f>
        <v>3</v>
      </c>
      <c r="Z45" s="352" t="s">
        <v>165</v>
      </c>
      <c r="AA45" s="353">
        <f>AA44</f>
        <v>5</v>
      </c>
    </row>
    <row r="46" spans="1:27">
      <c r="A46" s="58">
        <v>17</v>
      </c>
      <c r="B46" s="58" t="s">
        <v>581</v>
      </c>
      <c r="C46" s="30">
        <f t="shared" si="0"/>
        <v>213.3333333333334</v>
      </c>
      <c r="D46" s="354" t="s">
        <v>161</v>
      </c>
      <c r="E46" s="355">
        <f>17/3</f>
        <v>5.666666666666667</v>
      </c>
      <c r="F46" s="371" t="str">
        <f>F45</f>
        <v>Mercury</v>
      </c>
      <c r="G46" s="346">
        <f>G45</f>
        <v>2</v>
      </c>
      <c r="H46" s="354" t="s">
        <v>160</v>
      </c>
      <c r="I46" s="356">
        <f>4/3</f>
        <v>1.3333333333333333</v>
      </c>
      <c r="J46" s="348" t="s">
        <v>162</v>
      </c>
      <c r="K46" s="349">
        <f>13/4</f>
        <v>3.25</v>
      </c>
      <c r="L46" s="371" t="s">
        <v>162</v>
      </c>
      <c r="M46" s="346">
        <f>13/3</f>
        <v>4.333333333333333</v>
      </c>
      <c r="N46" s="371" t="str">
        <f>N45</f>
        <v>Mercury</v>
      </c>
      <c r="O46" s="346">
        <f>O45</f>
        <v>4.333333333333333</v>
      </c>
      <c r="P46" s="354" t="str">
        <f>P47</f>
        <v>Sun</v>
      </c>
      <c r="Q46" s="356">
        <f>2/3</f>
        <v>0.66666666666666663</v>
      </c>
      <c r="R46" s="376" t="str">
        <f>R47</f>
        <v>Sun</v>
      </c>
      <c r="S46" s="356">
        <f>S47</f>
        <v>3</v>
      </c>
      <c r="T46" s="339" t="str">
        <f>T47</f>
        <v>Sun</v>
      </c>
      <c r="U46" s="349">
        <f>U47</f>
        <v>2.25</v>
      </c>
      <c r="V46" s="350" t="s">
        <v>165</v>
      </c>
      <c r="W46" s="351">
        <f>9/4</f>
        <v>2.25</v>
      </c>
      <c r="X46" s="350" t="s">
        <v>165</v>
      </c>
      <c r="Y46" s="351">
        <f>9/3</f>
        <v>3</v>
      </c>
      <c r="Z46" s="371" t="s">
        <v>160</v>
      </c>
      <c r="AA46" s="357">
        <f>17/4</f>
        <v>4.25</v>
      </c>
    </row>
    <row r="47" spans="1:27">
      <c r="A47" s="58">
        <v>18</v>
      </c>
      <c r="B47" s="58" t="s">
        <v>651</v>
      </c>
      <c r="C47" s="30">
        <f t="shared" si="0"/>
        <v>226.66666666666674</v>
      </c>
      <c r="D47" s="358" t="s">
        <v>161</v>
      </c>
      <c r="E47" s="359">
        <f>17/3</f>
        <v>5.666666666666667</v>
      </c>
      <c r="F47" s="352" t="s">
        <v>163</v>
      </c>
      <c r="G47" s="360">
        <f>6/4</f>
        <v>1.5</v>
      </c>
      <c r="H47" s="354" t="s">
        <v>160</v>
      </c>
      <c r="I47" s="356">
        <f>4/3</f>
        <v>1.3333333333333333</v>
      </c>
      <c r="J47" s="348" t="s">
        <v>162</v>
      </c>
      <c r="K47" s="349">
        <f>13/4</f>
        <v>3.25</v>
      </c>
      <c r="L47" s="352" t="s">
        <v>164</v>
      </c>
      <c r="M47" s="360">
        <f>14/4</f>
        <v>3.5</v>
      </c>
      <c r="N47" s="352" t="s">
        <v>166</v>
      </c>
      <c r="O47" s="360">
        <f>11/4</f>
        <v>2.75</v>
      </c>
      <c r="P47" s="358" t="str">
        <f>P48</f>
        <v>Sun</v>
      </c>
      <c r="Q47" s="362">
        <f>Q46</f>
        <v>0.66666666666666663</v>
      </c>
      <c r="R47" s="377" t="str">
        <f>R48</f>
        <v>Sun</v>
      </c>
      <c r="S47" s="362">
        <f>S48</f>
        <v>3</v>
      </c>
      <c r="T47" s="339" t="str">
        <f>T48</f>
        <v>Sun</v>
      </c>
      <c r="U47" s="349">
        <f>U48</f>
        <v>2.25</v>
      </c>
      <c r="V47" s="350" t="s">
        <v>165</v>
      </c>
      <c r="W47" s="351">
        <f>9/4</f>
        <v>2.25</v>
      </c>
      <c r="X47" s="350" t="s">
        <v>165</v>
      </c>
      <c r="Y47" s="351">
        <f>9/3</f>
        <v>3</v>
      </c>
      <c r="Z47" s="371" t="s">
        <v>160</v>
      </c>
      <c r="AA47" s="357">
        <f>AA46</f>
        <v>4.25</v>
      </c>
    </row>
    <row r="48" spans="1:27">
      <c r="A48" s="58">
        <v>19</v>
      </c>
      <c r="B48" s="32" t="s">
        <v>652</v>
      </c>
      <c r="C48" s="30">
        <f t="shared" si="0"/>
        <v>240.00000000000009</v>
      </c>
      <c r="D48" s="363" t="s">
        <v>161</v>
      </c>
      <c r="E48" s="364">
        <f>17/3</f>
        <v>5.666666666666667</v>
      </c>
      <c r="F48" s="352" t="str">
        <f t="shared" ref="F48:G50" si="10">F47</f>
        <v>Venus</v>
      </c>
      <c r="G48" s="360">
        <f t="shared" si="10"/>
        <v>1.5</v>
      </c>
      <c r="H48" s="354" t="s">
        <v>160</v>
      </c>
      <c r="I48" s="356">
        <f>4/3</f>
        <v>1.3333333333333333</v>
      </c>
      <c r="J48" s="348" t="s">
        <v>164</v>
      </c>
      <c r="K48" s="349">
        <f>14/3</f>
        <v>4.666666666666667</v>
      </c>
      <c r="L48" s="352" t="s">
        <v>164</v>
      </c>
      <c r="M48" s="360">
        <f>14/4</f>
        <v>3.5</v>
      </c>
      <c r="N48" s="352" t="str">
        <f t="shared" ref="N48:O50" si="11">N47</f>
        <v>Ketu</v>
      </c>
      <c r="O48" s="360">
        <f t="shared" si="11"/>
        <v>2.75</v>
      </c>
      <c r="P48" s="363" t="s">
        <v>158</v>
      </c>
      <c r="Q48" s="365">
        <f>Q47</f>
        <v>0.66666666666666663</v>
      </c>
      <c r="R48" s="378" t="s">
        <v>158</v>
      </c>
      <c r="S48" s="365">
        <f>9/3</f>
        <v>3</v>
      </c>
      <c r="T48" s="339" t="s">
        <v>158</v>
      </c>
      <c r="U48" s="349">
        <f>9/4</f>
        <v>2.25</v>
      </c>
      <c r="V48" s="341" t="s">
        <v>158</v>
      </c>
      <c r="W48" s="351">
        <f>9/3</f>
        <v>3</v>
      </c>
      <c r="X48" s="341" t="s">
        <v>158</v>
      </c>
      <c r="Y48" s="351">
        <f>9/4</f>
        <v>2.25</v>
      </c>
      <c r="Z48" s="371" t="s">
        <v>160</v>
      </c>
      <c r="AA48" s="357">
        <f>AA47</f>
        <v>4.25</v>
      </c>
    </row>
    <row r="49" spans="1:27">
      <c r="A49" s="58">
        <v>20</v>
      </c>
      <c r="B49" s="32" t="s">
        <v>653</v>
      </c>
      <c r="C49" s="30">
        <f t="shared" si="0"/>
        <v>253.33333333333343</v>
      </c>
      <c r="D49" s="369" t="s">
        <v>164</v>
      </c>
      <c r="E49" s="367">
        <f>10/4</f>
        <v>2.5</v>
      </c>
      <c r="F49" s="352" t="str">
        <f t="shared" si="10"/>
        <v>Venus</v>
      </c>
      <c r="G49" s="360">
        <f t="shared" si="10"/>
        <v>1.5</v>
      </c>
      <c r="H49" s="369" t="s">
        <v>161</v>
      </c>
      <c r="I49" s="368">
        <f>4/4</f>
        <v>1</v>
      </c>
      <c r="J49" s="348" t="s">
        <v>164</v>
      </c>
      <c r="K49" s="349">
        <f>14/3</f>
        <v>4.666666666666667</v>
      </c>
      <c r="L49" s="352" t="s">
        <v>164</v>
      </c>
      <c r="M49" s="360">
        <f>14/4</f>
        <v>3.5</v>
      </c>
      <c r="N49" s="352" t="str">
        <f t="shared" si="11"/>
        <v>Ketu</v>
      </c>
      <c r="O49" s="360">
        <f t="shared" si="11"/>
        <v>2.75</v>
      </c>
      <c r="P49" s="369" t="s">
        <v>159</v>
      </c>
      <c r="Q49" s="368">
        <f>1/4</f>
        <v>0.25</v>
      </c>
      <c r="R49" s="369" t="str">
        <f t="shared" ref="R49:S51" si="12">R50</f>
        <v>Rahu</v>
      </c>
      <c r="S49" s="368">
        <f t="shared" si="12"/>
        <v>2.25</v>
      </c>
      <c r="T49" s="348" t="s">
        <v>165</v>
      </c>
      <c r="U49" s="349">
        <f>9/3</f>
        <v>3</v>
      </c>
      <c r="V49" s="341" t="s">
        <v>158</v>
      </c>
      <c r="W49" s="351">
        <f>9/3</f>
        <v>3</v>
      </c>
      <c r="X49" s="341" t="s">
        <v>158</v>
      </c>
      <c r="Y49" s="351">
        <f>9/4</f>
        <v>2.25</v>
      </c>
      <c r="Z49" s="371" t="s">
        <v>160</v>
      </c>
      <c r="AA49" s="357">
        <f>AA48</f>
        <v>4.25</v>
      </c>
    </row>
    <row r="50" spans="1:27">
      <c r="A50" s="58">
        <v>21</v>
      </c>
      <c r="B50" s="58" t="s">
        <v>654</v>
      </c>
      <c r="C50" s="30">
        <f t="shared" si="0"/>
        <v>266.66666666666674</v>
      </c>
      <c r="D50" s="343" t="s">
        <v>164</v>
      </c>
      <c r="E50" s="344">
        <f>E49</f>
        <v>2.5</v>
      </c>
      <c r="F50" s="352" t="str">
        <f t="shared" si="10"/>
        <v>Venus</v>
      </c>
      <c r="G50" s="360">
        <f t="shared" si="10"/>
        <v>1.5</v>
      </c>
      <c r="H50" s="343" t="str">
        <f>H49</f>
        <v>Mercury</v>
      </c>
      <c r="I50" s="347">
        <f>I49</f>
        <v>1</v>
      </c>
      <c r="J50" s="348" t="s">
        <v>164</v>
      </c>
      <c r="K50" s="349">
        <f>14/3</f>
        <v>4.666666666666667</v>
      </c>
      <c r="L50" s="352" t="s">
        <v>164</v>
      </c>
      <c r="M50" s="360">
        <f>14/4</f>
        <v>3.5</v>
      </c>
      <c r="N50" s="352" t="str">
        <f t="shared" si="11"/>
        <v>Ketu</v>
      </c>
      <c r="O50" s="360">
        <f t="shared" si="11"/>
        <v>2.75</v>
      </c>
      <c r="P50" s="343" t="str">
        <f>P49</f>
        <v>Moon</v>
      </c>
      <c r="Q50" s="379">
        <f>Q49</f>
        <v>0.25</v>
      </c>
      <c r="R50" s="343" t="str">
        <f t="shared" si="12"/>
        <v>Rahu</v>
      </c>
      <c r="S50" s="347">
        <f t="shared" si="12"/>
        <v>2.25</v>
      </c>
      <c r="T50" s="348" t="str">
        <f>T49</f>
        <v>Rahu</v>
      </c>
      <c r="U50" s="349">
        <f>U49</f>
        <v>3</v>
      </c>
      <c r="V50" s="341" t="s">
        <v>158</v>
      </c>
      <c r="W50" s="351">
        <f>9/3</f>
        <v>3</v>
      </c>
      <c r="X50" s="341" t="s">
        <v>158</v>
      </c>
      <c r="Y50" s="351">
        <f>9/4</f>
        <v>2.25</v>
      </c>
      <c r="Z50" s="352" t="s">
        <v>164</v>
      </c>
      <c r="AA50" s="353">
        <f>19/3</f>
        <v>6.333333333333333</v>
      </c>
    </row>
    <row r="51" spans="1:27">
      <c r="A51" s="380">
        <v>22</v>
      </c>
      <c r="B51" s="381" t="s">
        <v>655</v>
      </c>
      <c r="C51" s="382">
        <f>C50+10</f>
        <v>276.66666666666674</v>
      </c>
      <c r="D51" s="369" t="s">
        <v>164</v>
      </c>
      <c r="E51" s="367">
        <f>E50*15/19</f>
        <v>1.9736842105263157</v>
      </c>
      <c r="F51" s="371" t="str">
        <f>F52</f>
        <v>Saturn</v>
      </c>
      <c r="G51" s="383">
        <f>G52</f>
        <v>2</v>
      </c>
      <c r="H51" s="343" t="str">
        <f>H50</f>
        <v>Mercury</v>
      </c>
      <c r="I51" s="347">
        <f>I50</f>
        <v>1</v>
      </c>
      <c r="J51" s="380" t="s">
        <v>166</v>
      </c>
      <c r="K51" s="384">
        <f>K52*15/19</f>
        <v>2.9605263157894739</v>
      </c>
      <c r="L51" s="385" t="s">
        <v>166</v>
      </c>
      <c r="M51" s="386">
        <f>M52*15/19</f>
        <v>3.9473684210526314</v>
      </c>
      <c r="N51" s="371" t="str">
        <f>N52</f>
        <v>Jupiter</v>
      </c>
      <c r="O51" s="346">
        <f>O52</f>
        <v>3</v>
      </c>
      <c r="P51" s="343" t="str">
        <f>P50</f>
        <v>Moon</v>
      </c>
      <c r="Q51" s="379">
        <f>Q50</f>
        <v>0.25</v>
      </c>
      <c r="R51" s="343" t="str">
        <f t="shared" si="12"/>
        <v>Rahu</v>
      </c>
      <c r="S51" s="368">
        <f t="shared" si="12"/>
        <v>2.25</v>
      </c>
      <c r="T51" s="380" t="str">
        <f>T50</f>
        <v>Rahu</v>
      </c>
      <c r="U51" s="384">
        <f>U50</f>
        <v>3</v>
      </c>
      <c r="V51" s="387" t="s">
        <v>159</v>
      </c>
      <c r="W51" s="388">
        <f>W52</f>
        <v>2.25</v>
      </c>
      <c r="X51" s="389" t="s">
        <v>158</v>
      </c>
      <c r="Y51" s="388">
        <f>Y50</f>
        <v>2.25</v>
      </c>
      <c r="Z51" s="352" t="s">
        <v>164</v>
      </c>
      <c r="AA51" s="353">
        <f>AA50</f>
        <v>6.333333333333333</v>
      </c>
    </row>
    <row r="52" spans="1:27">
      <c r="A52" s="58">
        <v>24</v>
      </c>
      <c r="B52" s="58" t="s">
        <v>656</v>
      </c>
      <c r="C52" s="30">
        <f>(C51+(13+1/3)/4)+(13+1/3)/15</f>
        <v>280.88888888888897</v>
      </c>
      <c r="D52" s="374" t="s">
        <v>164</v>
      </c>
      <c r="E52" s="373">
        <f>E50</f>
        <v>2.5</v>
      </c>
      <c r="F52" s="371" t="str">
        <f>F53</f>
        <v>Saturn</v>
      </c>
      <c r="G52" s="383">
        <f>G53</f>
        <v>2</v>
      </c>
      <c r="H52" s="343" t="str">
        <f>H51</f>
        <v>Mercury</v>
      </c>
      <c r="I52" s="375">
        <f>I50</f>
        <v>1</v>
      </c>
      <c r="J52" s="348" t="s">
        <v>166</v>
      </c>
      <c r="K52" s="349">
        <f>15/4</f>
        <v>3.75</v>
      </c>
      <c r="L52" s="371" t="s">
        <v>166</v>
      </c>
      <c r="M52" s="346">
        <f>15/3</f>
        <v>5</v>
      </c>
      <c r="N52" s="371" t="str">
        <f>N53</f>
        <v>Jupiter</v>
      </c>
      <c r="O52" s="346">
        <f>O53</f>
        <v>3</v>
      </c>
      <c r="P52" s="369" t="str">
        <f>P51</f>
        <v>Moon</v>
      </c>
      <c r="Q52" s="390">
        <f>Q50</f>
        <v>0.25</v>
      </c>
      <c r="R52" s="374" t="s">
        <v>165</v>
      </c>
      <c r="S52" s="375">
        <f>9/4</f>
        <v>2.25</v>
      </c>
      <c r="T52" s="348" t="str">
        <f t="shared" ref="T52:U54" si="13">T53</f>
        <v>Saturn</v>
      </c>
      <c r="U52" s="349">
        <f t="shared" si="13"/>
        <v>2.25</v>
      </c>
      <c r="V52" s="350" t="s">
        <v>159</v>
      </c>
      <c r="W52" s="351">
        <f>9/4</f>
        <v>2.25</v>
      </c>
      <c r="X52" s="350" t="s">
        <v>159</v>
      </c>
      <c r="Y52" s="351">
        <f>9/3</f>
        <v>3</v>
      </c>
      <c r="Z52" s="352" t="s">
        <v>164</v>
      </c>
      <c r="AA52" s="353">
        <f>AA51</f>
        <v>6.333333333333333</v>
      </c>
    </row>
    <row r="53" spans="1:27">
      <c r="A53" s="58">
        <v>25</v>
      </c>
      <c r="B53" s="58" t="s">
        <v>657</v>
      </c>
      <c r="C53" s="30">
        <f>C50+13+1/3+13+1/3</f>
        <v>293.33333333333337</v>
      </c>
      <c r="D53" s="354" t="s">
        <v>162</v>
      </c>
      <c r="E53" s="355">
        <f>19/3</f>
        <v>6.333333333333333</v>
      </c>
      <c r="F53" s="371" t="s">
        <v>164</v>
      </c>
      <c r="G53" s="346">
        <f>6/3</f>
        <v>2</v>
      </c>
      <c r="H53" s="354" t="s">
        <v>164</v>
      </c>
      <c r="I53" s="356">
        <f>6/3</f>
        <v>2</v>
      </c>
      <c r="J53" s="348" t="s">
        <v>166</v>
      </c>
      <c r="K53" s="349">
        <f>15/4</f>
        <v>3.75</v>
      </c>
      <c r="L53" s="371" t="s">
        <v>166</v>
      </c>
      <c r="M53" s="346">
        <f>15/3</f>
        <v>5</v>
      </c>
      <c r="N53" s="371" t="s">
        <v>162</v>
      </c>
      <c r="O53" s="346">
        <f>9/3</f>
        <v>3</v>
      </c>
      <c r="P53" s="354" t="str">
        <f t="shared" ref="P53:S54" si="14">P54</f>
        <v>Rahu</v>
      </c>
      <c r="Q53" s="356">
        <f t="shared" si="14"/>
        <v>2.6666666666666665</v>
      </c>
      <c r="R53" s="354" t="str">
        <f t="shared" si="14"/>
        <v>Saturn</v>
      </c>
      <c r="S53" s="356">
        <f t="shared" si="14"/>
        <v>3</v>
      </c>
      <c r="T53" s="348" t="str">
        <f t="shared" si="13"/>
        <v>Saturn</v>
      </c>
      <c r="U53" s="349">
        <f t="shared" si="13"/>
        <v>2.25</v>
      </c>
      <c r="V53" s="350" t="s">
        <v>159</v>
      </c>
      <c r="W53" s="351">
        <f>9/4</f>
        <v>2.25</v>
      </c>
      <c r="X53" s="350" t="s">
        <v>159</v>
      </c>
      <c r="Y53" s="351">
        <f>9/3</f>
        <v>3</v>
      </c>
      <c r="Z53" s="371" t="s">
        <v>159</v>
      </c>
      <c r="AA53" s="357">
        <f>21/4</f>
        <v>5.25</v>
      </c>
    </row>
    <row r="54" spans="1:27">
      <c r="A54" s="58">
        <v>26</v>
      </c>
      <c r="B54" s="58" t="s">
        <v>658</v>
      </c>
      <c r="C54" s="30">
        <f>C53+13+1/3</f>
        <v>306.66666666666669</v>
      </c>
      <c r="D54" s="358" t="s">
        <v>162</v>
      </c>
      <c r="E54" s="359">
        <f>19/3</f>
        <v>6.333333333333333</v>
      </c>
      <c r="F54" s="391" t="s">
        <v>165</v>
      </c>
      <c r="G54" s="360">
        <f>6/4</f>
        <v>1.5</v>
      </c>
      <c r="H54" s="358" t="str">
        <f>H53</f>
        <v>Saturn</v>
      </c>
      <c r="I54" s="362">
        <f>I53</f>
        <v>2</v>
      </c>
      <c r="J54" s="348" t="s">
        <v>166</v>
      </c>
      <c r="K54" s="349">
        <f>15/4</f>
        <v>3.75</v>
      </c>
      <c r="L54" s="391" t="s">
        <v>159</v>
      </c>
      <c r="M54" s="360">
        <f>16/4</f>
        <v>4</v>
      </c>
      <c r="N54" s="391" t="s">
        <v>158</v>
      </c>
      <c r="O54" s="360">
        <f>7/4</f>
        <v>1.75</v>
      </c>
      <c r="P54" s="358" t="str">
        <f t="shared" si="14"/>
        <v>Rahu</v>
      </c>
      <c r="Q54" s="362">
        <f t="shared" si="14"/>
        <v>2.6666666666666665</v>
      </c>
      <c r="R54" s="358" t="str">
        <f t="shared" si="14"/>
        <v>Saturn</v>
      </c>
      <c r="S54" s="362">
        <f t="shared" si="14"/>
        <v>3</v>
      </c>
      <c r="T54" s="348" t="str">
        <f t="shared" si="13"/>
        <v>Saturn</v>
      </c>
      <c r="U54" s="349">
        <f t="shared" si="13"/>
        <v>2.25</v>
      </c>
      <c r="V54" s="350" t="s">
        <v>159</v>
      </c>
      <c r="W54" s="351">
        <f>9/4</f>
        <v>2.25</v>
      </c>
      <c r="X54" s="350" t="s">
        <v>159</v>
      </c>
      <c r="Y54" s="351">
        <f>9/3</f>
        <v>3</v>
      </c>
      <c r="Z54" s="371" t="s">
        <v>159</v>
      </c>
      <c r="AA54" s="357">
        <f>AA53</f>
        <v>5.25</v>
      </c>
    </row>
    <row r="55" spans="1:27">
      <c r="A55" s="58">
        <v>27</v>
      </c>
      <c r="B55" s="58" t="s">
        <v>659</v>
      </c>
      <c r="C55" s="30">
        <f>C54+13+1/3</f>
        <v>320</v>
      </c>
      <c r="D55" s="363" t="s">
        <v>162</v>
      </c>
      <c r="E55" s="364">
        <f>19/3</f>
        <v>6.333333333333333</v>
      </c>
      <c r="F55" s="352" t="str">
        <f t="shared" ref="F55:G57" si="15">F54</f>
        <v>Rahu</v>
      </c>
      <c r="G55" s="360">
        <f t="shared" si="15"/>
        <v>1.5</v>
      </c>
      <c r="H55" s="358" t="str">
        <f>H54</f>
        <v>Saturn</v>
      </c>
      <c r="I55" s="365">
        <f>I54</f>
        <v>2</v>
      </c>
      <c r="J55" s="348" t="s">
        <v>159</v>
      </c>
      <c r="K55" s="349">
        <f>16/3</f>
        <v>5.333333333333333</v>
      </c>
      <c r="L55" s="352" t="s">
        <v>159</v>
      </c>
      <c r="M55" s="360">
        <f>16/4</f>
        <v>4</v>
      </c>
      <c r="N55" s="352" t="str">
        <f t="shared" ref="N55:O57" si="16">N54</f>
        <v>Sun</v>
      </c>
      <c r="O55" s="360">
        <f t="shared" si="16"/>
        <v>1.75</v>
      </c>
      <c r="P55" s="363" t="s">
        <v>165</v>
      </c>
      <c r="Q55" s="365">
        <f>8/3</f>
        <v>2.6666666666666665</v>
      </c>
      <c r="R55" s="363" t="s">
        <v>164</v>
      </c>
      <c r="S55" s="365">
        <v>3</v>
      </c>
      <c r="T55" s="348" t="s">
        <v>164</v>
      </c>
      <c r="U55" s="349">
        <f>9/4</f>
        <v>2.25</v>
      </c>
      <c r="V55" s="350" t="s">
        <v>160</v>
      </c>
      <c r="W55" s="351">
        <v>3</v>
      </c>
      <c r="X55" s="350" t="s">
        <v>160</v>
      </c>
      <c r="Y55" s="351">
        <f>9/4</f>
        <v>2.25</v>
      </c>
      <c r="Z55" s="371" t="s">
        <v>159</v>
      </c>
      <c r="AA55" s="357">
        <f>AA54</f>
        <v>5.25</v>
      </c>
    </row>
    <row r="56" spans="1:27">
      <c r="A56" s="58">
        <v>28</v>
      </c>
      <c r="B56" s="32" t="s">
        <v>660</v>
      </c>
      <c r="C56" s="30">
        <f>C55+13+1/3</f>
        <v>333.33333333333331</v>
      </c>
      <c r="D56" s="343" t="s">
        <v>165</v>
      </c>
      <c r="E56" s="344">
        <f>12/4</f>
        <v>3</v>
      </c>
      <c r="F56" s="352" t="str">
        <f t="shared" si="15"/>
        <v>Rahu</v>
      </c>
      <c r="G56" s="360">
        <f t="shared" si="15"/>
        <v>1.5</v>
      </c>
      <c r="H56" s="343" t="s">
        <v>163</v>
      </c>
      <c r="I56" s="347">
        <f>7/4</f>
        <v>1.75</v>
      </c>
      <c r="J56" s="348" t="s">
        <v>159</v>
      </c>
      <c r="K56" s="349">
        <f>16/3</f>
        <v>5.333333333333333</v>
      </c>
      <c r="L56" s="352" t="s">
        <v>159</v>
      </c>
      <c r="M56" s="360">
        <f>16/4</f>
        <v>4</v>
      </c>
      <c r="N56" s="352" t="str">
        <f t="shared" si="16"/>
        <v>Sun</v>
      </c>
      <c r="O56" s="360">
        <f t="shared" si="16"/>
        <v>1.75</v>
      </c>
      <c r="P56" s="343" t="str">
        <f t="shared" ref="P56:U56" si="17">P57</f>
        <v>Venus</v>
      </c>
      <c r="Q56" s="347">
        <f t="shared" si="17"/>
        <v>1.75</v>
      </c>
      <c r="R56" s="343" t="str">
        <f t="shared" si="17"/>
        <v>Venus</v>
      </c>
      <c r="S56" s="347">
        <f t="shared" si="17"/>
        <v>2.25</v>
      </c>
      <c r="T56" s="348" t="str">
        <f t="shared" si="17"/>
        <v>Venus</v>
      </c>
      <c r="U56" s="349">
        <f t="shared" si="17"/>
        <v>3</v>
      </c>
      <c r="V56" s="350" t="s">
        <v>160</v>
      </c>
      <c r="W56" s="351">
        <v>3</v>
      </c>
      <c r="X56" s="350" t="s">
        <v>160</v>
      </c>
      <c r="Y56" s="351">
        <f>9/4</f>
        <v>2.25</v>
      </c>
      <c r="Z56" s="371" t="s">
        <v>159</v>
      </c>
      <c r="AA56" s="357">
        <f>AA55</f>
        <v>5.25</v>
      </c>
    </row>
    <row r="57" spans="1:27">
      <c r="A57" s="58">
        <v>29</v>
      </c>
      <c r="B57" s="58" t="s">
        <v>574</v>
      </c>
      <c r="C57" s="30">
        <f>C56+13+1/3</f>
        <v>346.66666666666663</v>
      </c>
      <c r="D57" s="343" t="s">
        <v>165</v>
      </c>
      <c r="E57" s="344">
        <f>12/4</f>
        <v>3</v>
      </c>
      <c r="F57" s="352" t="str">
        <f t="shared" si="15"/>
        <v>Rahu</v>
      </c>
      <c r="G57" s="360">
        <f t="shared" si="15"/>
        <v>1.5</v>
      </c>
      <c r="H57" s="343" t="str">
        <f>H56</f>
        <v>Venus</v>
      </c>
      <c r="I57" s="347">
        <f>I56</f>
        <v>1.75</v>
      </c>
      <c r="J57" s="348" t="s">
        <v>159</v>
      </c>
      <c r="K57" s="349">
        <f>16/3</f>
        <v>5.333333333333333</v>
      </c>
      <c r="L57" s="352" t="s">
        <v>159</v>
      </c>
      <c r="M57" s="360">
        <f>16/4</f>
        <v>4</v>
      </c>
      <c r="N57" s="352" t="str">
        <f t="shared" si="16"/>
        <v>Sun</v>
      </c>
      <c r="O57" s="360">
        <f t="shared" si="16"/>
        <v>1.75</v>
      </c>
      <c r="P57" s="343" t="str">
        <f>P31</f>
        <v>Venus</v>
      </c>
      <c r="Q57" s="347">
        <f>Q31</f>
        <v>1.75</v>
      </c>
      <c r="R57" s="343" t="str">
        <f>R30</f>
        <v>Venus</v>
      </c>
      <c r="S57" s="347">
        <f>S30</f>
        <v>2.25</v>
      </c>
      <c r="T57" s="348" t="str">
        <f>T30</f>
        <v>Venus</v>
      </c>
      <c r="U57" s="349">
        <f>U30</f>
        <v>3</v>
      </c>
      <c r="V57" s="350" t="s">
        <v>160</v>
      </c>
      <c r="W57" s="351">
        <v>3</v>
      </c>
      <c r="X57" s="350" t="s">
        <v>160</v>
      </c>
      <c r="Y57" s="351">
        <f>9/4</f>
        <v>2.25</v>
      </c>
      <c r="Z57" s="352" t="s">
        <v>158</v>
      </c>
      <c r="AA57" s="353">
        <f>7/3</f>
        <v>2.3333333333333335</v>
      </c>
    </row>
    <row r="58" spans="1:27">
      <c r="B58" s="32" t="s">
        <v>320</v>
      </c>
      <c r="C58" s="157">
        <f>C57+13+1/3</f>
        <v>359.99999999999994</v>
      </c>
      <c r="D58" s="392">
        <v>108</v>
      </c>
      <c r="E58" s="393">
        <f>SUM(E30:E57)</f>
        <v>107.4736842105263</v>
      </c>
      <c r="F58" s="392">
        <v>60</v>
      </c>
      <c r="G58" s="393">
        <f>SUM(G30:G57)</f>
        <v>60</v>
      </c>
      <c r="H58" s="392">
        <v>108</v>
      </c>
      <c r="I58" s="394">
        <f>SUM(I30:I57)</f>
        <v>33</v>
      </c>
      <c r="J58" s="392">
        <v>116</v>
      </c>
      <c r="K58" s="394">
        <f>SUM(K30:K57)</f>
        <v>115.21052631578948</v>
      </c>
      <c r="L58" s="392">
        <v>116</v>
      </c>
      <c r="M58" s="393">
        <f>SUM(M30:M57)</f>
        <v>114.94736842105262</v>
      </c>
      <c r="N58" s="392">
        <v>60</v>
      </c>
      <c r="O58" s="393">
        <f>SUM(O30:O57)</f>
        <v>111.99999999999999</v>
      </c>
      <c r="P58" s="395">
        <f>Q58</f>
        <v>36.000000000000007</v>
      </c>
      <c r="Q58" s="394">
        <f>SUM(Q30:Q57)</f>
        <v>36.000000000000007</v>
      </c>
      <c r="R58" s="392">
        <v>72</v>
      </c>
      <c r="S58" s="393">
        <f>SUM(S30:S57)</f>
        <v>72</v>
      </c>
      <c r="T58" s="392">
        <v>72</v>
      </c>
      <c r="U58" s="393">
        <f>SUM(U30:U57)</f>
        <v>72</v>
      </c>
      <c r="V58" s="396">
        <v>72</v>
      </c>
      <c r="W58" s="397">
        <f>SUM(W30:W57)</f>
        <v>72</v>
      </c>
      <c r="X58" s="396">
        <v>72</v>
      </c>
      <c r="Y58" s="397">
        <f>SUM(Y30:Y57)</f>
        <v>72</v>
      </c>
      <c r="Z58" s="392">
        <v>60</v>
      </c>
      <c r="AA58" s="394">
        <f>SUM(AA30:AA57)</f>
        <v>111.99999999999999</v>
      </c>
    </row>
    <row r="59" spans="1:27">
      <c r="A59" s="58">
        <f>DaysInYear</f>
        <v>365.25487268518202</v>
      </c>
      <c r="C59" s="157"/>
    </row>
    <row r="60" spans="1:27">
      <c r="A60" s="398"/>
      <c r="B60" s="399" t="s">
        <v>454</v>
      </c>
      <c r="C60" s="400">
        <v>28502</v>
      </c>
      <c r="D60" s="399" t="s">
        <v>661</v>
      </c>
      <c r="E60" s="399"/>
      <c r="F60" s="399"/>
      <c r="G60" s="401"/>
      <c r="I60" s="398"/>
      <c r="J60" s="399"/>
      <c r="K60" s="399"/>
      <c r="L60" s="399"/>
      <c r="M60" s="399"/>
      <c r="N60" s="399"/>
      <c r="O60" s="401"/>
      <c r="Q60" s="398"/>
      <c r="R60" s="399"/>
      <c r="S60" s="399"/>
      <c r="T60" s="399"/>
      <c r="U60" s="399"/>
      <c r="V60" s="399"/>
      <c r="W60" s="401"/>
    </row>
    <row r="61" spans="1:27">
      <c r="A61" s="402"/>
      <c r="B61" s="58" t="s">
        <v>662</v>
      </c>
      <c r="C61" s="403">
        <v>20</v>
      </c>
      <c r="D61" s="58" t="s">
        <v>663</v>
      </c>
      <c r="G61" s="404"/>
      <c r="I61" s="402"/>
      <c r="J61" s="337" t="s">
        <v>664</v>
      </c>
      <c r="L61" s="337" t="s">
        <v>447</v>
      </c>
      <c r="M61" s="337" t="s">
        <v>400</v>
      </c>
      <c r="N61" s="337" t="s">
        <v>454</v>
      </c>
      <c r="O61" s="404"/>
      <c r="Q61" s="402"/>
      <c r="R61" s="337" t="s">
        <v>665</v>
      </c>
      <c r="T61" s="337" t="s">
        <v>666</v>
      </c>
      <c r="U61" s="337" t="s">
        <v>400</v>
      </c>
      <c r="V61" s="337" t="s">
        <v>454</v>
      </c>
      <c r="W61" s="404"/>
    </row>
    <row r="62" spans="1:27">
      <c r="A62" s="402"/>
      <c r="B62" s="58" t="s">
        <v>667</v>
      </c>
      <c r="C62" s="403">
        <v>307.16000000000003</v>
      </c>
      <c r="D62" s="58" t="s">
        <v>668</v>
      </c>
      <c r="G62" s="404"/>
      <c r="I62" s="402"/>
      <c r="J62" s="58">
        <f>VLOOKUP("&gt;",MahaDasaTable,2,0)</f>
        <v>24</v>
      </c>
      <c r="K62" s="405">
        <f>VLOOKUP("&gt;",MahaDasaTable,3,0)</f>
        <v>1</v>
      </c>
      <c r="L62" s="406" t="str">
        <f>VLOOKUP("&gt;",MahaDasaTable,4,0)</f>
        <v>Moon</v>
      </c>
      <c r="M62" s="58">
        <f>VLOOKUP("&gt;",MahaDasaTable,5,0)*M63</f>
        <v>9</v>
      </c>
      <c r="N62" s="406">
        <f>VLOOKUP("&gt;",MahaDasaTable,6,0)</f>
        <v>53948.119901640399</v>
      </c>
      <c r="O62" s="407"/>
      <c r="Q62" s="402"/>
      <c r="R62" s="58">
        <f>VLOOKUP("&gt;",I66:O95,2,0)</f>
        <v>6</v>
      </c>
      <c r="S62" s="58">
        <f>VLOOKUP("&gt;",I66:O95,3,0)</f>
        <v>0.125</v>
      </c>
      <c r="T62" s="406" t="str">
        <f>VLOOKUP("&gt;",I66:O95,4,0)</f>
        <v>Jupiter</v>
      </c>
      <c r="U62" s="58">
        <f>VLOOKUP("&gt;",I66:O95,5,0)*U63</f>
        <v>1.125</v>
      </c>
      <c r="V62" s="406">
        <f>VLOOKUP("&gt;",I66:O95,6,0)</f>
        <v>55112.369808324438</v>
      </c>
      <c r="W62" s="407">
        <f>VLOOKUP("&gt;",I66:O95,7,0)</f>
        <v>55249.340385581381</v>
      </c>
    </row>
    <row r="63" spans="1:27" ht="30" customHeight="1">
      <c r="A63" s="402"/>
      <c r="B63" s="58" t="s">
        <v>669</v>
      </c>
      <c r="C63" s="1337" t="str">
        <f>INDEX(C28:AL28,1,C61)</f>
        <v>Dwisaptati-Moola3F</v>
      </c>
      <c r="D63" s="1337"/>
      <c r="E63" s="408">
        <f>INDEX(DasaSpans,29,$C$61+1)</f>
        <v>72</v>
      </c>
      <c r="F63" s="58" t="s">
        <v>306</v>
      </c>
      <c r="G63" s="409"/>
      <c r="I63" s="402"/>
      <c r="J63" s="337" t="s">
        <v>670</v>
      </c>
      <c r="K63" s="337" t="s">
        <v>385</v>
      </c>
      <c r="M63" s="403">
        <f>COUNTIF($D$66:$D$93,L62)</f>
        <v>4</v>
      </c>
      <c r="N63" s="410" t="s">
        <v>671</v>
      </c>
      <c r="O63" s="411"/>
      <c r="Q63" s="402"/>
      <c r="R63" s="337" t="s">
        <v>672</v>
      </c>
      <c r="S63" s="337" t="s">
        <v>385</v>
      </c>
      <c r="U63" s="403">
        <f>COUNTIF($D$66:$D$93,T62)</f>
        <v>3</v>
      </c>
      <c r="V63" s="410" t="s">
        <v>671</v>
      </c>
      <c r="W63" s="411"/>
    </row>
    <row r="64" spans="1:27">
      <c r="A64" s="402"/>
      <c r="B64" s="58" t="s">
        <v>673</v>
      </c>
      <c r="C64" s="412">
        <v>1</v>
      </c>
      <c r="D64" s="58" t="s">
        <v>674</v>
      </c>
      <c r="G64" s="404"/>
      <c r="I64" s="402"/>
      <c r="J64" s="403">
        <v>0</v>
      </c>
      <c r="K64" s="403">
        <v>1</v>
      </c>
      <c r="L64" s="58" t="s">
        <v>675</v>
      </c>
      <c r="O64" s="404"/>
      <c r="Q64" s="402"/>
      <c r="R64" s="403">
        <v>0</v>
      </c>
      <c r="S64" s="403">
        <v>1</v>
      </c>
      <c r="W64" s="404"/>
    </row>
    <row r="65" spans="1:23">
      <c r="A65" s="413"/>
      <c r="B65" s="414" t="s">
        <v>140</v>
      </c>
      <c r="C65" s="414" t="s">
        <v>676</v>
      </c>
      <c r="D65" s="414" t="s">
        <v>447</v>
      </c>
      <c r="E65" s="414" t="s">
        <v>548</v>
      </c>
      <c r="F65" s="414" t="s">
        <v>677</v>
      </c>
      <c r="G65" s="415" t="s">
        <v>678</v>
      </c>
      <c r="H65" s="416" t="s">
        <v>679</v>
      </c>
      <c r="I65" s="402"/>
      <c r="J65" s="58" t="s">
        <v>680</v>
      </c>
      <c r="K65" s="58" t="s">
        <v>681</v>
      </c>
      <c r="L65" s="58" t="s">
        <v>447</v>
      </c>
      <c r="M65" s="58" t="s">
        <v>548</v>
      </c>
      <c r="N65" s="58" t="s">
        <v>454</v>
      </c>
      <c r="O65" s="404" t="s">
        <v>455</v>
      </c>
      <c r="Q65" s="402"/>
      <c r="R65" s="58" t="s">
        <v>680</v>
      </c>
      <c r="W65" s="404"/>
    </row>
    <row r="66" spans="1:23">
      <c r="A66" s="413"/>
      <c r="B66" s="416">
        <f>MATCH(C62,NakshatraSpan,1)</f>
        <v>25</v>
      </c>
      <c r="C66" s="417">
        <f>(1-(C62-INDEX(NakshatraSpan,B66))/(INDEX(NakshatraSpan,B66+1)-INDEX(NakshatraSpan,B66)))*C64</f>
        <v>0.96299999999999952</v>
      </c>
      <c r="D66" s="416" t="str">
        <f t="shared" ref="D66:D97" si="18">INDEX(DasaSpans,B66,$C$61)</f>
        <v>Moon</v>
      </c>
      <c r="E66" s="417">
        <f t="shared" ref="E66:E97" si="19">INDEX(DasaSpans,B66,$C$61+1)*C66</f>
        <v>2.1667499999999991</v>
      </c>
      <c r="F66" s="418">
        <f>C60</f>
        <v>28502</v>
      </c>
      <c r="G66" s="419">
        <f>F66+E66*Year+G63</f>
        <v>29293.415995390616</v>
      </c>
      <c r="H66" s="417">
        <f>SUM($E$66:E66)</f>
        <v>2.1667499999999991</v>
      </c>
      <c r="I66" s="413"/>
      <c r="J66" s="58">
        <f>MOD(MOD(J62,28)+J64-1,28)+1</f>
        <v>24</v>
      </c>
      <c r="K66" s="408">
        <f>M62/INDEX(DasaSpans,29,$C$61)</f>
        <v>0.125</v>
      </c>
      <c r="L66" s="58" t="str">
        <f t="shared" ref="L66:L97" si="20">INDEX(DasaSpans,J66,$C$61)</f>
        <v>Moon</v>
      </c>
      <c r="M66" s="408">
        <f t="shared" ref="M66:M97" si="21">INDEX(DasaSpans,J66,$C$61+1)*K66</f>
        <v>0.28125</v>
      </c>
      <c r="N66" s="406">
        <f>N62</f>
        <v>53948.119901640399</v>
      </c>
      <c r="O66" s="407">
        <f t="shared" ref="O66:O97" si="22">N66+M66*Year</f>
        <v>54050.84783458311</v>
      </c>
      <c r="P66" s="58">
        <f t="shared" ref="P66:P97" si="23">COUNTIF(L63:L70,L66)</f>
        <v>2</v>
      </c>
      <c r="Q66" s="402"/>
      <c r="R66" s="58">
        <f>MOD(MOD(R62,28)+R64-1,28)+1</f>
        <v>6</v>
      </c>
      <c r="S66" s="408">
        <f>U62/INDEX(DasaSpans,29,$C$61)</f>
        <v>1.5625E-2</v>
      </c>
      <c r="T66" s="58" t="str">
        <f t="shared" ref="T66:T95" si="24">INDEX(DasaSpans,R66,$C$61)</f>
        <v>Jupiter</v>
      </c>
      <c r="U66" s="408">
        <f t="shared" ref="U66:U95" si="25">INDEX(DasaSpans,R66,$C$61+1)*S66</f>
        <v>4.6875E-2</v>
      </c>
      <c r="V66" s="406">
        <f>V62</f>
        <v>55112.369808324438</v>
      </c>
      <c r="W66" s="407">
        <f t="shared" ref="W66:W95" si="26">V66+U66*Year</f>
        <v>55129.491130481554</v>
      </c>
    </row>
    <row r="67" spans="1:23">
      <c r="A67" s="413"/>
      <c r="B67" s="416">
        <f t="shared" ref="B67:B98" si="27">MOD(B66,28)+1</f>
        <v>26</v>
      </c>
      <c r="C67" s="416">
        <f t="shared" ref="C67:C98" si="28">$C$64</f>
        <v>1</v>
      </c>
      <c r="D67" s="416" t="str">
        <f t="shared" si="18"/>
        <v>Mars</v>
      </c>
      <c r="E67" s="417">
        <f t="shared" si="19"/>
        <v>3</v>
      </c>
      <c r="F67" s="420">
        <f t="shared" ref="F67:F98" si="29">G66</f>
        <v>29293.415995390616</v>
      </c>
      <c r="G67" s="419">
        <f t="shared" ref="G67:G98" si="30">F67+E67*Year</f>
        <v>30389.180613446162</v>
      </c>
      <c r="H67" s="417">
        <f>SUM($E$66:E67)</f>
        <v>5.1667499999999986</v>
      </c>
      <c r="I67" s="413"/>
      <c r="J67" s="58">
        <f t="shared" ref="J67:J98" si="31">MOD(MOD(J66+28,28)+$K$64-1,28)+1</f>
        <v>25</v>
      </c>
      <c r="K67" s="408">
        <f t="shared" ref="K67:K98" si="32">K66</f>
        <v>0.125</v>
      </c>
      <c r="L67" s="58" t="str">
        <f t="shared" si="20"/>
        <v>Moon</v>
      </c>
      <c r="M67" s="408">
        <f t="shared" si="21"/>
        <v>0.28125</v>
      </c>
      <c r="N67" s="406">
        <f t="shared" ref="N67:N98" si="33">O66</f>
        <v>54050.84783458311</v>
      </c>
      <c r="O67" s="407">
        <f t="shared" si="22"/>
        <v>54153.575767525821</v>
      </c>
      <c r="P67" s="58">
        <f t="shared" si="23"/>
        <v>2</v>
      </c>
      <c r="Q67" s="402"/>
      <c r="R67" s="58">
        <f t="shared" ref="R67:R95" si="34">MOD(MOD(R66+28,28)+S$64-1,28)+1</f>
        <v>7</v>
      </c>
      <c r="S67" s="408">
        <f t="shared" ref="S67:S95" si="35">S66</f>
        <v>1.5625E-2</v>
      </c>
      <c r="T67" s="58" t="str">
        <f t="shared" si="24"/>
        <v>Jupiter</v>
      </c>
      <c r="U67" s="408">
        <f t="shared" si="25"/>
        <v>4.6875E-2</v>
      </c>
      <c r="V67" s="406">
        <f t="shared" ref="V67:V95" si="36">W66</f>
        <v>55129.491130481554</v>
      </c>
      <c r="W67" s="407">
        <f t="shared" si="26"/>
        <v>55146.61245263867</v>
      </c>
    </row>
    <row r="68" spans="1:23">
      <c r="A68" s="413"/>
      <c r="B68" s="416">
        <f t="shared" si="27"/>
        <v>27</v>
      </c>
      <c r="C68" s="416">
        <f t="shared" si="28"/>
        <v>1</v>
      </c>
      <c r="D68" s="416" t="str">
        <f t="shared" si="18"/>
        <v>Mars</v>
      </c>
      <c r="E68" s="417">
        <f t="shared" si="19"/>
        <v>3</v>
      </c>
      <c r="F68" s="420">
        <f t="shared" si="29"/>
        <v>30389.180613446162</v>
      </c>
      <c r="G68" s="419">
        <f t="shared" si="30"/>
        <v>31484.945231501708</v>
      </c>
      <c r="H68" s="417">
        <f>SUM($E$66:E68)</f>
        <v>8.1667499999999986</v>
      </c>
      <c r="I68" s="413"/>
      <c r="J68" s="58">
        <f t="shared" si="31"/>
        <v>26</v>
      </c>
      <c r="K68" s="408">
        <f t="shared" si="32"/>
        <v>0.125</v>
      </c>
      <c r="L68" s="58" t="str">
        <f t="shared" si="20"/>
        <v>Mars</v>
      </c>
      <c r="M68" s="408">
        <f t="shared" si="21"/>
        <v>0.375</v>
      </c>
      <c r="N68" s="406">
        <f t="shared" si="33"/>
        <v>54153.575767525821</v>
      </c>
      <c r="O68" s="407">
        <f t="shared" si="22"/>
        <v>54290.546344782764</v>
      </c>
      <c r="P68" s="58">
        <f t="shared" si="23"/>
        <v>3</v>
      </c>
      <c r="Q68" s="402"/>
      <c r="R68" s="58">
        <f t="shared" si="34"/>
        <v>8</v>
      </c>
      <c r="S68" s="408">
        <f t="shared" si="35"/>
        <v>1.5625E-2</v>
      </c>
      <c r="T68" s="58" t="str">
        <f t="shared" si="24"/>
        <v>Venus</v>
      </c>
      <c r="U68" s="408">
        <f t="shared" si="25"/>
        <v>3.515625E-2</v>
      </c>
      <c r="V68" s="406">
        <f t="shared" si="36"/>
        <v>55146.61245263867</v>
      </c>
      <c r="W68" s="407">
        <f t="shared" si="26"/>
        <v>55159.453444256505</v>
      </c>
    </row>
    <row r="69" spans="1:23">
      <c r="A69" s="413"/>
      <c r="B69" s="414">
        <f t="shared" si="27"/>
        <v>28</v>
      </c>
      <c r="C69" s="416">
        <f t="shared" si="28"/>
        <v>1</v>
      </c>
      <c r="D69" s="416" t="str">
        <f t="shared" si="18"/>
        <v>Mars</v>
      </c>
      <c r="E69" s="417">
        <f t="shared" si="19"/>
        <v>3</v>
      </c>
      <c r="F69" s="421">
        <f t="shared" si="29"/>
        <v>31484.945231501708</v>
      </c>
      <c r="G69" s="422">
        <f t="shared" si="30"/>
        <v>32580.709849557254</v>
      </c>
      <c r="H69" s="417">
        <f>SUM($E$66:E69)</f>
        <v>11.166749999999999</v>
      </c>
      <c r="I69" s="413"/>
      <c r="J69" s="58">
        <f t="shared" si="31"/>
        <v>27</v>
      </c>
      <c r="K69" s="408">
        <f t="shared" si="32"/>
        <v>0.125</v>
      </c>
      <c r="L69" s="58" t="str">
        <f t="shared" si="20"/>
        <v>Mars</v>
      </c>
      <c r="M69" s="408">
        <f t="shared" si="21"/>
        <v>0.375</v>
      </c>
      <c r="N69" s="406">
        <f t="shared" si="33"/>
        <v>54290.546344782764</v>
      </c>
      <c r="O69" s="407">
        <f t="shared" si="22"/>
        <v>54427.516922039707</v>
      </c>
      <c r="P69" s="58">
        <f t="shared" si="23"/>
        <v>3</v>
      </c>
      <c r="Q69" s="402"/>
      <c r="R69" s="58">
        <f t="shared" si="34"/>
        <v>9</v>
      </c>
      <c r="S69" s="408">
        <f t="shared" si="35"/>
        <v>1.5625E-2</v>
      </c>
      <c r="T69" s="58" t="str">
        <f t="shared" si="24"/>
        <v>Venus</v>
      </c>
      <c r="U69" s="408">
        <f t="shared" si="25"/>
        <v>3.515625E-2</v>
      </c>
      <c r="V69" s="406">
        <f t="shared" si="36"/>
        <v>55159.453444256505</v>
      </c>
      <c r="W69" s="407">
        <f t="shared" si="26"/>
        <v>55172.294435874341</v>
      </c>
    </row>
    <row r="70" spans="1:23">
      <c r="A70" s="413"/>
      <c r="B70" s="416">
        <f t="shared" si="27"/>
        <v>1</v>
      </c>
      <c r="C70" s="416">
        <f t="shared" si="28"/>
        <v>1</v>
      </c>
      <c r="D70" s="416" t="str">
        <f t="shared" si="18"/>
        <v>Mercury</v>
      </c>
      <c r="E70" s="417">
        <f t="shared" si="19"/>
        <v>2.25</v>
      </c>
      <c r="F70" s="420">
        <f t="shared" si="29"/>
        <v>32580.709849557254</v>
      </c>
      <c r="G70" s="419">
        <f t="shared" si="30"/>
        <v>33402.533313098917</v>
      </c>
      <c r="H70" s="417">
        <f>SUM($E$66:E70)</f>
        <v>13.416749999999999</v>
      </c>
      <c r="I70" s="413"/>
      <c r="J70" s="58">
        <f t="shared" si="31"/>
        <v>28</v>
      </c>
      <c r="K70" s="408">
        <f t="shared" si="32"/>
        <v>0.125</v>
      </c>
      <c r="L70" s="58" t="str">
        <f t="shared" si="20"/>
        <v>Mars</v>
      </c>
      <c r="M70" s="408">
        <f t="shared" si="21"/>
        <v>0.375</v>
      </c>
      <c r="N70" s="406">
        <f t="shared" si="33"/>
        <v>54427.516922039707</v>
      </c>
      <c r="O70" s="407">
        <f t="shared" si="22"/>
        <v>54564.487499296651</v>
      </c>
      <c r="P70" s="58">
        <f t="shared" si="23"/>
        <v>3</v>
      </c>
      <c r="Q70" s="402"/>
      <c r="R70" s="58">
        <f t="shared" si="34"/>
        <v>10</v>
      </c>
      <c r="S70" s="408">
        <f t="shared" si="35"/>
        <v>1.5625E-2</v>
      </c>
      <c r="T70" s="58" t="str">
        <f t="shared" si="24"/>
        <v>Venus</v>
      </c>
      <c r="U70" s="408">
        <f t="shared" si="25"/>
        <v>3.515625E-2</v>
      </c>
      <c r="V70" s="406">
        <f t="shared" si="36"/>
        <v>55172.294435874341</v>
      </c>
      <c r="W70" s="407">
        <f t="shared" si="26"/>
        <v>55185.135427492176</v>
      </c>
    </row>
    <row r="71" spans="1:23">
      <c r="A71" s="413"/>
      <c r="B71" s="416">
        <f t="shared" si="27"/>
        <v>2</v>
      </c>
      <c r="C71" s="416">
        <f t="shared" si="28"/>
        <v>1</v>
      </c>
      <c r="D71" s="416" t="str">
        <f t="shared" si="18"/>
        <v>Mercury</v>
      </c>
      <c r="E71" s="417">
        <f t="shared" si="19"/>
        <v>2.25</v>
      </c>
      <c r="F71" s="420">
        <f t="shared" si="29"/>
        <v>33402.533313098917</v>
      </c>
      <c r="G71" s="419">
        <f t="shared" si="30"/>
        <v>34224.356776640576</v>
      </c>
      <c r="H71" s="417">
        <f>SUM($E$66:E71)</f>
        <v>15.666749999999999</v>
      </c>
      <c r="I71" s="413"/>
      <c r="J71" s="58">
        <f t="shared" si="31"/>
        <v>1</v>
      </c>
      <c r="K71" s="408">
        <f t="shared" si="32"/>
        <v>0.125</v>
      </c>
      <c r="L71" s="58" t="str">
        <f t="shared" si="20"/>
        <v>Mercury</v>
      </c>
      <c r="M71" s="408">
        <f t="shared" si="21"/>
        <v>0.28125</v>
      </c>
      <c r="N71" s="406">
        <f t="shared" si="33"/>
        <v>54564.487499296651</v>
      </c>
      <c r="O71" s="407">
        <f t="shared" si="22"/>
        <v>54667.215432239362</v>
      </c>
      <c r="P71" s="58">
        <f t="shared" si="23"/>
        <v>4</v>
      </c>
      <c r="Q71" s="402"/>
      <c r="R71" s="58">
        <f t="shared" si="34"/>
        <v>11</v>
      </c>
      <c r="S71" s="408">
        <f t="shared" si="35"/>
        <v>1.5625E-2</v>
      </c>
      <c r="T71" s="58" t="str">
        <f t="shared" si="24"/>
        <v>Venus</v>
      </c>
      <c r="U71" s="408">
        <f t="shared" si="25"/>
        <v>3.515625E-2</v>
      </c>
      <c r="V71" s="406">
        <f t="shared" si="36"/>
        <v>55185.135427492176</v>
      </c>
      <c r="W71" s="407">
        <f t="shared" si="26"/>
        <v>55197.976419110011</v>
      </c>
    </row>
    <row r="72" spans="1:23">
      <c r="A72" s="413"/>
      <c r="B72" s="416">
        <f t="shared" si="27"/>
        <v>3</v>
      </c>
      <c r="C72" s="416">
        <f t="shared" si="28"/>
        <v>1</v>
      </c>
      <c r="D72" s="416" t="str">
        <f t="shared" si="18"/>
        <v>Mercury</v>
      </c>
      <c r="E72" s="417">
        <f t="shared" si="19"/>
        <v>2.25</v>
      </c>
      <c r="F72" s="420">
        <f t="shared" si="29"/>
        <v>34224.356776640576</v>
      </c>
      <c r="G72" s="419">
        <f t="shared" si="30"/>
        <v>35046.180240182235</v>
      </c>
      <c r="H72" s="417">
        <f>SUM($E$66:E72)</f>
        <v>17.91675</v>
      </c>
      <c r="I72" s="413"/>
      <c r="J72" s="58">
        <f t="shared" si="31"/>
        <v>2</v>
      </c>
      <c r="K72" s="408">
        <f t="shared" si="32"/>
        <v>0.125</v>
      </c>
      <c r="L72" s="58" t="str">
        <f t="shared" si="20"/>
        <v>Mercury</v>
      </c>
      <c r="M72" s="408">
        <f t="shared" si="21"/>
        <v>0.28125</v>
      </c>
      <c r="N72" s="406">
        <f t="shared" si="33"/>
        <v>54667.215432239362</v>
      </c>
      <c r="O72" s="407">
        <f t="shared" si="22"/>
        <v>54769.943365182073</v>
      </c>
      <c r="P72" s="58">
        <f t="shared" si="23"/>
        <v>4</v>
      </c>
      <c r="Q72" s="402"/>
      <c r="R72" s="58">
        <f t="shared" si="34"/>
        <v>12</v>
      </c>
      <c r="S72" s="408">
        <f t="shared" si="35"/>
        <v>1.5625E-2</v>
      </c>
      <c r="T72" s="58" t="str">
        <f t="shared" si="24"/>
        <v>Saturn</v>
      </c>
      <c r="U72" s="408">
        <f t="shared" si="25"/>
        <v>4.6875E-2</v>
      </c>
      <c r="V72" s="406">
        <f t="shared" si="36"/>
        <v>55197.976419110011</v>
      </c>
      <c r="W72" s="407">
        <f t="shared" si="26"/>
        <v>55215.097741267127</v>
      </c>
    </row>
    <row r="73" spans="1:23">
      <c r="A73" s="413"/>
      <c r="B73" s="416">
        <f t="shared" si="27"/>
        <v>4</v>
      </c>
      <c r="C73" s="416">
        <f t="shared" si="28"/>
        <v>1</v>
      </c>
      <c r="D73" s="416" t="str">
        <f t="shared" si="18"/>
        <v>Mercury</v>
      </c>
      <c r="E73" s="417">
        <f t="shared" si="19"/>
        <v>2.25</v>
      </c>
      <c r="F73" s="420">
        <f t="shared" si="29"/>
        <v>35046.180240182235</v>
      </c>
      <c r="G73" s="419">
        <f t="shared" si="30"/>
        <v>35868.003703723894</v>
      </c>
      <c r="H73" s="417">
        <f>SUM($E$66:E73)</f>
        <v>20.16675</v>
      </c>
      <c r="I73" s="413"/>
      <c r="J73" s="58">
        <f t="shared" si="31"/>
        <v>3</v>
      </c>
      <c r="K73" s="408">
        <f t="shared" si="32"/>
        <v>0.125</v>
      </c>
      <c r="L73" s="58" t="str">
        <f t="shared" si="20"/>
        <v>Mercury</v>
      </c>
      <c r="M73" s="408">
        <f t="shared" si="21"/>
        <v>0.28125</v>
      </c>
      <c r="N73" s="406">
        <f t="shared" si="33"/>
        <v>54769.943365182073</v>
      </c>
      <c r="O73" s="407">
        <f t="shared" si="22"/>
        <v>54872.671298124784</v>
      </c>
      <c r="P73" s="58">
        <f t="shared" si="23"/>
        <v>4</v>
      </c>
      <c r="Q73" s="402"/>
      <c r="R73" s="58">
        <f t="shared" si="34"/>
        <v>13</v>
      </c>
      <c r="S73" s="408">
        <f t="shared" si="35"/>
        <v>1.5625E-2</v>
      </c>
      <c r="T73" s="58" t="str">
        <f t="shared" si="24"/>
        <v>Saturn</v>
      </c>
      <c r="U73" s="408">
        <f t="shared" si="25"/>
        <v>4.6875E-2</v>
      </c>
      <c r="V73" s="406">
        <f t="shared" si="36"/>
        <v>55215.097741267127</v>
      </c>
      <c r="W73" s="407">
        <f t="shared" si="26"/>
        <v>55232.219063424243</v>
      </c>
    </row>
    <row r="74" spans="1:23">
      <c r="A74" s="413"/>
      <c r="B74" s="416">
        <f t="shared" si="27"/>
        <v>5</v>
      </c>
      <c r="C74" s="416">
        <f t="shared" si="28"/>
        <v>1</v>
      </c>
      <c r="D74" s="416" t="str">
        <f t="shared" si="18"/>
        <v>Jupiter</v>
      </c>
      <c r="E74" s="417">
        <f t="shared" si="19"/>
        <v>3</v>
      </c>
      <c r="F74" s="420">
        <f t="shared" si="29"/>
        <v>35868.003703723894</v>
      </c>
      <c r="G74" s="419">
        <f t="shared" si="30"/>
        <v>36963.76832177944</v>
      </c>
      <c r="H74" s="417">
        <f>SUM($E$66:E74)</f>
        <v>23.16675</v>
      </c>
      <c r="I74" s="413"/>
      <c r="J74" s="58">
        <f t="shared" si="31"/>
        <v>4</v>
      </c>
      <c r="K74" s="408">
        <f t="shared" si="32"/>
        <v>0.125</v>
      </c>
      <c r="L74" s="58" t="str">
        <f t="shared" si="20"/>
        <v>Mercury</v>
      </c>
      <c r="M74" s="408">
        <f t="shared" si="21"/>
        <v>0.28125</v>
      </c>
      <c r="N74" s="406">
        <f t="shared" si="33"/>
        <v>54872.671298124784</v>
      </c>
      <c r="O74" s="407">
        <f t="shared" si="22"/>
        <v>54975.399231067495</v>
      </c>
      <c r="P74" s="58">
        <f t="shared" si="23"/>
        <v>4</v>
      </c>
      <c r="Q74" s="402"/>
      <c r="R74" s="58">
        <f t="shared" si="34"/>
        <v>14</v>
      </c>
      <c r="S74" s="408">
        <f t="shared" si="35"/>
        <v>1.5625E-2</v>
      </c>
      <c r="T74" s="58" t="str">
        <f t="shared" si="24"/>
        <v>Saturn</v>
      </c>
      <c r="U74" s="408">
        <f t="shared" si="25"/>
        <v>4.6875E-2</v>
      </c>
      <c r="V74" s="406">
        <f t="shared" si="36"/>
        <v>55232.219063424243</v>
      </c>
      <c r="W74" s="407">
        <f t="shared" si="26"/>
        <v>55249.340385581359</v>
      </c>
    </row>
    <row r="75" spans="1:23">
      <c r="A75" s="413"/>
      <c r="B75" s="416">
        <f t="shared" si="27"/>
        <v>6</v>
      </c>
      <c r="C75" s="416">
        <f t="shared" si="28"/>
        <v>1</v>
      </c>
      <c r="D75" s="416" t="str">
        <f t="shared" si="18"/>
        <v>Jupiter</v>
      </c>
      <c r="E75" s="417">
        <f t="shared" si="19"/>
        <v>3</v>
      </c>
      <c r="F75" s="420">
        <f t="shared" si="29"/>
        <v>36963.76832177944</v>
      </c>
      <c r="G75" s="419">
        <f t="shared" si="30"/>
        <v>38059.532939834986</v>
      </c>
      <c r="H75" s="417">
        <f>SUM($E$66:E75)</f>
        <v>26.16675</v>
      </c>
      <c r="I75" s="413"/>
      <c r="J75" s="58">
        <f t="shared" si="31"/>
        <v>5</v>
      </c>
      <c r="K75" s="408">
        <f t="shared" si="32"/>
        <v>0.125</v>
      </c>
      <c r="L75" s="58" t="str">
        <f t="shared" si="20"/>
        <v>Jupiter</v>
      </c>
      <c r="M75" s="408">
        <f t="shared" si="21"/>
        <v>0.375</v>
      </c>
      <c r="N75" s="406">
        <f t="shared" si="33"/>
        <v>54975.399231067495</v>
      </c>
      <c r="O75" s="407">
        <f t="shared" si="22"/>
        <v>55112.369808324438</v>
      </c>
      <c r="P75" s="58">
        <f t="shared" si="23"/>
        <v>3</v>
      </c>
      <c r="Q75" s="402"/>
      <c r="R75" s="58">
        <f t="shared" si="34"/>
        <v>15</v>
      </c>
      <c r="S75" s="408">
        <f t="shared" si="35"/>
        <v>1.5625E-2</v>
      </c>
      <c r="T75" s="58" t="str">
        <f t="shared" si="24"/>
        <v>Rahu</v>
      </c>
      <c r="U75" s="408">
        <f t="shared" si="25"/>
        <v>3.515625E-2</v>
      </c>
      <c r="V75" s="406">
        <f t="shared" si="36"/>
        <v>55249.340385581359</v>
      </c>
      <c r="W75" s="407">
        <f t="shared" si="26"/>
        <v>55262.181377199195</v>
      </c>
    </row>
    <row r="76" spans="1:23">
      <c r="A76" s="413"/>
      <c r="B76" s="416">
        <f t="shared" si="27"/>
        <v>7</v>
      </c>
      <c r="C76" s="416">
        <f t="shared" si="28"/>
        <v>1</v>
      </c>
      <c r="D76" s="416" t="str">
        <f t="shared" si="18"/>
        <v>Jupiter</v>
      </c>
      <c r="E76" s="417">
        <f t="shared" si="19"/>
        <v>3</v>
      </c>
      <c r="F76" s="420">
        <f t="shared" si="29"/>
        <v>38059.532939834986</v>
      </c>
      <c r="G76" s="419">
        <f t="shared" si="30"/>
        <v>39155.297557890532</v>
      </c>
      <c r="H76" s="417">
        <f>SUM($E$66:E76)</f>
        <v>29.16675</v>
      </c>
      <c r="I76" s="413" t="s">
        <v>394</v>
      </c>
      <c r="J76" s="58">
        <f t="shared" si="31"/>
        <v>6</v>
      </c>
      <c r="K76" s="408">
        <f t="shared" si="32"/>
        <v>0.125</v>
      </c>
      <c r="L76" s="58" t="str">
        <f t="shared" si="20"/>
        <v>Jupiter</v>
      </c>
      <c r="M76" s="408">
        <f t="shared" si="21"/>
        <v>0.375</v>
      </c>
      <c r="N76" s="406">
        <f t="shared" si="33"/>
        <v>55112.369808324438</v>
      </c>
      <c r="O76" s="407">
        <f t="shared" si="22"/>
        <v>55249.340385581381</v>
      </c>
      <c r="P76" s="58">
        <f t="shared" si="23"/>
        <v>3</v>
      </c>
      <c r="Q76" s="402"/>
      <c r="R76" s="58">
        <f t="shared" si="34"/>
        <v>16</v>
      </c>
      <c r="S76" s="408">
        <f t="shared" si="35"/>
        <v>1.5625E-2</v>
      </c>
      <c r="T76" s="58" t="str">
        <f t="shared" si="24"/>
        <v>Rahu</v>
      </c>
      <c r="U76" s="408">
        <f t="shared" si="25"/>
        <v>3.515625E-2</v>
      </c>
      <c r="V76" s="406">
        <f t="shared" si="36"/>
        <v>55262.181377199195</v>
      </c>
      <c r="W76" s="407">
        <f t="shared" si="26"/>
        <v>55275.02236881703</v>
      </c>
    </row>
    <row r="77" spans="1:23">
      <c r="A77" s="413"/>
      <c r="B77" s="416">
        <f t="shared" si="27"/>
        <v>8</v>
      </c>
      <c r="C77" s="416">
        <f t="shared" si="28"/>
        <v>1</v>
      </c>
      <c r="D77" s="416" t="str">
        <f t="shared" si="18"/>
        <v>Venus</v>
      </c>
      <c r="E77" s="417">
        <f t="shared" si="19"/>
        <v>2.25</v>
      </c>
      <c r="F77" s="420">
        <f t="shared" si="29"/>
        <v>39155.297557890532</v>
      </c>
      <c r="G77" s="419">
        <f t="shared" si="30"/>
        <v>39977.121021432191</v>
      </c>
      <c r="H77" s="417">
        <f>SUM($E$66:E77)</f>
        <v>31.41675</v>
      </c>
      <c r="I77" s="413"/>
      <c r="J77" s="58">
        <f t="shared" si="31"/>
        <v>7</v>
      </c>
      <c r="K77" s="408">
        <f t="shared" si="32"/>
        <v>0.125</v>
      </c>
      <c r="L77" s="58" t="str">
        <f t="shared" si="20"/>
        <v>Jupiter</v>
      </c>
      <c r="M77" s="408">
        <f t="shared" si="21"/>
        <v>0.375</v>
      </c>
      <c r="N77" s="406">
        <f t="shared" si="33"/>
        <v>55249.340385581381</v>
      </c>
      <c r="O77" s="407">
        <f t="shared" si="22"/>
        <v>55386.310962838324</v>
      </c>
      <c r="P77" s="58">
        <f t="shared" si="23"/>
        <v>3</v>
      </c>
      <c r="Q77" s="402"/>
      <c r="R77" s="58">
        <f t="shared" si="34"/>
        <v>17</v>
      </c>
      <c r="S77" s="408">
        <f t="shared" si="35"/>
        <v>1.5625E-2</v>
      </c>
      <c r="T77" s="58" t="str">
        <f t="shared" si="24"/>
        <v>Rahu</v>
      </c>
      <c r="U77" s="408">
        <f t="shared" si="25"/>
        <v>3.515625E-2</v>
      </c>
      <c r="V77" s="406">
        <f t="shared" si="36"/>
        <v>55275.02236881703</v>
      </c>
      <c r="W77" s="407">
        <f t="shared" si="26"/>
        <v>55287.863360434865</v>
      </c>
    </row>
    <row r="78" spans="1:23">
      <c r="A78" s="413"/>
      <c r="B78" s="416">
        <f t="shared" si="27"/>
        <v>9</v>
      </c>
      <c r="C78" s="416">
        <f t="shared" si="28"/>
        <v>1</v>
      </c>
      <c r="D78" s="416" t="str">
        <f t="shared" si="18"/>
        <v>Venus</v>
      </c>
      <c r="E78" s="417">
        <f t="shared" si="19"/>
        <v>2.25</v>
      </c>
      <c r="F78" s="420">
        <f t="shared" si="29"/>
        <v>39977.121021432191</v>
      </c>
      <c r="G78" s="419">
        <f t="shared" si="30"/>
        <v>40798.94448497385</v>
      </c>
      <c r="H78" s="417">
        <f>SUM($E$66:E78)</f>
        <v>33.66675</v>
      </c>
      <c r="I78" s="413"/>
      <c r="J78" s="58">
        <f t="shared" si="31"/>
        <v>8</v>
      </c>
      <c r="K78" s="408">
        <f t="shared" si="32"/>
        <v>0.125</v>
      </c>
      <c r="L78" s="58" t="str">
        <f t="shared" si="20"/>
        <v>Venus</v>
      </c>
      <c r="M78" s="408">
        <f t="shared" si="21"/>
        <v>0.28125</v>
      </c>
      <c r="N78" s="406">
        <f t="shared" si="33"/>
        <v>55386.310962838324</v>
      </c>
      <c r="O78" s="407">
        <f t="shared" si="22"/>
        <v>55489.038895781036</v>
      </c>
      <c r="P78" s="58">
        <f t="shared" si="23"/>
        <v>4</v>
      </c>
      <c r="Q78" s="402"/>
      <c r="R78" s="58">
        <f t="shared" si="34"/>
        <v>18</v>
      </c>
      <c r="S78" s="408">
        <f t="shared" si="35"/>
        <v>1.5625E-2</v>
      </c>
      <c r="T78" s="58" t="str">
        <f t="shared" si="24"/>
        <v>Rahu</v>
      </c>
      <c r="U78" s="408">
        <f t="shared" si="25"/>
        <v>3.515625E-2</v>
      </c>
      <c r="V78" s="406">
        <f t="shared" si="36"/>
        <v>55287.863360434865</v>
      </c>
      <c r="W78" s="407">
        <f t="shared" si="26"/>
        <v>55300.7043520527</v>
      </c>
    </row>
    <row r="79" spans="1:23">
      <c r="A79" s="413"/>
      <c r="B79" s="416">
        <f t="shared" si="27"/>
        <v>10</v>
      </c>
      <c r="C79" s="416">
        <f t="shared" si="28"/>
        <v>1</v>
      </c>
      <c r="D79" s="416" t="str">
        <f t="shared" si="18"/>
        <v>Venus</v>
      </c>
      <c r="E79" s="417">
        <f t="shared" si="19"/>
        <v>2.25</v>
      </c>
      <c r="F79" s="420">
        <f t="shared" si="29"/>
        <v>40798.94448497385</v>
      </c>
      <c r="G79" s="419">
        <f t="shared" si="30"/>
        <v>41620.767948515509</v>
      </c>
      <c r="H79" s="417">
        <f>SUM($E$66:E79)</f>
        <v>35.91675</v>
      </c>
      <c r="I79" s="413"/>
      <c r="J79" s="58">
        <f t="shared" si="31"/>
        <v>9</v>
      </c>
      <c r="K79" s="408">
        <f t="shared" si="32"/>
        <v>0.125</v>
      </c>
      <c r="L79" s="58" t="str">
        <f t="shared" si="20"/>
        <v>Venus</v>
      </c>
      <c r="M79" s="408">
        <f t="shared" si="21"/>
        <v>0.28125</v>
      </c>
      <c r="N79" s="406">
        <f t="shared" si="33"/>
        <v>55489.038895781036</v>
      </c>
      <c r="O79" s="407">
        <f t="shared" si="22"/>
        <v>55591.766828723747</v>
      </c>
      <c r="P79" s="58">
        <f t="shared" si="23"/>
        <v>4</v>
      </c>
      <c r="Q79" s="402"/>
      <c r="R79" s="58">
        <f t="shared" si="34"/>
        <v>19</v>
      </c>
      <c r="S79" s="408">
        <f t="shared" si="35"/>
        <v>1.5625E-2</v>
      </c>
      <c r="T79" s="58" t="str">
        <f t="shared" si="24"/>
        <v>Sun</v>
      </c>
      <c r="U79" s="408">
        <f t="shared" si="25"/>
        <v>4.6875E-2</v>
      </c>
      <c r="V79" s="406">
        <f t="shared" si="36"/>
        <v>55300.7043520527</v>
      </c>
      <c r="W79" s="407">
        <f t="shared" si="26"/>
        <v>55317.825674209816</v>
      </c>
    </row>
    <row r="80" spans="1:23">
      <c r="A80" s="413"/>
      <c r="B80" s="416">
        <f t="shared" si="27"/>
        <v>11</v>
      </c>
      <c r="C80" s="416">
        <f t="shared" si="28"/>
        <v>1</v>
      </c>
      <c r="D80" s="416" t="str">
        <f t="shared" si="18"/>
        <v>Venus</v>
      </c>
      <c r="E80" s="417">
        <f t="shared" si="19"/>
        <v>2.25</v>
      </c>
      <c r="F80" s="420">
        <f t="shared" si="29"/>
        <v>41620.767948515509</v>
      </c>
      <c r="G80" s="419">
        <f t="shared" si="30"/>
        <v>42442.591412057169</v>
      </c>
      <c r="H80" s="417">
        <f>SUM($E$66:E80)</f>
        <v>38.16675</v>
      </c>
      <c r="I80" s="413"/>
      <c r="J80" s="58">
        <f t="shared" si="31"/>
        <v>10</v>
      </c>
      <c r="K80" s="408">
        <f t="shared" si="32"/>
        <v>0.125</v>
      </c>
      <c r="L80" s="58" t="str">
        <f t="shared" si="20"/>
        <v>Venus</v>
      </c>
      <c r="M80" s="408">
        <f t="shared" si="21"/>
        <v>0.28125</v>
      </c>
      <c r="N80" s="406">
        <f t="shared" si="33"/>
        <v>55591.766828723747</v>
      </c>
      <c r="O80" s="407">
        <f t="shared" si="22"/>
        <v>55694.494761666458</v>
      </c>
      <c r="P80" s="58">
        <f t="shared" si="23"/>
        <v>4</v>
      </c>
      <c r="Q80" s="402"/>
      <c r="R80" s="58">
        <f t="shared" si="34"/>
        <v>20</v>
      </c>
      <c r="S80" s="408">
        <f t="shared" si="35"/>
        <v>1.5625E-2</v>
      </c>
      <c r="T80" s="58" t="str">
        <f t="shared" si="24"/>
        <v>Sun</v>
      </c>
      <c r="U80" s="408">
        <f t="shared" si="25"/>
        <v>4.6875E-2</v>
      </c>
      <c r="V80" s="406">
        <f t="shared" si="36"/>
        <v>55317.825674209816</v>
      </c>
      <c r="W80" s="407">
        <f t="shared" si="26"/>
        <v>55334.946996366933</v>
      </c>
    </row>
    <row r="81" spans="1:23">
      <c r="A81" s="413"/>
      <c r="B81" s="416">
        <f t="shared" si="27"/>
        <v>12</v>
      </c>
      <c r="C81" s="416">
        <f t="shared" si="28"/>
        <v>1</v>
      </c>
      <c r="D81" s="416" t="str">
        <f t="shared" si="18"/>
        <v>Saturn</v>
      </c>
      <c r="E81" s="417">
        <f t="shared" si="19"/>
        <v>3</v>
      </c>
      <c r="F81" s="420">
        <f t="shared" si="29"/>
        <v>42442.591412057169</v>
      </c>
      <c r="G81" s="419">
        <f t="shared" si="30"/>
        <v>43538.356030112715</v>
      </c>
      <c r="H81" s="417">
        <f>SUM($E$66:E81)</f>
        <v>41.16675</v>
      </c>
      <c r="I81" s="413"/>
      <c r="J81" s="58">
        <f t="shared" si="31"/>
        <v>11</v>
      </c>
      <c r="K81" s="408">
        <f t="shared" si="32"/>
        <v>0.125</v>
      </c>
      <c r="L81" s="58" t="str">
        <f t="shared" si="20"/>
        <v>Venus</v>
      </c>
      <c r="M81" s="408">
        <f t="shared" si="21"/>
        <v>0.28125</v>
      </c>
      <c r="N81" s="406">
        <f t="shared" si="33"/>
        <v>55694.494761666458</v>
      </c>
      <c r="O81" s="407">
        <f t="shared" si="22"/>
        <v>55797.222694609169</v>
      </c>
      <c r="P81" s="58">
        <f t="shared" si="23"/>
        <v>4</v>
      </c>
      <c r="Q81" s="402"/>
      <c r="R81" s="58">
        <f t="shared" si="34"/>
        <v>21</v>
      </c>
      <c r="S81" s="408">
        <f t="shared" si="35"/>
        <v>1.5625E-2</v>
      </c>
      <c r="T81" s="58" t="str">
        <f t="shared" si="24"/>
        <v>Sun</v>
      </c>
      <c r="U81" s="408">
        <f t="shared" si="25"/>
        <v>4.6875E-2</v>
      </c>
      <c r="V81" s="406">
        <f t="shared" si="36"/>
        <v>55334.946996366933</v>
      </c>
      <c r="W81" s="407">
        <f t="shared" si="26"/>
        <v>55352.068318524049</v>
      </c>
    </row>
    <row r="82" spans="1:23">
      <c r="A82" s="413"/>
      <c r="B82" s="416">
        <f t="shared" si="27"/>
        <v>13</v>
      </c>
      <c r="C82" s="416">
        <f t="shared" si="28"/>
        <v>1</v>
      </c>
      <c r="D82" s="416" t="str">
        <f t="shared" si="18"/>
        <v>Saturn</v>
      </c>
      <c r="E82" s="417">
        <f t="shared" si="19"/>
        <v>3</v>
      </c>
      <c r="F82" s="420">
        <f t="shared" si="29"/>
        <v>43538.356030112715</v>
      </c>
      <c r="G82" s="419">
        <f t="shared" si="30"/>
        <v>44634.12064816826</v>
      </c>
      <c r="H82" s="417">
        <f>SUM($E$66:E82)</f>
        <v>44.16675</v>
      </c>
      <c r="I82" s="413"/>
      <c r="J82" s="58">
        <f t="shared" si="31"/>
        <v>12</v>
      </c>
      <c r="K82" s="408">
        <f t="shared" si="32"/>
        <v>0.125</v>
      </c>
      <c r="L82" s="58" t="str">
        <f t="shared" si="20"/>
        <v>Saturn</v>
      </c>
      <c r="M82" s="408">
        <f t="shared" si="21"/>
        <v>0.375</v>
      </c>
      <c r="N82" s="406">
        <f t="shared" si="33"/>
        <v>55797.222694609169</v>
      </c>
      <c r="O82" s="407">
        <f t="shared" si="22"/>
        <v>55934.193271866112</v>
      </c>
      <c r="P82" s="58">
        <f t="shared" si="23"/>
        <v>3</v>
      </c>
      <c r="Q82" s="402"/>
      <c r="R82" s="58">
        <f t="shared" si="34"/>
        <v>22</v>
      </c>
      <c r="S82" s="408">
        <f t="shared" si="35"/>
        <v>1.5625E-2</v>
      </c>
      <c r="T82" s="58" t="str">
        <f t="shared" si="24"/>
        <v>Moon</v>
      </c>
      <c r="U82" s="408">
        <f t="shared" si="25"/>
        <v>3.515625E-2</v>
      </c>
      <c r="V82" s="406">
        <f t="shared" si="36"/>
        <v>55352.068318524049</v>
      </c>
      <c r="W82" s="407">
        <f t="shared" si="26"/>
        <v>55364.909310141884</v>
      </c>
    </row>
    <row r="83" spans="1:23">
      <c r="A83" s="413"/>
      <c r="B83" s="416">
        <f t="shared" si="27"/>
        <v>14</v>
      </c>
      <c r="C83" s="416">
        <f t="shared" si="28"/>
        <v>1</v>
      </c>
      <c r="D83" s="416" t="str">
        <f t="shared" si="18"/>
        <v>Saturn</v>
      </c>
      <c r="E83" s="417">
        <f t="shared" si="19"/>
        <v>3</v>
      </c>
      <c r="F83" s="420">
        <f t="shared" si="29"/>
        <v>44634.12064816826</v>
      </c>
      <c r="G83" s="419">
        <f t="shared" si="30"/>
        <v>45729.885266223806</v>
      </c>
      <c r="H83" s="417">
        <f>SUM($E$66:E83)</f>
        <v>47.16675</v>
      </c>
      <c r="I83" s="413"/>
      <c r="J83" s="58">
        <f t="shared" si="31"/>
        <v>13</v>
      </c>
      <c r="K83" s="408">
        <f t="shared" si="32"/>
        <v>0.125</v>
      </c>
      <c r="L83" s="58" t="str">
        <f t="shared" si="20"/>
        <v>Saturn</v>
      </c>
      <c r="M83" s="408">
        <f t="shared" si="21"/>
        <v>0.375</v>
      </c>
      <c r="N83" s="406">
        <f t="shared" si="33"/>
        <v>55934.193271866112</v>
      </c>
      <c r="O83" s="407">
        <f t="shared" si="22"/>
        <v>56071.163849123055</v>
      </c>
      <c r="P83" s="58">
        <f t="shared" si="23"/>
        <v>3</v>
      </c>
      <c r="Q83" s="402"/>
      <c r="R83" s="58">
        <f t="shared" si="34"/>
        <v>23</v>
      </c>
      <c r="S83" s="408">
        <f t="shared" si="35"/>
        <v>1.5625E-2</v>
      </c>
      <c r="T83" s="58" t="str">
        <f t="shared" si="24"/>
        <v>Moon</v>
      </c>
      <c r="U83" s="408">
        <f t="shared" si="25"/>
        <v>3.515625E-2</v>
      </c>
      <c r="V83" s="406">
        <f t="shared" si="36"/>
        <v>55364.909310141884</v>
      </c>
      <c r="W83" s="407">
        <f t="shared" si="26"/>
        <v>55377.750301759719</v>
      </c>
    </row>
    <row r="84" spans="1:23">
      <c r="A84" s="413"/>
      <c r="B84" s="416">
        <f t="shared" si="27"/>
        <v>15</v>
      </c>
      <c r="C84" s="416">
        <f t="shared" si="28"/>
        <v>1</v>
      </c>
      <c r="D84" s="416" t="str">
        <f t="shared" si="18"/>
        <v>Rahu</v>
      </c>
      <c r="E84" s="417">
        <f t="shared" si="19"/>
        <v>2.25</v>
      </c>
      <c r="F84" s="420">
        <f t="shared" si="29"/>
        <v>45729.885266223806</v>
      </c>
      <c r="G84" s="419">
        <f t="shared" si="30"/>
        <v>46551.708729765465</v>
      </c>
      <c r="H84" s="417">
        <f>SUM($E$66:E84)</f>
        <v>49.41675</v>
      </c>
      <c r="I84" s="413"/>
      <c r="J84" s="58">
        <f t="shared" si="31"/>
        <v>14</v>
      </c>
      <c r="K84" s="408">
        <f t="shared" si="32"/>
        <v>0.125</v>
      </c>
      <c r="L84" s="58" t="str">
        <f t="shared" si="20"/>
        <v>Saturn</v>
      </c>
      <c r="M84" s="408">
        <f t="shared" si="21"/>
        <v>0.375</v>
      </c>
      <c r="N84" s="406">
        <f t="shared" si="33"/>
        <v>56071.163849123055</v>
      </c>
      <c r="O84" s="407">
        <f t="shared" si="22"/>
        <v>56208.134426379998</v>
      </c>
      <c r="P84" s="58">
        <f t="shared" si="23"/>
        <v>3</v>
      </c>
      <c r="Q84" s="402"/>
      <c r="R84" s="58">
        <f t="shared" si="34"/>
        <v>24</v>
      </c>
      <c r="S84" s="408">
        <f t="shared" si="35"/>
        <v>1.5625E-2</v>
      </c>
      <c r="T84" s="58" t="str">
        <f t="shared" si="24"/>
        <v>Moon</v>
      </c>
      <c r="U84" s="408">
        <f t="shared" si="25"/>
        <v>3.515625E-2</v>
      </c>
      <c r="V84" s="406">
        <f t="shared" si="36"/>
        <v>55377.750301759719</v>
      </c>
      <c r="W84" s="407">
        <f t="shared" si="26"/>
        <v>55390.591293377554</v>
      </c>
    </row>
    <row r="85" spans="1:23">
      <c r="A85" s="413"/>
      <c r="B85" s="416">
        <f t="shared" si="27"/>
        <v>16</v>
      </c>
      <c r="C85" s="416">
        <f t="shared" si="28"/>
        <v>1</v>
      </c>
      <c r="D85" s="416" t="str">
        <f t="shared" si="18"/>
        <v>Rahu</v>
      </c>
      <c r="E85" s="417">
        <f t="shared" si="19"/>
        <v>2.25</v>
      </c>
      <c r="F85" s="420">
        <f t="shared" si="29"/>
        <v>46551.708729765465</v>
      </c>
      <c r="G85" s="419">
        <f t="shared" si="30"/>
        <v>47373.532193307125</v>
      </c>
      <c r="H85" s="417">
        <f>SUM($E$66:E85)</f>
        <v>51.66675</v>
      </c>
      <c r="I85" s="413" t="s">
        <v>394</v>
      </c>
      <c r="J85" s="58">
        <f t="shared" si="31"/>
        <v>15</v>
      </c>
      <c r="K85" s="423">
        <f t="shared" si="32"/>
        <v>0.125</v>
      </c>
      <c r="L85" s="424" t="str">
        <f t="shared" si="20"/>
        <v>Rahu</v>
      </c>
      <c r="M85" s="423">
        <f t="shared" si="21"/>
        <v>0.28125</v>
      </c>
      <c r="N85" s="425">
        <f t="shared" si="33"/>
        <v>56208.134426379998</v>
      </c>
      <c r="O85" s="425">
        <f t="shared" si="22"/>
        <v>56310.862359322709</v>
      </c>
      <c r="P85" s="58">
        <f t="shared" si="23"/>
        <v>4</v>
      </c>
      <c r="Q85" s="402"/>
      <c r="R85" s="58">
        <f t="shared" si="34"/>
        <v>25</v>
      </c>
      <c r="S85" s="408">
        <f t="shared" si="35"/>
        <v>1.5625E-2</v>
      </c>
      <c r="T85" s="58" t="str">
        <f t="shared" si="24"/>
        <v>Moon</v>
      </c>
      <c r="U85" s="408">
        <f t="shared" si="25"/>
        <v>3.515625E-2</v>
      </c>
      <c r="V85" s="406">
        <f t="shared" si="36"/>
        <v>55390.591293377554</v>
      </c>
      <c r="W85" s="407">
        <f t="shared" si="26"/>
        <v>55403.43228499539</v>
      </c>
    </row>
    <row r="86" spans="1:23">
      <c r="A86" s="413"/>
      <c r="B86" s="416">
        <f t="shared" si="27"/>
        <v>17</v>
      </c>
      <c r="C86" s="416">
        <f t="shared" si="28"/>
        <v>1</v>
      </c>
      <c r="D86" s="416" t="str">
        <f t="shared" si="18"/>
        <v>Rahu</v>
      </c>
      <c r="E86" s="417">
        <f t="shared" si="19"/>
        <v>2.25</v>
      </c>
      <c r="F86" s="420">
        <f t="shared" si="29"/>
        <v>47373.532193307125</v>
      </c>
      <c r="G86" s="419">
        <f t="shared" si="30"/>
        <v>48195.355656848784</v>
      </c>
      <c r="H86" s="417">
        <f>SUM($E$66:E86)</f>
        <v>53.91675</v>
      </c>
      <c r="I86" s="413"/>
      <c r="J86" s="58">
        <f t="shared" si="31"/>
        <v>16</v>
      </c>
      <c r="K86" s="423">
        <f t="shared" si="32"/>
        <v>0.125</v>
      </c>
      <c r="L86" s="424" t="str">
        <f t="shared" si="20"/>
        <v>Rahu</v>
      </c>
      <c r="M86" s="423">
        <f t="shared" si="21"/>
        <v>0.28125</v>
      </c>
      <c r="N86" s="425">
        <f t="shared" si="33"/>
        <v>56310.862359322709</v>
      </c>
      <c r="O86" s="425">
        <f t="shared" si="22"/>
        <v>56413.59029226542</v>
      </c>
      <c r="P86" s="58">
        <f t="shared" si="23"/>
        <v>4</v>
      </c>
      <c r="Q86" s="402"/>
      <c r="R86" s="58">
        <f t="shared" si="34"/>
        <v>26</v>
      </c>
      <c r="S86" s="408">
        <f t="shared" si="35"/>
        <v>1.5625E-2</v>
      </c>
      <c r="T86" s="58" t="str">
        <f t="shared" si="24"/>
        <v>Mars</v>
      </c>
      <c r="U86" s="408">
        <f t="shared" si="25"/>
        <v>4.6875E-2</v>
      </c>
      <c r="V86" s="406">
        <f t="shared" si="36"/>
        <v>55403.43228499539</v>
      </c>
      <c r="W86" s="407">
        <f t="shared" si="26"/>
        <v>55420.553607152506</v>
      </c>
    </row>
    <row r="87" spans="1:23">
      <c r="A87" s="413"/>
      <c r="B87" s="416">
        <f t="shared" si="27"/>
        <v>18</v>
      </c>
      <c r="C87" s="416">
        <f t="shared" si="28"/>
        <v>1</v>
      </c>
      <c r="D87" s="416" t="str">
        <f t="shared" si="18"/>
        <v>Rahu</v>
      </c>
      <c r="E87" s="417">
        <f t="shared" si="19"/>
        <v>2.25</v>
      </c>
      <c r="F87" s="420">
        <f t="shared" si="29"/>
        <v>48195.355656848784</v>
      </c>
      <c r="G87" s="419">
        <f t="shared" si="30"/>
        <v>49017.179120390443</v>
      </c>
      <c r="H87" s="417">
        <f>SUM($E$66:E87)</f>
        <v>56.16675</v>
      </c>
      <c r="I87" s="413"/>
      <c r="J87" s="58">
        <f t="shared" si="31"/>
        <v>17</v>
      </c>
      <c r="K87" s="423">
        <f t="shared" si="32"/>
        <v>0.125</v>
      </c>
      <c r="L87" s="424" t="str">
        <f t="shared" si="20"/>
        <v>Rahu</v>
      </c>
      <c r="M87" s="423">
        <f t="shared" si="21"/>
        <v>0.28125</v>
      </c>
      <c r="N87" s="425">
        <f t="shared" si="33"/>
        <v>56413.59029226542</v>
      </c>
      <c r="O87" s="425">
        <f t="shared" si="22"/>
        <v>56516.318225208131</v>
      </c>
      <c r="P87" s="58">
        <f t="shared" si="23"/>
        <v>4</v>
      </c>
      <c r="Q87" s="402"/>
      <c r="R87" s="58">
        <f t="shared" si="34"/>
        <v>27</v>
      </c>
      <c r="S87" s="408">
        <f t="shared" si="35"/>
        <v>1.5625E-2</v>
      </c>
      <c r="T87" s="58" t="str">
        <f t="shared" si="24"/>
        <v>Mars</v>
      </c>
      <c r="U87" s="408">
        <f t="shared" si="25"/>
        <v>4.6875E-2</v>
      </c>
      <c r="V87" s="406">
        <f t="shared" si="36"/>
        <v>55420.553607152506</v>
      </c>
      <c r="W87" s="407">
        <f t="shared" si="26"/>
        <v>55437.674929309622</v>
      </c>
    </row>
    <row r="88" spans="1:23">
      <c r="A88" s="413"/>
      <c r="B88" s="416">
        <f t="shared" si="27"/>
        <v>19</v>
      </c>
      <c r="C88" s="416">
        <f t="shared" si="28"/>
        <v>1</v>
      </c>
      <c r="D88" s="416" t="str">
        <f t="shared" si="18"/>
        <v>Sun</v>
      </c>
      <c r="E88" s="417">
        <f t="shared" si="19"/>
        <v>3</v>
      </c>
      <c r="F88" s="420">
        <f t="shared" si="29"/>
        <v>49017.179120390443</v>
      </c>
      <c r="G88" s="419">
        <f t="shared" si="30"/>
        <v>50112.943738445989</v>
      </c>
      <c r="H88" s="417">
        <f>SUM($E$66:E88)</f>
        <v>59.16675</v>
      </c>
      <c r="I88" s="413" t="s">
        <v>394</v>
      </c>
      <c r="J88" s="58">
        <f t="shared" si="31"/>
        <v>18</v>
      </c>
      <c r="K88" s="408">
        <f t="shared" si="32"/>
        <v>0.125</v>
      </c>
      <c r="L88" s="58" t="str">
        <f t="shared" si="20"/>
        <v>Rahu</v>
      </c>
      <c r="M88" s="408">
        <f t="shared" si="21"/>
        <v>0.28125</v>
      </c>
      <c r="N88" s="406">
        <f t="shared" si="33"/>
        <v>56516.318225208131</v>
      </c>
      <c r="O88" s="407">
        <f t="shared" si="22"/>
        <v>56619.046158150843</v>
      </c>
      <c r="P88" s="58">
        <f t="shared" si="23"/>
        <v>4</v>
      </c>
      <c r="Q88" s="402"/>
      <c r="R88" s="58">
        <f t="shared" si="34"/>
        <v>28</v>
      </c>
      <c r="S88" s="408">
        <f t="shared" si="35"/>
        <v>1.5625E-2</v>
      </c>
      <c r="T88" s="58" t="str">
        <f t="shared" si="24"/>
        <v>Mars</v>
      </c>
      <c r="U88" s="408">
        <f t="shared" si="25"/>
        <v>4.6875E-2</v>
      </c>
      <c r="V88" s="406">
        <f t="shared" si="36"/>
        <v>55437.674929309622</v>
      </c>
      <c r="W88" s="407">
        <f t="shared" si="26"/>
        <v>55454.796251466738</v>
      </c>
    </row>
    <row r="89" spans="1:23">
      <c r="A89" s="413"/>
      <c r="B89" s="416">
        <f t="shared" si="27"/>
        <v>20</v>
      </c>
      <c r="C89" s="416">
        <f t="shared" si="28"/>
        <v>1</v>
      </c>
      <c r="D89" s="416" t="str">
        <f t="shared" si="18"/>
        <v>Sun</v>
      </c>
      <c r="E89" s="417">
        <f t="shared" si="19"/>
        <v>3</v>
      </c>
      <c r="F89" s="420">
        <f t="shared" si="29"/>
        <v>50112.943738445989</v>
      </c>
      <c r="G89" s="419">
        <f t="shared" si="30"/>
        <v>51208.708356501535</v>
      </c>
      <c r="H89" s="417">
        <f>SUM($E$66:E89)</f>
        <v>62.16675</v>
      </c>
      <c r="I89" s="413"/>
      <c r="J89" s="58">
        <f t="shared" si="31"/>
        <v>19</v>
      </c>
      <c r="K89" s="408">
        <f t="shared" si="32"/>
        <v>0.125</v>
      </c>
      <c r="L89" s="58" t="str">
        <f t="shared" si="20"/>
        <v>Sun</v>
      </c>
      <c r="M89" s="408">
        <f t="shared" si="21"/>
        <v>0.375</v>
      </c>
      <c r="N89" s="406">
        <f t="shared" si="33"/>
        <v>56619.046158150843</v>
      </c>
      <c r="O89" s="407">
        <f t="shared" si="22"/>
        <v>56756.016735407786</v>
      </c>
      <c r="P89" s="58">
        <f t="shared" si="23"/>
        <v>3</v>
      </c>
      <c r="Q89" s="402"/>
      <c r="R89" s="58">
        <f t="shared" si="34"/>
        <v>1</v>
      </c>
      <c r="S89" s="408">
        <f t="shared" si="35"/>
        <v>1.5625E-2</v>
      </c>
      <c r="T89" s="58" t="str">
        <f t="shared" si="24"/>
        <v>Mercury</v>
      </c>
      <c r="U89" s="408">
        <f t="shared" si="25"/>
        <v>3.515625E-2</v>
      </c>
      <c r="V89" s="406">
        <f t="shared" si="36"/>
        <v>55454.796251466738</v>
      </c>
      <c r="W89" s="407">
        <f t="shared" si="26"/>
        <v>55467.637243084573</v>
      </c>
    </row>
    <row r="90" spans="1:23">
      <c r="A90" s="413"/>
      <c r="B90" s="416">
        <f t="shared" si="27"/>
        <v>21</v>
      </c>
      <c r="C90" s="416">
        <f t="shared" si="28"/>
        <v>1</v>
      </c>
      <c r="D90" s="416" t="str">
        <f t="shared" si="18"/>
        <v>Sun</v>
      </c>
      <c r="E90" s="417">
        <f t="shared" si="19"/>
        <v>3</v>
      </c>
      <c r="F90" s="420">
        <f t="shared" si="29"/>
        <v>51208.708356501535</v>
      </c>
      <c r="G90" s="419">
        <f t="shared" si="30"/>
        <v>52304.47297455708</v>
      </c>
      <c r="H90" s="417">
        <f>SUM($E$66:E90)</f>
        <v>65.166750000000008</v>
      </c>
      <c r="I90" s="413"/>
      <c r="J90" s="58">
        <f t="shared" si="31"/>
        <v>20</v>
      </c>
      <c r="K90" s="408">
        <f t="shared" si="32"/>
        <v>0.125</v>
      </c>
      <c r="L90" s="58" t="str">
        <f t="shared" si="20"/>
        <v>Sun</v>
      </c>
      <c r="M90" s="408">
        <f t="shared" si="21"/>
        <v>0.375</v>
      </c>
      <c r="N90" s="406">
        <f t="shared" si="33"/>
        <v>56756.016735407786</v>
      </c>
      <c r="O90" s="407">
        <f t="shared" si="22"/>
        <v>56892.987312664729</v>
      </c>
      <c r="P90" s="58">
        <f t="shared" si="23"/>
        <v>3</v>
      </c>
      <c r="Q90" s="402"/>
      <c r="R90" s="58">
        <f t="shared" si="34"/>
        <v>2</v>
      </c>
      <c r="S90" s="408">
        <f t="shared" si="35"/>
        <v>1.5625E-2</v>
      </c>
      <c r="T90" s="58" t="str">
        <f t="shared" si="24"/>
        <v>Mercury</v>
      </c>
      <c r="U90" s="408">
        <f t="shared" si="25"/>
        <v>3.515625E-2</v>
      </c>
      <c r="V90" s="406">
        <f t="shared" si="36"/>
        <v>55467.637243084573</v>
      </c>
      <c r="W90" s="407">
        <f t="shared" si="26"/>
        <v>55480.478234702408</v>
      </c>
    </row>
    <row r="91" spans="1:23">
      <c r="A91" s="413"/>
      <c r="B91" s="416">
        <f t="shared" si="27"/>
        <v>22</v>
      </c>
      <c r="C91" s="416">
        <f t="shared" si="28"/>
        <v>1</v>
      </c>
      <c r="D91" s="416" t="str">
        <f t="shared" si="18"/>
        <v>Moon</v>
      </c>
      <c r="E91" s="417">
        <f t="shared" si="19"/>
        <v>2.25</v>
      </c>
      <c r="F91" s="420">
        <f t="shared" si="29"/>
        <v>52304.47297455708</v>
      </c>
      <c r="G91" s="419">
        <f t="shared" si="30"/>
        <v>53126.29643809874</v>
      </c>
      <c r="H91" s="417">
        <f>SUM($E$66:E91)</f>
        <v>67.416750000000008</v>
      </c>
      <c r="I91" s="413"/>
      <c r="J91" s="58">
        <f t="shared" si="31"/>
        <v>21</v>
      </c>
      <c r="K91" s="408">
        <f t="shared" si="32"/>
        <v>0.125</v>
      </c>
      <c r="L91" s="58" t="str">
        <f t="shared" si="20"/>
        <v>Sun</v>
      </c>
      <c r="M91" s="408">
        <f t="shared" si="21"/>
        <v>0.375</v>
      </c>
      <c r="N91" s="406">
        <f t="shared" si="33"/>
        <v>56892.987312664729</v>
      </c>
      <c r="O91" s="407">
        <f t="shared" si="22"/>
        <v>57029.957889921672</v>
      </c>
      <c r="P91" s="58">
        <f t="shared" si="23"/>
        <v>3</v>
      </c>
      <c r="Q91" s="402"/>
      <c r="R91" s="58">
        <f t="shared" si="34"/>
        <v>3</v>
      </c>
      <c r="S91" s="408">
        <f t="shared" si="35"/>
        <v>1.5625E-2</v>
      </c>
      <c r="T91" s="58" t="str">
        <f t="shared" si="24"/>
        <v>Mercury</v>
      </c>
      <c r="U91" s="408">
        <f t="shared" si="25"/>
        <v>3.515625E-2</v>
      </c>
      <c r="V91" s="406">
        <f t="shared" si="36"/>
        <v>55480.478234702408</v>
      </c>
      <c r="W91" s="407">
        <f t="shared" si="26"/>
        <v>55493.319226320244</v>
      </c>
    </row>
    <row r="92" spans="1:23">
      <c r="A92" s="413"/>
      <c r="B92" s="416">
        <f t="shared" si="27"/>
        <v>23</v>
      </c>
      <c r="C92" s="416">
        <f t="shared" si="28"/>
        <v>1</v>
      </c>
      <c r="D92" s="416" t="str">
        <f t="shared" si="18"/>
        <v>Moon</v>
      </c>
      <c r="E92" s="417">
        <f t="shared" si="19"/>
        <v>2.25</v>
      </c>
      <c r="F92" s="420">
        <f t="shared" si="29"/>
        <v>53126.29643809874</v>
      </c>
      <c r="G92" s="419">
        <f t="shared" si="30"/>
        <v>53948.119901640399</v>
      </c>
      <c r="H92" s="417">
        <f>SUM($E$66:E92)</f>
        <v>69.666750000000008</v>
      </c>
      <c r="I92" s="413"/>
      <c r="J92" s="58">
        <f t="shared" si="31"/>
        <v>22</v>
      </c>
      <c r="K92" s="408">
        <f t="shared" si="32"/>
        <v>0.125</v>
      </c>
      <c r="L92" s="58" t="str">
        <f t="shared" si="20"/>
        <v>Moon</v>
      </c>
      <c r="M92" s="408">
        <f t="shared" si="21"/>
        <v>0.28125</v>
      </c>
      <c r="N92" s="406">
        <f t="shared" si="33"/>
        <v>57029.957889921672</v>
      </c>
      <c r="O92" s="407">
        <f t="shared" si="22"/>
        <v>57132.685822864383</v>
      </c>
      <c r="P92" s="58">
        <f t="shared" si="23"/>
        <v>4</v>
      </c>
      <c r="Q92" s="402"/>
      <c r="R92" s="58">
        <f t="shared" si="34"/>
        <v>4</v>
      </c>
      <c r="S92" s="408">
        <f t="shared" si="35"/>
        <v>1.5625E-2</v>
      </c>
      <c r="T92" s="58" t="str">
        <f t="shared" si="24"/>
        <v>Mercury</v>
      </c>
      <c r="U92" s="408">
        <f t="shared" si="25"/>
        <v>3.515625E-2</v>
      </c>
      <c r="V92" s="406">
        <f t="shared" si="36"/>
        <v>55493.319226320244</v>
      </c>
      <c r="W92" s="407">
        <f t="shared" si="26"/>
        <v>55506.160217938079</v>
      </c>
    </row>
    <row r="93" spans="1:23">
      <c r="A93" s="413" t="s">
        <v>394</v>
      </c>
      <c r="B93" s="416">
        <f t="shared" si="27"/>
        <v>24</v>
      </c>
      <c r="C93" s="416">
        <f t="shared" si="28"/>
        <v>1</v>
      </c>
      <c r="D93" s="416" t="str">
        <f t="shared" si="18"/>
        <v>Moon</v>
      </c>
      <c r="E93" s="417">
        <f t="shared" si="19"/>
        <v>2.25</v>
      </c>
      <c r="F93" s="420">
        <f t="shared" si="29"/>
        <v>53948.119901640399</v>
      </c>
      <c r="G93" s="419">
        <f t="shared" si="30"/>
        <v>54769.943365182058</v>
      </c>
      <c r="H93" s="417">
        <f>SUM($E$66:E93)</f>
        <v>71.916750000000008</v>
      </c>
      <c r="I93" s="413"/>
      <c r="J93" s="58">
        <f t="shared" si="31"/>
        <v>23</v>
      </c>
      <c r="K93" s="408">
        <f t="shared" si="32"/>
        <v>0.125</v>
      </c>
      <c r="L93" s="58" t="str">
        <f t="shared" si="20"/>
        <v>Moon</v>
      </c>
      <c r="M93" s="408">
        <f t="shared" si="21"/>
        <v>0.28125</v>
      </c>
      <c r="N93" s="406">
        <f t="shared" si="33"/>
        <v>57132.685822864383</v>
      </c>
      <c r="O93" s="407">
        <f t="shared" si="22"/>
        <v>57235.413755807094</v>
      </c>
      <c r="P93" s="58">
        <f t="shared" si="23"/>
        <v>4</v>
      </c>
      <c r="Q93" s="402"/>
      <c r="R93" s="58">
        <f t="shared" si="34"/>
        <v>5</v>
      </c>
      <c r="S93" s="408">
        <f t="shared" si="35"/>
        <v>1.5625E-2</v>
      </c>
      <c r="T93" s="58" t="str">
        <f t="shared" si="24"/>
        <v>Jupiter</v>
      </c>
      <c r="U93" s="408">
        <f t="shared" si="25"/>
        <v>4.6875E-2</v>
      </c>
      <c r="V93" s="406">
        <f t="shared" si="36"/>
        <v>55506.160217938079</v>
      </c>
      <c r="W93" s="407">
        <f t="shared" si="26"/>
        <v>55523.281540095195</v>
      </c>
    </row>
    <row r="94" spans="1:23">
      <c r="A94" s="413"/>
      <c r="B94" s="416">
        <f t="shared" si="27"/>
        <v>25</v>
      </c>
      <c r="C94" s="416">
        <f t="shared" si="28"/>
        <v>1</v>
      </c>
      <c r="D94" s="416" t="str">
        <f t="shared" si="18"/>
        <v>Moon</v>
      </c>
      <c r="E94" s="417">
        <f t="shared" si="19"/>
        <v>2.25</v>
      </c>
      <c r="F94" s="420">
        <f t="shared" si="29"/>
        <v>54769.943365182058</v>
      </c>
      <c r="G94" s="419">
        <f t="shared" si="30"/>
        <v>55591.766828723717</v>
      </c>
      <c r="H94" s="417">
        <f>SUM($E$66:E94)</f>
        <v>74.166750000000008</v>
      </c>
      <c r="I94" s="413"/>
      <c r="J94" s="58">
        <f t="shared" si="31"/>
        <v>24</v>
      </c>
      <c r="K94" s="408">
        <f t="shared" si="32"/>
        <v>0.125</v>
      </c>
      <c r="L94" s="58" t="str">
        <f t="shared" si="20"/>
        <v>Moon</v>
      </c>
      <c r="M94" s="408">
        <f t="shared" si="21"/>
        <v>0.28125</v>
      </c>
      <c r="N94" s="406">
        <f t="shared" si="33"/>
        <v>57235.413755807094</v>
      </c>
      <c r="O94" s="407">
        <f t="shared" si="22"/>
        <v>57338.141688749805</v>
      </c>
      <c r="P94" s="58">
        <f t="shared" si="23"/>
        <v>4</v>
      </c>
      <c r="Q94" s="402"/>
      <c r="R94" s="58">
        <f t="shared" si="34"/>
        <v>6</v>
      </c>
      <c r="S94" s="408">
        <f t="shared" si="35"/>
        <v>1.5625E-2</v>
      </c>
      <c r="T94" s="58" t="str">
        <f t="shared" si="24"/>
        <v>Jupiter</v>
      </c>
      <c r="U94" s="408">
        <f t="shared" si="25"/>
        <v>4.6875E-2</v>
      </c>
      <c r="V94" s="406">
        <f t="shared" si="36"/>
        <v>55523.281540095195</v>
      </c>
      <c r="W94" s="407">
        <f t="shared" si="26"/>
        <v>55540.402862252311</v>
      </c>
    </row>
    <row r="95" spans="1:23">
      <c r="A95" s="426"/>
      <c r="B95" s="427">
        <f t="shared" si="27"/>
        <v>26</v>
      </c>
      <c r="C95" s="416">
        <f t="shared" si="28"/>
        <v>1</v>
      </c>
      <c r="D95" s="416" t="str">
        <f t="shared" si="18"/>
        <v>Mars</v>
      </c>
      <c r="E95" s="417">
        <f t="shared" si="19"/>
        <v>3</v>
      </c>
      <c r="F95" s="428">
        <f t="shared" si="29"/>
        <v>55591.766828723717</v>
      </c>
      <c r="G95" s="429">
        <f t="shared" si="30"/>
        <v>56687.531446779263</v>
      </c>
      <c r="H95" s="417">
        <f>SUM($E$66:E95)</f>
        <v>77.166750000000008</v>
      </c>
      <c r="I95" s="426" t="s">
        <v>394</v>
      </c>
      <c r="J95" s="430">
        <f t="shared" si="31"/>
        <v>25</v>
      </c>
      <c r="K95" s="431">
        <f t="shared" si="32"/>
        <v>0.125</v>
      </c>
      <c r="L95" s="430" t="str">
        <f t="shared" si="20"/>
        <v>Moon</v>
      </c>
      <c r="M95" s="408">
        <f t="shared" si="21"/>
        <v>0.28125</v>
      </c>
      <c r="N95" s="432">
        <f t="shared" si="33"/>
        <v>57338.141688749805</v>
      </c>
      <c r="O95" s="433">
        <f t="shared" si="22"/>
        <v>57440.869621692516</v>
      </c>
      <c r="P95" s="58">
        <f t="shared" si="23"/>
        <v>4</v>
      </c>
      <c r="Q95" s="434"/>
      <c r="R95" s="430">
        <f t="shared" si="34"/>
        <v>7</v>
      </c>
      <c r="S95" s="431">
        <f t="shared" si="35"/>
        <v>1.5625E-2</v>
      </c>
      <c r="T95" s="430" t="str">
        <f t="shared" si="24"/>
        <v>Jupiter</v>
      </c>
      <c r="U95" s="431">
        <f t="shared" si="25"/>
        <v>4.6875E-2</v>
      </c>
      <c r="V95" s="432">
        <f t="shared" si="36"/>
        <v>55540.402862252311</v>
      </c>
      <c r="W95" s="433">
        <f t="shared" si="26"/>
        <v>55557.524184409427</v>
      </c>
    </row>
    <row r="96" spans="1:23">
      <c r="A96" s="426"/>
      <c r="B96" s="427">
        <f t="shared" si="27"/>
        <v>27</v>
      </c>
      <c r="C96" s="416">
        <f t="shared" si="28"/>
        <v>1</v>
      </c>
      <c r="D96" s="416" t="str">
        <f t="shared" si="18"/>
        <v>Mars</v>
      </c>
      <c r="E96" s="417">
        <f t="shared" si="19"/>
        <v>3</v>
      </c>
      <c r="F96" s="428">
        <f t="shared" si="29"/>
        <v>56687.531446779263</v>
      </c>
      <c r="G96" s="429">
        <f t="shared" si="30"/>
        <v>57783.296064834809</v>
      </c>
      <c r="H96" s="417">
        <f>SUM($E$66:E96)</f>
        <v>80.166750000000008</v>
      </c>
      <c r="I96" s="413"/>
      <c r="J96" s="58">
        <f t="shared" si="31"/>
        <v>26</v>
      </c>
      <c r="K96" s="408">
        <f t="shared" si="32"/>
        <v>0.125</v>
      </c>
      <c r="L96" s="58" t="str">
        <f t="shared" si="20"/>
        <v>Mars</v>
      </c>
      <c r="M96" s="408">
        <f t="shared" si="21"/>
        <v>0.375</v>
      </c>
      <c r="N96" s="406">
        <f t="shared" si="33"/>
        <v>57440.869621692516</v>
      </c>
      <c r="O96" s="407">
        <f t="shared" si="22"/>
        <v>57577.84019894946</v>
      </c>
      <c r="P96" s="58">
        <f t="shared" si="23"/>
        <v>3</v>
      </c>
    </row>
    <row r="97" spans="1:16">
      <c r="A97" s="426"/>
      <c r="B97" s="427">
        <f t="shared" si="27"/>
        <v>28</v>
      </c>
      <c r="C97" s="416">
        <f t="shared" si="28"/>
        <v>1</v>
      </c>
      <c r="D97" s="416" t="str">
        <f t="shared" si="18"/>
        <v>Mars</v>
      </c>
      <c r="E97" s="417">
        <f t="shared" si="19"/>
        <v>3</v>
      </c>
      <c r="F97" s="428">
        <f t="shared" si="29"/>
        <v>57783.296064834809</v>
      </c>
      <c r="G97" s="429">
        <f t="shared" si="30"/>
        <v>58879.060682890355</v>
      </c>
      <c r="H97" s="417">
        <f>SUM($E$66:E97)</f>
        <v>83.166750000000008</v>
      </c>
      <c r="I97" s="426" t="s">
        <v>394</v>
      </c>
      <c r="J97" s="430">
        <f t="shared" si="31"/>
        <v>27</v>
      </c>
      <c r="K97" s="431">
        <f t="shared" si="32"/>
        <v>0.125</v>
      </c>
      <c r="L97" s="430" t="str">
        <f t="shared" si="20"/>
        <v>Mars</v>
      </c>
      <c r="M97" s="408">
        <f t="shared" si="21"/>
        <v>0.375</v>
      </c>
      <c r="N97" s="432">
        <f t="shared" si="33"/>
        <v>57577.84019894946</v>
      </c>
      <c r="O97" s="433">
        <f t="shared" si="22"/>
        <v>57714.810776206403</v>
      </c>
      <c r="P97" s="58">
        <f t="shared" si="23"/>
        <v>3</v>
      </c>
    </row>
    <row r="98" spans="1:16">
      <c r="A98" s="426"/>
      <c r="B98" s="427">
        <f t="shared" si="27"/>
        <v>1</v>
      </c>
      <c r="C98" s="416">
        <f t="shared" si="28"/>
        <v>1</v>
      </c>
      <c r="D98" s="416" t="str">
        <f t="shared" ref="D98:D128" si="37">INDEX(DasaSpans,B98,$C$61)</f>
        <v>Mercury</v>
      </c>
      <c r="E98" s="417">
        <f t="shared" ref="E98:E128" si="38">INDEX(DasaSpans,B98,$C$61+1)*C98</f>
        <v>2.25</v>
      </c>
      <c r="F98" s="428">
        <f t="shared" si="29"/>
        <v>58879.060682890355</v>
      </c>
      <c r="G98" s="429">
        <f t="shared" si="30"/>
        <v>59700.884146432014</v>
      </c>
      <c r="H98" s="417">
        <f>SUM($E$66:E98)</f>
        <v>85.416750000000008</v>
      </c>
      <c r="I98" s="413"/>
      <c r="J98" s="58">
        <f t="shared" si="31"/>
        <v>28</v>
      </c>
      <c r="K98" s="408">
        <f t="shared" si="32"/>
        <v>0.125</v>
      </c>
      <c r="L98" s="58" t="str">
        <f t="shared" ref="L98:L129" si="39">INDEX(DasaSpans,J98,$C$61)</f>
        <v>Mars</v>
      </c>
      <c r="M98" s="408">
        <f t="shared" ref="M98:M129" si="40">INDEX(DasaSpans,J98,$C$61+1)*K98</f>
        <v>0.375</v>
      </c>
      <c r="N98" s="406">
        <f t="shared" si="33"/>
        <v>57714.810776206403</v>
      </c>
      <c r="O98" s="407">
        <f t="shared" ref="O98:O129" si="41">N98+M98*Year</f>
        <v>57851.781353463346</v>
      </c>
      <c r="P98" s="58">
        <f t="shared" ref="P98:P129" si="42">COUNTIF(L95:L102,L98)</f>
        <v>3</v>
      </c>
    </row>
    <row r="99" spans="1:16">
      <c r="A99" s="426"/>
      <c r="B99" s="427">
        <f t="shared" ref="B99:B128" si="43">MOD(B98,28)+1</f>
        <v>2</v>
      </c>
      <c r="C99" s="416">
        <f t="shared" ref="C99:C128" si="44">$C$64</f>
        <v>1</v>
      </c>
      <c r="D99" s="416" t="str">
        <f t="shared" si="37"/>
        <v>Mercury</v>
      </c>
      <c r="E99" s="417">
        <f t="shared" si="38"/>
        <v>2.25</v>
      </c>
      <c r="F99" s="428">
        <f t="shared" ref="F99:F128" si="45">G98</f>
        <v>59700.884146432014</v>
      </c>
      <c r="G99" s="429">
        <f t="shared" ref="G99:G130" si="46">F99+E99*Year</f>
        <v>60522.707609973673</v>
      </c>
      <c r="H99" s="417">
        <f>SUM($E$66:E99)</f>
        <v>87.666750000000008</v>
      </c>
      <c r="I99" s="426" t="s">
        <v>394</v>
      </c>
      <c r="J99" s="430">
        <f t="shared" ref="J99:J129" si="47">MOD(MOD(J98+28,28)+$K$64-1,28)+1</f>
        <v>1</v>
      </c>
      <c r="K99" s="431">
        <f t="shared" ref="K99:K129" si="48">K98</f>
        <v>0.125</v>
      </c>
      <c r="L99" s="430" t="str">
        <f t="shared" si="39"/>
        <v>Mercury</v>
      </c>
      <c r="M99" s="408">
        <f t="shared" si="40"/>
        <v>0.28125</v>
      </c>
      <c r="N99" s="432">
        <f t="shared" ref="N99:N129" si="49">O98</f>
        <v>57851.781353463346</v>
      </c>
      <c r="O99" s="433">
        <f t="shared" si="41"/>
        <v>57954.509286406057</v>
      </c>
      <c r="P99" s="58">
        <f t="shared" si="42"/>
        <v>4</v>
      </c>
    </row>
    <row r="100" spans="1:16">
      <c r="A100" s="426"/>
      <c r="B100" s="427">
        <f t="shared" si="43"/>
        <v>3</v>
      </c>
      <c r="C100" s="416">
        <f t="shared" si="44"/>
        <v>1</v>
      </c>
      <c r="D100" s="416" t="str">
        <f t="shared" si="37"/>
        <v>Mercury</v>
      </c>
      <c r="E100" s="417">
        <f t="shared" si="38"/>
        <v>2.25</v>
      </c>
      <c r="F100" s="428">
        <f t="shared" si="45"/>
        <v>60522.707609973673</v>
      </c>
      <c r="G100" s="429">
        <f t="shared" si="46"/>
        <v>61344.531073515333</v>
      </c>
      <c r="H100" s="417">
        <f>SUM($E$66:E100)</f>
        <v>89.916750000000008</v>
      </c>
      <c r="I100" s="413"/>
      <c r="J100" s="58">
        <f t="shared" si="47"/>
        <v>2</v>
      </c>
      <c r="K100" s="408">
        <f t="shared" si="48"/>
        <v>0.125</v>
      </c>
      <c r="L100" s="58" t="str">
        <f t="shared" si="39"/>
        <v>Mercury</v>
      </c>
      <c r="M100" s="408">
        <f t="shared" si="40"/>
        <v>0.28125</v>
      </c>
      <c r="N100" s="406">
        <f t="shared" si="49"/>
        <v>57954.509286406057</v>
      </c>
      <c r="O100" s="407">
        <f t="shared" si="41"/>
        <v>58057.237219348768</v>
      </c>
      <c r="P100" s="58">
        <f t="shared" si="42"/>
        <v>4</v>
      </c>
    </row>
    <row r="101" spans="1:16">
      <c r="A101" s="426"/>
      <c r="B101" s="427">
        <f t="shared" si="43"/>
        <v>4</v>
      </c>
      <c r="C101" s="416">
        <f t="shared" si="44"/>
        <v>1</v>
      </c>
      <c r="D101" s="416" t="str">
        <f t="shared" si="37"/>
        <v>Mercury</v>
      </c>
      <c r="E101" s="417">
        <f t="shared" si="38"/>
        <v>2.25</v>
      </c>
      <c r="F101" s="428">
        <f t="shared" si="45"/>
        <v>61344.531073515333</v>
      </c>
      <c r="G101" s="429">
        <f t="shared" si="46"/>
        <v>62166.354537056992</v>
      </c>
      <c r="H101" s="417">
        <f>SUM($E$66:E101)</f>
        <v>92.166750000000008</v>
      </c>
      <c r="I101" s="426" t="s">
        <v>394</v>
      </c>
      <c r="J101" s="430">
        <f t="shared" si="47"/>
        <v>3</v>
      </c>
      <c r="K101" s="431">
        <f t="shared" si="48"/>
        <v>0.125</v>
      </c>
      <c r="L101" s="430" t="str">
        <f t="shared" si="39"/>
        <v>Mercury</v>
      </c>
      <c r="M101" s="408">
        <f t="shared" si="40"/>
        <v>0.28125</v>
      </c>
      <c r="N101" s="432">
        <f t="shared" si="49"/>
        <v>58057.237219348768</v>
      </c>
      <c r="O101" s="433">
        <f t="shared" si="41"/>
        <v>58159.965152291479</v>
      </c>
      <c r="P101" s="58">
        <f t="shared" si="42"/>
        <v>4</v>
      </c>
    </row>
    <row r="102" spans="1:16">
      <c r="A102" s="426"/>
      <c r="B102" s="427">
        <f t="shared" si="43"/>
        <v>5</v>
      </c>
      <c r="C102" s="416">
        <f t="shared" si="44"/>
        <v>1</v>
      </c>
      <c r="D102" s="416" t="str">
        <f t="shared" si="37"/>
        <v>Jupiter</v>
      </c>
      <c r="E102" s="417">
        <f t="shared" si="38"/>
        <v>3</v>
      </c>
      <c r="F102" s="428">
        <f t="shared" si="45"/>
        <v>62166.354537056992</v>
      </c>
      <c r="G102" s="429">
        <f t="shared" si="46"/>
        <v>63262.119155112538</v>
      </c>
      <c r="H102" s="417">
        <f>SUM($E$66:E102)</f>
        <v>95.166750000000008</v>
      </c>
      <c r="I102" s="413"/>
      <c r="J102" s="58">
        <f t="shared" si="47"/>
        <v>4</v>
      </c>
      <c r="K102" s="408">
        <f t="shared" si="48"/>
        <v>0.125</v>
      </c>
      <c r="L102" s="58" t="str">
        <f t="shared" si="39"/>
        <v>Mercury</v>
      </c>
      <c r="M102" s="408">
        <f t="shared" si="40"/>
        <v>0.28125</v>
      </c>
      <c r="N102" s="406">
        <f t="shared" si="49"/>
        <v>58159.965152291479</v>
      </c>
      <c r="O102" s="407">
        <f t="shared" si="41"/>
        <v>58262.69308523419</v>
      </c>
      <c r="P102" s="58">
        <f t="shared" si="42"/>
        <v>4</v>
      </c>
    </row>
    <row r="103" spans="1:16">
      <c r="A103" s="426"/>
      <c r="B103" s="427">
        <f t="shared" si="43"/>
        <v>6</v>
      </c>
      <c r="C103" s="416">
        <f t="shared" si="44"/>
        <v>1</v>
      </c>
      <c r="D103" s="416" t="str">
        <f t="shared" si="37"/>
        <v>Jupiter</v>
      </c>
      <c r="E103" s="417">
        <f t="shared" si="38"/>
        <v>3</v>
      </c>
      <c r="F103" s="428">
        <f t="shared" si="45"/>
        <v>63262.119155112538</v>
      </c>
      <c r="G103" s="429">
        <f t="shared" si="46"/>
        <v>64357.883773168083</v>
      </c>
      <c r="H103" s="417">
        <f>SUM($E$66:E103)</f>
        <v>98.166750000000008</v>
      </c>
      <c r="I103" s="426" t="s">
        <v>394</v>
      </c>
      <c r="J103" s="430">
        <f t="shared" si="47"/>
        <v>5</v>
      </c>
      <c r="K103" s="431">
        <f t="shared" si="48"/>
        <v>0.125</v>
      </c>
      <c r="L103" s="430" t="str">
        <f t="shared" si="39"/>
        <v>Jupiter</v>
      </c>
      <c r="M103" s="408">
        <f t="shared" si="40"/>
        <v>0.375</v>
      </c>
      <c r="N103" s="432">
        <f t="shared" si="49"/>
        <v>58262.69308523419</v>
      </c>
      <c r="O103" s="433">
        <f t="shared" si="41"/>
        <v>58399.663662491133</v>
      </c>
      <c r="P103" s="58">
        <f t="shared" si="42"/>
        <v>3</v>
      </c>
    </row>
    <row r="104" spans="1:16">
      <c r="A104" s="426"/>
      <c r="B104" s="427">
        <f t="shared" si="43"/>
        <v>7</v>
      </c>
      <c r="C104" s="416">
        <f t="shared" si="44"/>
        <v>1</v>
      </c>
      <c r="D104" s="416" t="str">
        <f t="shared" si="37"/>
        <v>Jupiter</v>
      </c>
      <c r="E104" s="417">
        <f t="shared" si="38"/>
        <v>3</v>
      </c>
      <c r="F104" s="428">
        <f t="shared" si="45"/>
        <v>64357.883773168083</v>
      </c>
      <c r="G104" s="429">
        <f t="shared" si="46"/>
        <v>65453.648391223629</v>
      </c>
      <c r="H104" s="417">
        <f>SUM($E$66:E104)</f>
        <v>101.16675000000001</v>
      </c>
      <c r="I104" s="413"/>
      <c r="J104" s="58">
        <f t="shared" si="47"/>
        <v>6</v>
      </c>
      <c r="K104" s="408">
        <f t="shared" si="48"/>
        <v>0.125</v>
      </c>
      <c r="L104" s="58" t="str">
        <f t="shared" si="39"/>
        <v>Jupiter</v>
      </c>
      <c r="M104" s="408">
        <f t="shared" si="40"/>
        <v>0.375</v>
      </c>
      <c r="N104" s="406">
        <f t="shared" si="49"/>
        <v>58399.663662491133</v>
      </c>
      <c r="O104" s="407">
        <f t="shared" si="41"/>
        <v>58536.634239748077</v>
      </c>
      <c r="P104" s="58">
        <f t="shared" si="42"/>
        <v>3</v>
      </c>
    </row>
    <row r="105" spans="1:16">
      <c r="A105" s="426"/>
      <c r="B105" s="427">
        <f t="shared" si="43"/>
        <v>8</v>
      </c>
      <c r="C105" s="416">
        <f t="shared" si="44"/>
        <v>1</v>
      </c>
      <c r="D105" s="416" t="str">
        <f t="shared" si="37"/>
        <v>Venus</v>
      </c>
      <c r="E105" s="417">
        <f t="shared" si="38"/>
        <v>2.25</v>
      </c>
      <c r="F105" s="428">
        <f t="shared" si="45"/>
        <v>65453.648391223629</v>
      </c>
      <c r="G105" s="429">
        <f t="shared" si="46"/>
        <v>66275.471854765288</v>
      </c>
      <c r="H105" s="417">
        <f>SUM($E$66:E105)</f>
        <v>103.41675000000001</v>
      </c>
      <c r="I105" s="426" t="s">
        <v>394</v>
      </c>
      <c r="J105" s="430">
        <f t="shared" si="47"/>
        <v>7</v>
      </c>
      <c r="K105" s="431">
        <f t="shared" si="48"/>
        <v>0.125</v>
      </c>
      <c r="L105" s="430" t="str">
        <f t="shared" si="39"/>
        <v>Jupiter</v>
      </c>
      <c r="M105" s="408">
        <f t="shared" si="40"/>
        <v>0.375</v>
      </c>
      <c r="N105" s="432">
        <f t="shared" si="49"/>
        <v>58536.634239748077</v>
      </c>
      <c r="O105" s="433">
        <f t="shared" si="41"/>
        <v>58673.60481700502</v>
      </c>
      <c r="P105" s="58">
        <f t="shared" si="42"/>
        <v>3</v>
      </c>
    </row>
    <row r="106" spans="1:16">
      <c r="A106" s="426"/>
      <c r="B106" s="427">
        <f t="shared" si="43"/>
        <v>9</v>
      </c>
      <c r="C106" s="416">
        <f t="shared" si="44"/>
        <v>1</v>
      </c>
      <c r="D106" s="416" t="str">
        <f t="shared" si="37"/>
        <v>Venus</v>
      </c>
      <c r="E106" s="417">
        <f t="shared" si="38"/>
        <v>2.25</v>
      </c>
      <c r="F106" s="428">
        <f t="shared" si="45"/>
        <v>66275.471854765288</v>
      </c>
      <c r="G106" s="429">
        <f t="shared" si="46"/>
        <v>67097.295318306948</v>
      </c>
      <c r="H106" s="417">
        <f>SUM($E$66:E106)</f>
        <v>105.66675000000001</v>
      </c>
      <c r="I106" s="413"/>
      <c r="J106" s="58">
        <f t="shared" si="47"/>
        <v>8</v>
      </c>
      <c r="K106" s="408">
        <f t="shared" si="48"/>
        <v>0.125</v>
      </c>
      <c r="L106" s="58" t="str">
        <f t="shared" si="39"/>
        <v>Venus</v>
      </c>
      <c r="M106" s="408">
        <f t="shared" si="40"/>
        <v>0.28125</v>
      </c>
      <c r="N106" s="406">
        <f t="shared" si="49"/>
        <v>58673.60481700502</v>
      </c>
      <c r="O106" s="407">
        <f t="shared" si="41"/>
        <v>58776.332749947731</v>
      </c>
      <c r="P106" s="58">
        <f t="shared" si="42"/>
        <v>4</v>
      </c>
    </row>
    <row r="107" spans="1:16">
      <c r="A107" s="426"/>
      <c r="B107" s="427">
        <f t="shared" si="43"/>
        <v>10</v>
      </c>
      <c r="C107" s="416">
        <f t="shared" si="44"/>
        <v>1</v>
      </c>
      <c r="D107" s="416" t="str">
        <f t="shared" si="37"/>
        <v>Venus</v>
      </c>
      <c r="E107" s="417">
        <f t="shared" si="38"/>
        <v>2.25</v>
      </c>
      <c r="F107" s="428">
        <f t="shared" si="45"/>
        <v>67097.295318306948</v>
      </c>
      <c r="G107" s="429">
        <f t="shared" si="46"/>
        <v>67919.118781848607</v>
      </c>
      <c r="H107" s="417">
        <f>SUM($E$66:E107)</f>
        <v>107.91675000000001</v>
      </c>
      <c r="I107" s="426" t="s">
        <v>394</v>
      </c>
      <c r="J107" s="430">
        <f t="shared" si="47"/>
        <v>9</v>
      </c>
      <c r="K107" s="431">
        <f t="shared" si="48"/>
        <v>0.125</v>
      </c>
      <c r="L107" s="430" t="str">
        <f t="shared" si="39"/>
        <v>Venus</v>
      </c>
      <c r="M107" s="408">
        <f t="shared" si="40"/>
        <v>0.28125</v>
      </c>
      <c r="N107" s="432">
        <f t="shared" si="49"/>
        <v>58776.332749947731</v>
      </c>
      <c r="O107" s="433">
        <f t="shared" si="41"/>
        <v>58879.060682890442</v>
      </c>
      <c r="P107" s="58">
        <f t="shared" si="42"/>
        <v>4</v>
      </c>
    </row>
    <row r="108" spans="1:16">
      <c r="A108" s="426"/>
      <c r="B108" s="427">
        <f t="shared" si="43"/>
        <v>11</v>
      </c>
      <c r="C108" s="416">
        <f t="shared" si="44"/>
        <v>1</v>
      </c>
      <c r="D108" s="416" t="str">
        <f t="shared" si="37"/>
        <v>Venus</v>
      </c>
      <c r="E108" s="417">
        <f t="shared" si="38"/>
        <v>2.25</v>
      </c>
      <c r="F108" s="428">
        <f t="shared" si="45"/>
        <v>67919.118781848607</v>
      </c>
      <c r="G108" s="429">
        <f t="shared" si="46"/>
        <v>68740.942245390266</v>
      </c>
      <c r="H108" s="417">
        <f>SUM($E$66:E108)</f>
        <v>110.16675000000001</v>
      </c>
      <c r="I108" s="413"/>
      <c r="J108" s="58">
        <f t="shared" si="47"/>
        <v>10</v>
      </c>
      <c r="K108" s="408">
        <f t="shared" si="48"/>
        <v>0.125</v>
      </c>
      <c r="L108" s="58" t="str">
        <f t="shared" si="39"/>
        <v>Venus</v>
      </c>
      <c r="M108" s="408">
        <f t="shared" si="40"/>
        <v>0.28125</v>
      </c>
      <c r="N108" s="406">
        <f t="shared" si="49"/>
        <v>58879.060682890442</v>
      </c>
      <c r="O108" s="407">
        <f t="shared" si="41"/>
        <v>58981.788615833153</v>
      </c>
      <c r="P108" s="58">
        <f t="shared" si="42"/>
        <v>4</v>
      </c>
    </row>
    <row r="109" spans="1:16">
      <c r="A109" s="426"/>
      <c r="B109" s="427">
        <f t="shared" si="43"/>
        <v>12</v>
      </c>
      <c r="C109" s="416">
        <f t="shared" si="44"/>
        <v>1</v>
      </c>
      <c r="D109" s="416" t="str">
        <f t="shared" si="37"/>
        <v>Saturn</v>
      </c>
      <c r="E109" s="417">
        <f t="shared" si="38"/>
        <v>3</v>
      </c>
      <c r="F109" s="428">
        <f t="shared" si="45"/>
        <v>68740.942245390266</v>
      </c>
      <c r="G109" s="429">
        <f t="shared" si="46"/>
        <v>69836.706863445812</v>
      </c>
      <c r="H109" s="417">
        <f>SUM($E$66:E109)</f>
        <v>113.16675000000001</v>
      </c>
      <c r="I109" s="426" t="s">
        <v>394</v>
      </c>
      <c r="J109" s="430">
        <f t="shared" si="47"/>
        <v>11</v>
      </c>
      <c r="K109" s="431">
        <f t="shared" si="48"/>
        <v>0.125</v>
      </c>
      <c r="L109" s="430" t="str">
        <f t="shared" si="39"/>
        <v>Venus</v>
      </c>
      <c r="M109" s="408">
        <f t="shared" si="40"/>
        <v>0.28125</v>
      </c>
      <c r="N109" s="432">
        <f t="shared" si="49"/>
        <v>58981.788615833153</v>
      </c>
      <c r="O109" s="433">
        <f t="shared" si="41"/>
        <v>59084.516548775864</v>
      </c>
      <c r="P109" s="58">
        <f t="shared" si="42"/>
        <v>4</v>
      </c>
    </row>
    <row r="110" spans="1:16">
      <c r="A110" s="426"/>
      <c r="B110" s="427">
        <f t="shared" si="43"/>
        <v>13</v>
      </c>
      <c r="C110" s="416">
        <f t="shared" si="44"/>
        <v>1</v>
      </c>
      <c r="D110" s="416" t="str">
        <f t="shared" si="37"/>
        <v>Saturn</v>
      </c>
      <c r="E110" s="417">
        <f t="shared" si="38"/>
        <v>3</v>
      </c>
      <c r="F110" s="428">
        <f t="shared" si="45"/>
        <v>69836.706863445812</v>
      </c>
      <c r="G110" s="429">
        <f t="shared" si="46"/>
        <v>70932.471481501358</v>
      </c>
      <c r="H110" s="417">
        <f>SUM($E$66:E110)</f>
        <v>116.16675000000001</v>
      </c>
      <c r="I110" s="413"/>
      <c r="J110" s="58">
        <f t="shared" si="47"/>
        <v>12</v>
      </c>
      <c r="K110" s="408">
        <f t="shared" si="48"/>
        <v>0.125</v>
      </c>
      <c r="L110" s="58" t="str">
        <f t="shared" si="39"/>
        <v>Saturn</v>
      </c>
      <c r="M110" s="408">
        <f t="shared" si="40"/>
        <v>0.375</v>
      </c>
      <c r="N110" s="406">
        <f t="shared" si="49"/>
        <v>59084.516548775864</v>
      </c>
      <c r="O110" s="407">
        <f t="shared" si="41"/>
        <v>59221.487126032807</v>
      </c>
      <c r="P110" s="58">
        <f t="shared" si="42"/>
        <v>3</v>
      </c>
    </row>
    <row r="111" spans="1:16">
      <c r="A111" s="426"/>
      <c r="B111" s="427">
        <f t="shared" si="43"/>
        <v>14</v>
      </c>
      <c r="C111" s="416">
        <f t="shared" si="44"/>
        <v>1</v>
      </c>
      <c r="D111" s="416" t="str">
        <f t="shared" si="37"/>
        <v>Saturn</v>
      </c>
      <c r="E111" s="417">
        <f t="shared" si="38"/>
        <v>3</v>
      </c>
      <c r="F111" s="428">
        <f t="shared" si="45"/>
        <v>70932.471481501358</v>
      </c>
      <c r="G111" s="429">
        <f t="shared" si="46"/>
        <v>72028.236099556903</v>
      </c>
      <c r="H111" s="417">
        <f>SUM($E$66:E111)</f>
        <v>119.16675000000001</v>
      </c>
      <c r="I111" s="426" t="s">
        <v>394</v>
      </c>
      <c r="J111" s="430">
        <f t="shared" si="47"/>
        <v>13</v>
      </c>
      <c r="K111" s="431">
        <f t="shared" si="48"/>
        <v>0.125</v>
      </c>
      <c r="L111" s="430" t="str">
        <f t="shared" si="39"/>
        <v>Saturn</v>
      </c>
      <c r="M111" s="408">
        <f t="shared" si="40"/>
        <v>0.375</v>
      </c>
      <c r="N111" s="432">
        <f t="shared" si="49"/>
        <v>59221.487126032807</v>
      </c>
      <c r="O111" s="433">
        <f t="shared" si="41"/>
        <v>59358.45770328975</v>
      </c>
      <c r="P111" s="58">
        <f t="shared" si="42"/>
        <v>3</v>
      </c>
    </row>
    <row r="112" spans="1:16">
      <c r="A112" s="426"/>
      <c r="B112" s="427">
        <f t="shared" si="43"/>
        <v>15</v>
      </c>
      <c r="C112" s="416">
        <f t="shared" si="44"/>
        <v>1</v>
      </c>
      <c r="D112" s="416" t="str">
        <f t="shared" si="37"/>
        <v>Rahu</v>
      </c>
      <c r="E112" s="417">
        <f t="shared" si="38"/>
        <v>2.25</v>
      </c>
      <c r="F112" s="428">
        <f t="shared" si="45"/>
        <v>72028.236099556903</v>
      </c>
      <c r="G112" s="429">
        <f t="shared" si="46"/>
        <v>72850.059563098563</v>
      </c>
      <c r="H112" s="417">
        <f>SUM($E$66:E112)</f>
        <v>121.41675000000001</v>
      </c>
      <c r="I112" s="413"/>
      <c r="J112" s="58">
        <f t="shared" si="47"/>
        <v>14</v>
      </c>
      <c r="K112" s="408">
        <f t="shared" si="48"/>
        <v>0.125</v>
      </c>
      <c r="L112" s="58" t="str">
        <f t="shared" si="39"/>
        <v>Saturn</v>
      </c>
      <c r="M112" s="408">
        <f t="shared" si="40"/>
        <v>0.375</v>
      </c>
      <c r="N112" s="406">
        <f t="shared" si="49"/>
        <v>59358.45770328975</v>
      </c>
      <c r="O112" s="407">
        <f t="shared" si="41"/>
        <v>59495.428280546694</v>
      </c>
      <c r="P112" s="58">
        <f t="shared" si="42"/>
        <v>3</v>
      </c>
    </row>
    <row r="113" spans="1:16">
      <c r="A113" s="426"/>
      <c r="B113" s="427">
        <f t="shared" si="43"/>
        <v>16</v>
      </c>
      <c r="C113" s="416">
        <f t="shared" si="44"/>
        <v>1</v>
      </c>
      <c r="D113" s="416" t="str">
        <f t="shared" si="37"/>
        <v>Rahu</v>
      </c>
      <c r="E113" s="417">
        <f t="shared" si="38"/>
        <v>2.25</v>
      </c>
      <c r="F113" s="428">
        <f t="shared" si="45"/>
        <v>72850.059563098563</v>
      </c>
      <c r="G113" s="429">
        <f t="shared" si="46"/>
        <v>73671.883026640222</v>
      </c>
      <c r="H113" s="417">
        <f>SUM($E$66:E113)</f>
        <v>123.66675000000001</v>
      </c>
      <c r="I113" s="426" t="s">
        <v>394</v>
      </c>
      <c r="J113" s="430">
        <f t="shared" si="47"/>
        <v>15</v>
      </c>
      <c r="K113" s="431">
        <f t="shared" si="48"/>
        <v>0.125</v>
      </c>
      <c r="L113" s="430" t="str">
        <f t="shared" si="39"/>
        <v>Rahu</v>
      </c>
      <c r="M113" s="408">
        <f t="shared" si="40"/>
        <v>0.28125</v>
      </c>
      <c r="N113" s="432">
        <f t="shared" si="49"/>
        <v>59495.428280546694</v>
      </c>
      <c r="O113" s="433">
        <f t="shared" si="41"/>
        <v>59598.156213489405</v>
      </c>
      <c r="P113" s="58">
        <f t="shared" si="42"/>
        <v>4</v>
      </c>
    </row>
    <row r="114" spans="1:16">
      <c r="A114" s="426"/>
      <c r="B114" s="427">
        <f t="shared" si="43"/>
        <v>17</v>
      </c>
      <c r="C114" s="416">
        <f t="shared" si="44"/>
        <v>1</v>
      </c>
      <c r="D114" s="416" t="str">
        <f t="shared" si="37"/>
        <v>Rahu</v>
      </c>
      <c r="E114" s="417">
        <f t="shared" si="38"/>
        <v>2.25</v>
      </c>
      <c r="F114" s="428">
        <f t="shared" si="45"/>
        <v>73671.883026640222</v>
      </c>
      <c r="G114" s="429">
        <f t="shared" si="46"/>
        <v>74493.706490181881</v>
      </c>
      <c r="H114" s="417">
        <f>SUM($E$66:E114)</f>
        <v>125.91675000000001</v>
      </c>
      <c r="I114" s="413"/>
      <c r="J114" s="58">
        <f t="shared" si="47"/>
        <v>16</v>
      </c>
      <c r="K114" s="408">
        <f t="shared" si="48"/>
        <v>0.125</v>
      </c>
      <c r="L114" s="58" t="str">
        <f t="shared" si="39"/>
        <v>Rahu</v>
      </c>
      <c r="M114" s="408">
        <f t="shared" si="40"/>
        <v>0.28125</v>
      </c>
      <c r="N114" s="406">
        <f t="shared" si="49"/>
        <v>59598.156213489405</v>
      </c>
      <c r="O114" s="407">
        <f t="shared" si="41"/>
        <v>59700.884146432116</v>
      </c>
      <c r="P114" s="58">
        <f t="shared" si="42"/>
        <v>4</v>
      </c>
    </row>
    <row r="115" spans="1:16">
      <c r="A115" s="426"/>
      <c r="B115" s="427">
        <f t="shared" si="43"/>
        <v>18</v>
      </c>
      <c r="C115" s="416">
        <f t="shared" si="44"/>
        <v>1</v>
      </c>
      <c r="D115" s="416" t="str">
        <f t="shared" si="37"/>
        <v>Rahu</v>
      </c>
      <c r="E115" s="417">
        <f t="shared" si="38"/>
        <v>2.25</v>
      </c>
      <c r="F115" s="428">
        <f t="shared" si="45"/>
        <v>74493.706490181881</v>
      </c>
      <c r="G115" s="429">
        <f t="shared" si="46"/>
        <v>75315.529953723541</v>
      </c>
      <c r="H115" s="417">
        <f>SUM($E$66:E115)</f>
        <v>128.16675000000001</v>
      </c>
      <c r="I115" s="426" t="s">
        <v>394</v>
      </c>
      <c r="J115" s="430">
        <f t="shared" si="47"/>
        <v>17</v>
      </c>
      <c r="K115" s="431">
        <f t="shared" si="48"/>
        <v>0.125</v>
      </c>
      <c r="L115" s="430" t="str">
        <f t="shared" si="39"/>
        <v>Rahu</v>
      </c>
      <c r="M115" s="408">
        <f t="shared" si="40"/>
        <v>0.28125</v>
      </c>
      <c r="N115" s="432">
        <f t="shared" si="49"/>
        <v>59700.884146432116</v>
      </c>
      <c r="O115" s="433">
        <f t="shared" si="41"/>
        <v>59803.612079374827</v>
      </c>
      <c r="P115" s="58">
        <f t="shared" si="42"/>
        <v>4</v>
      </c>
    </row>
    <row r="116" spans="1:16">
      <c r="A116" s="426"/>
      <c r="B116" s="427">
        <f t="shared" si="43"/>
        <v>19</v>
      </c>
      <c r="C116" s="416">
        <f t="shared" si="44"/>
        <v>1</v>
      </c>
      <c r="D116" s="416" t="str">
        <f t="shared" si="37"/>
        <v>Sun</v>
      </c>
      <c r="E116" s="417">
        <f t="shared" si="38"/>
        <v>3</v>
      </c>
      <c r="F116" s="428">
        <f t="shared" si="45"/>
        <v>75315.529953723541</v>
      </c>
      <c r="G116" s="429">
        <f t="shared" si="46"/>
        <v>76411.294571779086</v>
      </c>
      <c r="H116" s="417">
        <f>SUM($E$66:E116)</f>
        <v>131.16675000000001</v>
      </c>
      <c r="I116" s="413"/>
      <c r="J116" s="58">
        <f t="shared" si="47"/>
        <v>18</v>
      </c>
      <c r="K116" s="408">
        <f t="shared" si="48"/>
        <v>0.125</v>
      </c>
      <c r="L116" s="58" t="str">
        <f t="shared" si="39"/>
        <v>Rahu</v>
      </c>
      <c r="M116" s="408">
        <f t="shared" si="40"/>
        <v>0.28125</v>
      </c>
      <c r="N116" s="406">
        <f t="shared" si="49"/>
        <v>59803.612079374827</v>
      </c>
      <c r="O116" s="407">
        <f t="shared" si="41"/>
        <v>59906.340012317538</v>
      </c>
      <c r="P116" s="58">
        <f t="shared" si="42"/>
        <v>4</v>
      </c>
    </row>
    <row r="117" spans="1:16">
      <c r="A117" s="426"/>
      <c r="B117" s="427">
        <f t="shared" si="43"/>
        <v>20</v>
      </c>
      <c r="C117" s="416">
        <f t="shared" si="44"/>
        <v>1</v>
      </c>
      <c r="D117" s="416" t="str">
        <f t="shared" si="37"/>
        <v>Sun</v>
      </c>
      <c r="E117" s="417">
        <f t="shared" si="38"/>
        <v>3</v>
      </c>
      <c r="F117" s="428">
        <f t="shared" si="45"/>
        <v>76411.294571779086</v>
      </c>
      <c r="G117" s="429">
        <f t="shared" si="46"/>
        <v>77507.059189834632</v>
      </c>
      <c r="H117" s="417">
        <f>SUM($E$66:E117)</f>
        <v>134.16675000000001</v>
      </c>
      <c r="I117" s="426" t="s">
        <v>394</v>
      </c>
      <c r="J117" s="430">
        <f t="shared" si="47"/>
        <v>19</v>
      </c>
      <c r="K117" s="431">
        <f t="shared" si="48"/>
        <v>0.125</v>
      </c>
      <c r="L117" s="430" t="str">
        <f t="shared" si="39"/>
        <v>Sun</v>
      </c>
      <c r="M117" s="408">
        <f t="shared" si="40"/>
        <v>0.375</v>
      </c>
      <c r="N117" s="432">
        <f t="shared" si="49"/>
        <v>59906.340012317538</v>
      </c>
      <c r="O117" s="433">
        <f t="shared" si="41"/>
        <v>60043.310589574481</v>
      </c>
      <c r="P117" s="58">
        <f t="shared" si="42"/>
        <v>3</v>
      </c>
    </row>
    <row r="118" spans="1:16">
      <c r="A118" s="426"/>
      <c r="B118" s="427">
        <f t="shared" si="43"/>
        <v>21</v>
      </c>
      <c r="C118" s="416">
        <f t="shared" si="44"/>
        <v>1</v>
      </c>
      <c r="D118" s="416" t="str">
        <f t="shared" si="37"/>
        <v>Sun</v>
      </c>
      <c r="E118" s="417">
        <f t="shared" si="38"/>
        <v>3</v>
      </c>
      <c r="F118" s="428">
        <f t="shared" si="45"/>
        <v>77507.059189834632</v>
      </c>
      <c r="G118" s="429">
        <f t="shared" si="46"/>
        <v>78602.823807890178</v>
      </c>
      <c r="H118" s="417">
        <f>SUM($E$66:E118)</f>
        <v>137.16675000000001</v>
      </c>
      <c r="I118" s="413"/>
      <c r="J118" s="58">
        <f t="shared" si="47"/>
        <v>20</v>
      </c>
      <c r="K118" s="408">
        <f t="shared" si="48"/>
        <v>0.125</v>
      </c>
      <c r="L118" s="58" t="str">
        <f t="shared" si="39"/>
        <v>Sun</v>
      </c>
      <c r="M118" s="408">
        <f t="shared" si="40"/>
        <v>0.375</v>
      </c>
      <c r="N118" s="406">
        <f t="shared" si="49"/>
        <v>60043.310589574481</v>
      </c>
      <c r="O118" s="407">
        <f t="shared" si="41"/>
        <v>60180.281166831424</v>
      </c>
      <c r="P118" s="58">
        <f t="shared" si="42"/>
        <v>3</v>
      </c>
    </row>
    <row r="119" spans="1:16">
      <c r="A119" s="426"/>
      <c r="B119" s="427">
        <f t="shared" si="43"/>
        <v>22</v>
      </c>
      <c r="C119" s="416">
        <f t="shared" si="44"/>
        <v>1</v>
      </c>
      <c r="D119" s="416" t="str">
        <f t="shared" si="37"/>
        <v>Moon</v>
      </c>
      <c r="E119" s="417">
        <f t="shared" si="38"/>
        <v>2.25</v>
      </c>
      <c r="F119" s="428">
        <f t="shared" si="45"/>
        <v>78602.823807890178</v>
      </c>
      <c r="G119" s="429">
        <f t="shared" si="46"/>
        <v>79424.647271431837</v>
      </c>
      <c r="H119" s="417">
        <f>SUM($E$66:E119)</f>
        <v>139.41675000000001</v>
      </c>
      <c r="I119" s="426" t="s">
        <v>394</v>
      </c>
      <c r="J119" s="430">
        <f t="shared" si="47"/>
        <v>21</v>
      </c>
      <c r="K119" s="431">
        <f t="shared" si="48"/>
        <v>0.125</v>
      </c>
      <c r="L119" s="430" t="str">
        <f t="shared" si="39"/>
        <v>Sun</v>
      </c>
      <c r="M119" s="408">
        <f t="shared" si="40"/>
        <v>0.375</v>
      </c>
      <c r="N119" s="432">
        <f t="shared" si="49"/>
        <v>60180.281166831424</v>
      </c>
      <c r="O119" s="433">
        <f t="shared" si="41"/>
        <v>60317.251744088368</v>
      </c>
      <c r="P119" s="58">
        <f t="shared" si="42"/>
        <v>3</v>
      </c>
    </row>
    <row r="120" spans="1:16">
      <c r="A120" s="426"/>
      <c r="B120" s="427">
        <f t="shared" si="43"/>
        <v>23</v>
      </c>
      <c r="C120" s="416">
        <f t="shared" si="44"/>
        <v>1</v>
      </c>
      <c r="D120" s="416" t="str">
        <f t="shared" si="37"/>
        <v>Moon</v>
      </c>
      <c r="E120" s="417">
        <f t="shared" si="38"/>
        <v>2.25</v>
      </c>
      <c r="F120" s="428">
        <f t="shared" si="45"/>
        <v>79424.647271431837</v>
      </c>
      <c r="G120" s="429">
        <f t="shared" si="46"/>
        <v>80246.470734973496</v>
      </c>
      <c r="H120" s="417">
        <f>SUM($E$66:E120)</f>
        <v>141.66675000000001</v>
      </c>
      <c r="I120" s="413"/>
      <c r="J120" s="58">
        <f t="shared" si="47"/>
        <v>22</v>
      </c>
      <c r="K120" s="408">
        <f t="shared" si="48"/>
        <v>0.125</v>
      </c>
      <c r="L120" s="58" t="str">
        <f t="shared" si="39"/>
        <v>Moon</v>
      </c>
      <c r="M120" s="408">
        <f t="shared" si="40"/>
        <v>0.28125</v>
      </c>
      <c r="N120" s="406">
        <f t="shared" si="49"/>
        <v>60317.251744088368</v>
      </c>
      <c r="O120" s="407">
        <f t="shared" si="41"/>
        <v>60419.979677031079</v>
      </c>
      <c r="P120" s="58">
        <f t="shared" si="42"/>
        <v>4</v>
      </c>
    </row>
    <row r="121" spans="1:16">
      <c r="A121" s="426"/>
      <c r="B121" s="427">
        <f t="shared" si="43"/>
        <v>24</v>
      </c>
      <c r="C121" s="416">
        <f t="shared" si="44"/>
        <v>1</v>
      </c>
      <c r="D121" s="416" t="str">
        <f t="shared" si="37"/>
        <v>Moon</v>
      </c>
      <c r="E121" s="417">
        <f t="shared" si="38"/>
        <v>2.25</v>
      </c>
      <c r="F121" s="428">
        <f t="shared" si="45"/>
        <v>80246.470734973496</v>
      </c>
      <c r="G121" s="429">
        <f t="shared" si="46"/>
        <v>81068.294198515156</v>
      </c>
      <c r="H121" s="417">
        <f>SUM($E$66:E121)</f>
        <v>143.91675000000001</v>
      </c>
      <c r="I121" s="426" t="s">
        <v>394</v>
      </c>
      <c r="J121" s="430">
        <f t="shared" si="47"/>
        <v>23</v>
      </c>
      <c r="K121" s="431">
        <f t="shared" si="48"/>
        <v>0.125</v>
      </c>
      <c r="L121" s="430" t="str">
        <f t="shared" si="39"/>
        <v>Moon</v>
      </c>
      <c r="M121" s="408">
        <f t="shared" si="40"/>
        <v>0.28125</v>
      </c>
      <c r="N121" s="432">
        <f t="shared" si="49"/>
        <v>60419.979677031079</v>
      </c>
      <c r="O121" s="433">
        <f t="shared" si="41"/>
        <v>60522.70760997379</v>
      </c>
      <c r="P121" s="58">
        <f t="shared" si="42"/>
        <v>4</v>
      </c>
    </row>
    <row r="122" spans="1:16">
      <c r="A122" s="426"/>
      <c r="B122" s="427">
        <f t="shared" si="43"/>
        <v>25</v>
      </c>
      <c r="C122" s="416">
        <f t="shared" si="44"/>
        <v>1</v>
      </c>
      <c r="D122" s="416" t="str">
        <f t="shared" si="37"/>
        <v>Moon</v>
      </c>
      <c r="E122" s="417">
        <f t="shared" si="38"/>
        <v>2.25</v>
      </c>
      <c r="F122" s="428">
        <f t="shared" si="45"/>
        <v>81068.294198515156</v>
      </c>
      <c r="G122" s="429">
        <f t="shared" si="46"/>
        <v>81890.117662056815</v>
      </c>
      <c r="H122" s="417">
        <f>SUM($E$66:E122)</f>
        <v>146.16675000000001</v>
      </c>
      <c r="I122" s="413"/>
      <c r="J122" s="58">
        <f t="shared" si="47"/>
        <v>24</v>
      </c>
      <c r="K122" s="408">
        <f t="shared" si="48"/>
        <v>0.125</v>
      </c>
      <c r="L122" s="58" t="str">
        <f t="shared" si="39"/>
        <v>Moon</v>
      </c>
      <c r="M122" s="408">
        <f t="shared" si="40"/>
        <v>0.28125</v>
      </c>
      <c r="N122" s="406">
        <f t="shared" si="49"/>
        <v>60522.70760997379</v>
      </c>
      <c r="O122" s="407">
        <f t="shared" si="41"/>
        <v>60625.435542916501</v>
      </c>
      <c r="P122" s="58">
        <f t="shared" si="42"/>
        <v>4</v>
      </c>
    </row>
    <row r="123" spans="1:16">
      <c r="A123" s="426"/>
      <c r="B123" s="427">
        <f t="shared" si="43"/>
        <v>26</v>
      </c>
      <c r="C123" s="416">
        <f t="shared" si="44"/>
        <v>1</v>
      </c>
      <c r="D123" s="416" t="str">
        <f t="shared" si="37"/>
        <v>Mars</v>
      </c>
      <c r="E123" s="417">
        <f t="shared" si="38"/>
        <v>3</v>
      </c>
      <c r="F123" s="428">
        <f t="shared" si="45"/>
        <v>81890.117662056815</v>
      </c>
      <c r="G123" s="429">
        <f t="shared" si="46"/>
        <v>82985.882280112361</v>
      </c>
      <c r="H123" s="417">
        <f>SUM($E$66:E123)</f>
        <v>149.16675000000001</v>
      </c>
      <c r="I123" s="426" t="s">
        <v>394</v>
      </c>
      <c r="J123" s="430">
        <f t="shared" si="47"/>
        <v>25</v>
      </c>
      <c r="K123" s="431">
        <f t="shared" si="48"/>
        <v>0.125</v>
      </c>
      <c r="L123" s="430" t="str">
        <f t="shared" si="39"/>
        <v>Moon</v>
      </c>
      <c r="M123" s="408">
        <f t="shared" si="40"/>
        <v>0.28125</v>
      </c>
      <c r="N123" s="432">
        <f t="shared" si="49"/>
        <v>60625.435542916501</v>
      </c>
      <c r="O123" s="433">
        <f t="shared" si="41"/>
        <v>60728.163475859212</v>
      </c>
      <c r="P123" s="58">
        <f t="shared" si="42"/>
        <v>4</v>
      </c>
    </row>
    <row r="124" spans="1:16">
      <c r="A124" s="426"/>
      <c r="B124" s="427">
        <f t="shared" si="43"/>
        <v>27</v>
      </c>
      <c r="C124" s="416">
        <f t="shared" si="44"/>
        <v>1</v>
      </c>
      <c r="D124" s="416" t="str">
        <f t="shared" si="37"/>
        <v>Mars</v>
      </c>
      <c r="E124" s="417">
        <f t="shared" si="38"/>
        <v>3</v>
      </c>
      <c r="F124" s="428">
        <f t="shared" si="45"/>
        <v>82985.882280112361</v>
      </c>
      <c r="G124" s="429">
        <f t="shared" si="46"/>
        <v>84081.646898167906</v>
      </c>
      <c r="H124" s="417">
        <f>SUM($E$66:E124)</f>
        <v>152.16675000000001</v>
      </c>
      <c r="I124" s="413"/>
      <c r="J124" s="58">
        <f t="shared" si="47"/>
        <v>26</v>
      </c>
      <c r="K124" s="408">
        <f t="shared" si="48"/>
        <v>0.125</v>
      </c>
      <c r="L124" s="58" t="str">
        <f t="shared" si="39"/>
        <v>Mars</v>
      </c>
      <c r="M124" s="408">
        <f t="shared" si="40"/>
        <v>0.375</v>
      </c>
      <c r="N124" s="406">
        <f t="shared" si="49"/>
        <v>60728.163475859212</v>
      </c>
      <c r="O124" s="407">
        <f t="shared" si="41"/>
        <v>60865.134053116155</v>
      </c>
      <c r="P124" s="58">
        <f t="shared" si="42"/>
        <v>3</v>
      </c>
    </row>
    <row r="125" spans="1:16">
      <c r="A125" s="426"/>
      <c r="B125" s="427">
        <f t="shared" si="43"/>
        <v>28</v>
      </c>
      <c r="C125" s="416">
        <f t="shared" si="44"/>
        <v>1</v>
      </c>
      <c r="D125" s="416" t="str">
        <f t="shared" si="37"/>
        <v>Mars</v>
      </c>
      <c r="E125" s="417">
        <f t="shared" si="38"/>
        <v>3</v>
      </c>
      <c r="F125" s="428">
        <f t="shared" si="45"/>
        <v>84081.646898167906</v>
      </c>
      <c r="G125" s="429">
        <f t="shared" si="46"/>
        <v>85177.411516223452</v>
      </c>
      <c r="H125" s="417">
        <f>SUM($E$66:E125)</f>
        <v>155.16675000000001</v>
      </c>
      <c r="I125" s="426" t="s">
        <v>394</v>
      </c>
      <c r="J125" s="430">
        <f t="shared" si="47"/>
        <v>27</v>
      </c>
      <c r="K125" s="431">
        <f t="shared" si="48"/>
        <v>0.125</v>
      </c>
      <c r="L125" s="430" t="str">
        <f t="shared" si="39"/>
        <v>Mars</v>
      </c>
      <c r="M125" s="408">
        <f t="shared" si="40"/>
        <v>0.375</v>
      </c>
      <c r="N125" s="432">
        <f t="shared" si="49"/>
        <v>60865.134053116155</v>
      </c>
      <c r="O125" s="433">
        <f t="shared" si="41"/>
        <v>61002.104630373098</v>
      </c>
      <c r="P125" s="58">
        <f t="shared" si="42"/>
        <v>3</v>
      </c>
    </row>
    <row r="126" spans="1:16">
      <c r="A126" s="426"/>
      <c r="B126" s="427">
        <f t="shared" si="43"/>
        <v>1</v>
      </c>
      <c r="C126" s="416">
        <f t="shared" si="44"/>
        <v>1</v>
      </c>
      <c r="D126" s="416" t="str">
        <f t="shared" si="37"/>
        <v>Mercury</v>
      </c>
      <c r="E126" s="417">
        <f t="shared" si="38"/>
        <v>2.25</v>
      </c>
      <c r="F126" s="428">
        <f t="shared" si="45"/>
        <v>85177.411516223452</v>
      </c>
      <c r="G126" s="429">
        <f t="shared" si="46"/>
        <v>85999.234979765111</v>
      </c>
      <c r="H126" s="417">
        <f>SUM($E$66:E126)</f>
        <v>157.41675000000001</v>
      </c>
      <c r="I126" s="413"/>
      <c r="J126" s="58">
        <f t="shared" si="47"/>
        <v>28</v>
      </c>
      <c r="K126" s="408">
        <f t="shared" si="48"/>
        <v>0.125</v>
      </c>
      <c r="L126" s="58" t="str">
        <f t="shared" si="39"/>
        <v>Mars</v>
      </c>
      <c r="M126" s="408">
        <f t="shared" si="40"/>
        <v>0.375</v>
      </c>
      <c r="N126" s="406">
        <f t="shared" si="49"/>
        <v>61002.104630373098</v>
      </c>
      <c r="O126" s="407">
        <f t="shared" si="41"/>
        <v>61139.075207630041</v>
      </c>
      <c r="P126" s="58">
        <f t="shared" si="42"/>
        <v>3</v>
      </c>
    </row>
    <row r="127" spans="1:16">
      <c r="A127" s="426"/>
      <c r="B127" s="427">
        <f t="shared" si="43"/>
        <v>2</v>
      </c>
      <c r="C127" s="416">
        <f t="shared" si="44"/>
        <v>1</v>
      </c>
      <c r="D127" s="416" t="str">
        <f t="shared" si="37"/>
        <v>Mercury</v>
      </c>
      <c r="E127" s="417">
        <f t="shared" si="38"/>
        <v>2.25</v>
      </c>
      <c r="F127" s="428">
        <f t="shared" si="45"/>
        <v>85999.234979765111</v>
      </c>
      <c r="G127" s="429">
        <f t="shared" si="46"/>
        <v>86821.058443306771</v>
      </c>
      <c r="H127" s="417">
        <f>SUM($E$66:E127)</f>
        <v>159.66675000000001</v>
      </c>
      <c r="I127" s="426" t="s">
        <v>394</v>
      </c>
      <c r="J127" s="430">
        <f t="shared" si="47"/>
        <v>1</v>
      </c>
      <c r="K127" s="431">
        <f t="shared" si="48"/>
        <v>0.125</v>
      </c>
      <c r="L127" s="430" t="str">
        <f t="shared" si="39"/>
        <v>Mercury</v>
      </c>
      <c r="M127" s="408">
        <f t="shared" si="40"/>
        <v>0.28125</v>
      </c>
      <c r="N127" s="432">
        <f t="shared" si="49"/>
        <v>61139.075207630041</v>
      </c>
      <c r="O127" s="433">
        <f t="shared" si="41"/>
        <v>61241.803140572752</v>
      </c>
      <c r="P127" s="58">
        <f t="shared" si="42"/>
        <v>3</v>
      </c>
    </row>
    <row r="128" spans="1:16">
      <c r="A128" s="426"/>
      <c r="B128" s="427">
        <f t="shared" si="43"/>
        <v>3</v>
      </c>
      <c r="C128" s="416">
        <f t="shared" si="44"/>
        <v>1</v>
      </c>
      <c r="D128" s="416" t="str">
        <f t="shared" si="37"/>
        <v>Mercury</v>
      </c>
      <c r="E128" s="417">
        <f t="shared" si="38"/>
        <v>2.25</v>
      </c>
      <c r="F128" s="428">
        <f t="shared" si="45"/>
        <v>86821.058443306771</v>
      </c>
      <c r="G128" s="429">
        <f t="shared" si="46"/>
        <v>87642.88190684843</v>
      </c>
      <c r="H128" s="417">
        <f>SUM($E$66:E128)</f>
        <v>161.91675000000001</v>
      </c>
      <c r="I128" s="413"/>
      <c r="J128" s="58">
        <f t="shared" si="47"/>
        <v>2</v>
      </c>
      <c r="K128" s="408">
        <f t="shared" si="48"/>
        <v>0.125</v>
      </c>
      <c r="L128" s="58" t="str">
        <f t="shared" si="39"/>
        <v>Mercury</v>
      </c>
      <c r="M128" s="408">
        <f t="shared" si="40"/>
        <v>0.28125</v>
      </c>
      <c r="N128" s="406">
        <f t="shared" si="49"/>
        <v>61241.803140572752</v>
      </c>
      <c r="O128" s="407">
        <f t="shared" si="41"/>
        <v>61344.531073515464</v>
      </c>
      <c r="P128" s="58">
        <f t="shared" si="42"/>
        <v>3</v>
      </c>
    </row>
    <row r="129" spans="9:16">
      <c r="I129" s="426" t="s">
        <v>394</v>
      </c>
      <c r="J129" s="430">
        <f t="shared" si="47"/>
        <v>3</v>
      </c>
      <c r="K129" s="431">
        <f t="shared" si="48"/>
        <v>0.125</v>
      </c>
      <c r="L129" s="430" t="str">
        <f t="shared" si="39"/>
        <v>Mercury</v>
      </c>
      <c r="M129" s="408">
        <f t="shared" si="40"/>
        <v>0.28125</v>
      </c>
      <c r="N129" s="432">
        <f t="shared" si="49"/>
        <v>61344.531073515464</v>
      </c>
      <c r="O129" s="433">
        <f t="shared" si="41"/>
        <v>61447.259006458175</v>
      </c>
      <c r="P129" s="58">
        <f t="shared" si="42"/>
        <v>3</v>
      </c>
    </row>
    <row r="130" spans="9:16">
      <c r="I130" s="413"/>
      <c r="K130" s="408"/>
      <c r="M130" s="408"/>
      <c r="N130" s="406"/>
      <c r="O130" s="407"/>
    </row>
    <row r="131" spans="9:16">
      <c r="I131" s="426"/>
      <c r="J131" s="430"/>
      <c r="K131" s="431"/>
      <c r="L131" s="430"/>
      <c r="M131" s="408"/>
      <c r="N131" s="432"/>
      <c r="O131" s="433"/>
    </row>
  </sheetData>
  <mergeCells count="16">
    <mergeCell ref="T28:U28"/>
    <mergeCell ref="V28:W28"/>
    <mergeCell ref="X28:Y28"/>
    <mergeCell ref="Z28:AA28"/>
    <mergeCell ref="C63:D63"/>
    <mergeCell ref="J28:K28"/>
    <mergeCell ref="L28:M28"/>
    <mergeCell ref="N28:O28"/>
    <mergeCell ref="P28:Q28"/>
    <mergeCell ref="R28:S28"/>
    <mergeCell ref="D26:I26"/>
    <mergeCell ref="D27:E27"/>
    <mergeCell ref="F27:G27"/>
    <mergeCell ref="D28:E28"/>
    <mergeCell ref="F28:G28"/>
    <mergeCell ref="H28:I28"/>
  </mergeCells>
  <conditionalFormatting sqref="D66:D128">
    <cfRule type="cellIs" dxfId="18" priority="2" operator="equal">
      <formula>A2</formula>
    </cfRule>
  </conditionalFormatting>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49"/>
  <sheetViews>
    <sheetView zoomScaleNormal="100" workbookViewId="0">
      <selection activeCell="R1" sqref="R1"/>
    </sheetView>
  </sheetViews>
  <sheetFormatPr defaultColWidth="9.140625" defaultRowHeight="15"/>
  <cols>
    <col min="1" max="1" width="6.5703125" style="435" customWidth="1"/>
    <col min="2" max="2" width="7.42578125" style="435" customWidth="1"/>
    <col min="3" max="7" width="8.140625" style="435" customWidth="1"/>
    <col min="8" max="11" width="4.85546875" style="435" customWidth="1"/>
    <col min="12" max="12" width="5.140625" style="435" customWidth="1"/>
    <col min="13" max="14" width="11.28515625" style="435" customWidth="1"/>
    <col min="15" max="24" width="10.42578125" style="435" customWidth="1"/>
    <col min="25" max="1024" width="9.140625" style="435"/>
  </cols>
  <sheetData>
    <row r="1" spans="1:25">
      <c r="A1" s="436" t="s">
        <v>682</v>
      </c>
      <c r="B1" s="436" t="s">
        <v>447</v>
      </c>
      <c r="C1" s="436" t="s">
        <v>548</v>
      </c>
      <c r="D1" s="436" t="s">
        <v>184</v>
      </c>
      <c r="E1" s="436" t="s">
        <v>683</v>
      </c>
      <c r="F1" s="436" t="s">
        <v>684</v>
      </c>
      <c r="G1" s="436" t="s">
        <v>685</v>
      </c>
      <c r="H1" s="436" t="s">
        <v>686</v>
      </c>
      <c r="M1" s="435" t="s">
        <v>98</v>
      </c>
      <c r="N1" s="435" t="s">
        <v>687</v>
      </c>
      <c r="O1" s="435">
        <v>4</v>
      </c>
      <c r="Q1" s="435" t="s">
        <v>688</v>
      </c>
      <c r="R1" s="435">
        <v>52.87</v>
      </c>
    </row>
    <row r="2" spans="1:25">
      <c r="A2" s="437">
        <v>1</v>
      </c>
      <c r="B2" s="437" t="s">
        <v>689</v>
      </c>
      <c r="C2" s="437">
        <v>7</v>
      </c>
      <c r="D2" s="436" t="s">
        <v>690</v>
      </c>
      <c r="E2" s="436" t="s">
        <v>691</v>
      </c>
      <c r="F2" s="436">
        <f>SUM(C2:C10)</f>
        <v>100</v>
      </c>
      <c r="G2" s="436" t="s">
        <v>692</v>
      </c>
      <c r="H2" s="437" t="s">
        <v>692</v>
      </c>
      <c r="N2" s="435" t="s">
        <v>184</v>
      </c>
      <c r="O2" s="435">
        <v>4</v>
      </c>
    </row>
    <row r="3" spans="1:25">
      <c r="A3" s="437">
        <v>2</v>
      </c>
      <c r="B3" s="437" t="s">
        <v>693</v>
      </c>
      <c r="C3" s="437">
        <v>16</v>
      </c>
      <c r="D3" s="436" t="s">
        <v>564</v>
      </c>
      <c r="E3" s="436"/>
      <c r="F3" s="436"/>
      <c r="G3" s="436"/>
      <c r="H3" s="437" t="s">
        <v>692</v>
      </c>
      <c r="I3" s="438" t="s">
        <v>694</v>
      </c>
      <c r="J3" s="438" t="s">
        <v>689</v>
      </c>
      <c r="K3" s="438" t="s">
        <v>693</v>
      </c>
      <c r="L3" s="438" t="s">
        <v>695</v>
      </c>
      <c r="N3" s="435" t="s">
        <v>696</v>
      </c>
      <c r="O3" s="435" t="str">
        <f>IF(INT(MOD((O1-1)/3,2)),"Apasavya","Savya")</f>
        <v>Apasavya</v>
      </c>
      <c r="P3" s="435">
        <v>-1</v>
      </c>
    </row>
    <row r="4" spans="1:25">
      <c r="A4" s="437">
        <v>3</v>
      </c>
      <c r="B4" s="437" t="s">
        <v>695</v>
      </c>
      <c r="C4" s="437">
        <v>9</v>
      </c>
      <c r="D4" s="436" t="s">
        <v>697</v>
      </c>
      <c r="E4" s="436" t="s">
        <v>693</v>
      </c>
      <c r="F4" s="436">
        <f>SUM(C20:C28)</f>
        <v>83</v>
      </c>
      <c r="G4" s="436" t="s">
        <v>698</v>
      </c>
      <c r="H4" s="437" t="s">
        <v>692</v>
      </c>
      <c r="I4" s="438" t="s">
        <v>699</v>
      </c>
      <c r="J4" s="1338" t="s">
        <v>700</v>
      </c>
      <c r="K4" s="1338"/>
      <c r="L4" s="438" t="s">
        <v>701</v>
      </c>
      <c r="N4" s="435" t="s">
        <v>702</v>
      </c>
      <c r="O4" s="435">
        <f>MOD(O1-1,2)+1</f>
        <v>2</v>
      </c>
    </row>
    <row r="5" spans="1:25">
      <c r="A5" s="437">
        <v>4</v>
      </c>
      <c r="B5" s="437" t="s">
        <v>703</v>
      </c>
      <c r="C5" s="437">
        <v>21</v>
      </c>
      <c r="D5" s="436" t="s">
        <v>704</v>
      </c>
      <c r="E5" s="436" t="s">
        <v>705</v>
      </c>
      <c r="F5" s="436">
        <f>SUM(C5:C13)</f>
        <v>86</v>
      </c>
      <c r="G5" s="436" t="s">
        <v>692</v>
      </c>
      <c r="H5" s="437" t="s">
        <v>692</v>
      </c>
      <c r="I5" s="438" t="s">
        <v>706</v>
      </c>
      <c r="J5" s="1338"/>
      <c r="K5" s="1338"/>
      <c r="L5" s="438" t="s">
        <v>703</v>
      </c>
      <c r="N5" s="435" t="s">
        <v>707</v>
      </c>
      <c r="O5" s="435">
        <v>21</v>
      </c>
    </row>
    <row r="6" spans="1:25">
      <c r="A6" s="437">
        <v>5</v>
      </c>
      <c r="B6" s="437" t="s">
        <v>701</v>
      </c>
      <c r="C6" s="437">
        <v>5</v>
      </c>
      <c r="D6" s="436" t="s">
        <v>564</v>
      </c>
      <c r="E6" s="436"/>
      <c r="F6" s="436"/>
      <c r="G6" s="436"/>
      <c r="H6" s="437" t="s">
        <v>692</v>
      </c>
      <c r="I6" s="438" t="s">
        <v>708</v>
      </c>
      <c r="J6" s="438" t="s">
        <v>709</v>
      </c>
      <c r="K6" s="438" t="s">
        <v>710</v>
      </c>
      <c r="L6" s="438" t="s">
        <v>711</v>
      </c>
      <c r="N6" s="435" t="s">
        <v>712</v>
      </c>
      <c r="O6" s="439">
        <v>26133</v>
      </c>
      <c r="P6" s="439"/>
      <c r="Q6" s="439"/>
      <c r="R6" s="439"/>
    </row>
    <row r="7" spans="1:25">
      <c r="A7" s="437">
        <v>6</v>
      </c>
      <c r="B7" s="437" t="s">
        <v>711</v>
      </c>
      <c r="C7" s="437">
        <v>9</v>
      </c>
      <c r="D7" s="436" t="s">
        <v>713</v>
      </c>
      <c r="E7" s="436" t="s">
        <v>714</v>
      </c>
      <c r="F7" s="436">
        <f>SUM(C23:C31)</f>
        <v>85</v>
      </c>
      <c r="G7" s="436" t="s">
        <v>698</v>
      </c>
      <c r="H7" s="437" t="s">
        <v>692</v>
      </c>
      <c r="I7" s="436"/>
      <c r="J7" s="436"/>
      <c r="K7" s="436"/>
      <c r="L7" s="436"/>
      <c r="N7" s="435" t="s">
        <v>715</v>
      </c>
      <c r="O7" s="435">
        <f>MOD(R1,3.33333333)</f>
        <v>2.8700000499999994</v>
      </c>
    </row>
    <row r="8" spans="1:25">
      <c r="A8" s="437">
        <v>7</v>
      </c>
      <c r="B8" s="437" t="s">
        <v>710</v>
      </c>
      <c r="C8" s="437">
        <v>16</v>
      </c>
      <c r="D8" s="436" t="s">
        <v>716</v>
      </c>
      <c r="E8" s="436" t="s">
        <v>710</v>
      </c>
      <c r="F8" s="436">
        <f>SUM(C8:C16)</f>
        <v>83</v>
      </c>
      <c r="G8" s="436" t="s">
        <v>692</v>
      </c>
      <c r="H8" s="437" t="s">
        <v>692</v>
      </c>
      <c r="I8" s="440" t="s">
        <v>694</v>
      </c>
      <c r="J8" s="440" t="s">
        <v>689</v>
      </c>
      <c r="K8" s="440" t="s">
        <v>693</v>
      </c>
      <c r="L8" s="440" t="s">
        <v>695</v>
      </c>
      <c r="N8" s="435" t="s">
        <v>717</v>
      </c>
      <c r="O8" s="435">
        <f>(200-O7*60)/200</f>
        <v>0.13899998500000024</v>
      </c>
    </row>
    <row r="9" spans="1:25">
      <c r="A9" s="437">
        <v>8</v>
      </c>
      <c r="B9" s="437" t="s">
        <v>709</v>
      </c>
      <c r="C9" s="437">
        <v>7</v>
      </c>
      <c r="D9" s="436" t="s">
        <v>564</v>
      </c>
      <c r="E9" s="436"/>
      <c r="F9" s="436"/>
      <c r="G9" s="436"/>
      <c r="H9" s="437" t="s">
        <v>692</v>
      </c>
      <c r="I9" s="440" t="s">
        <v>699</v>
      </c>
      <c r="J9" s="1339" t="s">
        <v>718</v>
      </c>
      <c r="K9" s="1339"/>
      <c r="L9" s="440" t="s">
        <v>703</v>
      </c>
      <c r="N9" s="435" t="s">
        <v>719</v>
      </c>
      <c r="O9" s="435">
        <f>MOD(O7,3.33333333/9)</f>
        <v>0.27740745999999933</v>
      </c>
      <c r="P9" s="435">
        <f>3.3333/9</f>
        <v>0.37036666666666668</v>
      </c>
      <c r="Q9" s="435" t="s">
        <v>720</v>
      </c>
    </row>
    <row r="10" spans="1:25">
      <c r="A10" s="437">
        <v>9</v>
      </c>
      <c r="B10" s="437" t="s">
        <v>708</v>
      </c>
      <c r="C10" s="437">
        <v>10</v>
      </c>
      <c r="D10" s="436" t="s">
        <v>721</v>
      </c>
      <c r="E10" s="436" t="s">
        <v>701</v>
      </c>
      <c r="F10" s="436">
        <f>SUM(C26:C34)</f>
        <v>100</v>
      </c>
      <c r="G10" s="436" t="s">
        <v>698</v>
      </c>
      <c r="H10" s="437" t="s">
        <v>692</v>
      </c>
      <c r="I10" s="440" t="s">
        <v>706</v>
      </c>
      <c r="J10" s="1339"/>
      <c r="K10" s="1339"/>
      <c r="L10" s="440" t="s">
        <v>701</v>
      </c>
      <c r="N10" s="435" t="s">
        <v>722</v>
      </c>
      <c r="O10" s="435">
        <f>O9/(3.33333333/9)</f>
        <v>0.74900014274899829</v>
      </c>
    </row>
    <row r="11" spans="1:25">
      <c r="A11" s="437">
        <v>10</v>
      </c>
      <c r="B11" s="437" t="s">
        <v>706</v>
      </c>
      <c r="C11" s="437">
        <v>4</v>
      </c>
      <c r="D11" s="436" t="s">
        <v>723</v>
      </c>
      <c r="E11" s="436" t="s">
        <v>724</v>
      </c>
      <c r="F11" s="436">
        <f>SUM(C11:C19)</f>
        <v>85</v>
      </c>
      <c r="G11" s="436" t="s">
        <v>692</v>
      </c>
      <c r="H11" s="437" t="s">
        <v>692</v>
      </c>
      <c r="I11" s="440" t="s">
        <v>708</v>
      </c>
      <c r="J11" s="440" t="s">
        <v>709</v>
      </c>
      <c r="K11" s="440" t="s">
        <v>710</v>
      </c>
      <c r="L11" s="440" t="s">
        <v>711</v>
      </c>
      <c r="N11" s="435" t="s">
        <v>725</v>
      </c>
      <c r="O11" s="435">
        <f>O10*L14</f>
        <v>7.4900014274899824</v>
      </c>
      <c r="P11" s="435" t="s">
        <v>726</v>
      </c>
    </row>
    <row r="12" spans="1:25">
      <c r="A12" s="437">
        <v>11</v>
      </c>
      <c r="B12" s="437" t="s">
        <v>699</v>
      </c>
      <c r="C12" s="437">
        <v>4</v>
      </c>
      <c r="D12" s="436" t="s">
        <v>564</v>
      </c>
      <c r="E12" s="436"/>
      <c r="F12" s="436"/>
      <c r="G12" s="436"/>
      <c r="H12" s="437" t="s">
        <v>692</v>
      </c>
    </row>
    <row r="13" spans="1:25">
      <c r="A13" s="437">
        <v>12</v>
      </c>
      <c r="B13" s="437" t="s">
        <v>694</v>
      </c>
      <c r="C13" s="437">
        <v>10</v>
      </c>
      <c r="D13" s="436" t="s">
        <v>727</v>
      </c>
      <c r="E13" s="436" t="s">
        <v>689</v>
      </c>
      <c r="F13" s="436">
        <f>SUM(C29:C37)</f>
        <v>86</v>
      </c>
      <c r="G13" s="436" t="s">
        <v>698</v>
      </c>
      <c r="H13" s="437" t="s">
        <v>692</v>
      </c>
      <c r="J13" s="435" t="s">
        <v>682</v>
      </c>
      <c r="K13" s="435" t="s">
        <v>447</v>
      </c>
      <c r="L13" s="435" t="s">
        <v>728</v>
      </c>
      <c r="M13" s="435" t="s">
        <v>729</v>
      </c>
      <c r="N13" s="435" t="s">
        <v>730</v>
      </c>
      <c r="O13" s="439" t="s">
        <v>731</v>
      </c>
      <c r="P13" s="435">
        <v>1</v>
      </c>
      <c r="Q13" s="435">
        <v>2</v>
      </c>
      <c r="R13" s="435">
        <v>3</v>
      </c>
      <c r="S13" s="435">
        <v>4</v>
      </c>
      <c r="T13" s="435">
        <v>5</v>
      </c>
      <c r="U13" s="435">
        <v>6</v>
      </c>
      <c r="V13" s="435">
        <v>7</v>
      </c>
      <c r="W13" s="435">
        <v>8</v>
      </c>
      <c r="X13" s="435">
        <v>9</v>
      </c>
    </row>
    <row r="14" spans="1:25">
      <c r="A14" s="441">
        <v>13</v>
      </c>
      <c r="B14" s="441" t="s">
        <v>709</v>
      </c>
      <c r="C14" s="441">
        <v>7</v>
      </c>
      <c r="D14" s="436" t="s">
        <v>732</v>
      </c>
      <c r="E14" s="436" t="s">
        <v>701</v>
      </c>
      <c r="F14" s="436">
        <f>SUM(C14:C22)</f>
        <v>100</v>
      </c>
      <c r="G14" s="436" t="s">
        <v>692</v>
      </c>
      <c r="H14" s="441" t="s">
        <v>698</v>
      </c>
      <c r="J14" s="435">
        <f>O5</f>
        <v>21</v>
      </c>
      <c r="K14" s="435" t="str">
        <f>VLOOKUP(J14,Kalachakra,2)</f>
        <v>Pi</v>
      </c>
      <c r="L14" s="435">
        <f>VLOOKUP(J14,Kalachakra,3)</f>
        <v>10</v>
      </c>
      <c r="M14" s="435" t="str">
        <f>VLOOKUP(J14,Kalachakra,7)</f>
        <v>A</v>
      </c>
      <c r="N14" s="439">
        <f>O14-365.2425*L14</f>
        <v>22988.262020213628</v>
      </c>
      <c r="O14" s="439">
        <f>O6+L14*365.2425*O8</f>
        <v>26640.687020213627</v>
      </c>
      <c r="P14" s="435" t="str">
        <f>VLOOKUP(MOD((MATCH($K14,KC[Dasa],0)-1)*9+P$13-1,24)+1,KC[],2)</f>
        <v>Cn</v>
      </c>
      <c r="Q14" s="435" t="str">
        <f>VLOOKUP(MOD((MATCH($K14,KC[Dasa],0)-1)*9+Q$13-1,24)+1,KC[],2)</f>
        <v>Le</v>
      </c>
      <c r="R14" s="435" t="str">
        <f>VLOOKUP(MOD((MATCH($K14,KC[Dasa],0)-1)*9+R$13-1,24)+1,KC[],2)</f>
        <v>Vi</v>
      </c>
      <c r="S14" s="435" t="str">
        <f>VLOOKUP(MOD((MATCH($K14,KC[Dasa],0)-1)*9+S$13-1,24)+1,KC[],2)</f>
        <v>Li</v>
      </c>
      <c r="T14" s="435" t="str">
        <f>VLOOKUP(MOD((MATCH($K14,KC[Dasa],0)-1)*9+T$13-1,24)+1,KC[],2)</f>
        <v>Sc</v>
      </c>
      <c r="U14" s="435" t="str">
        <f>VLOOKUP(MOD((MATCH($K14,KC[Dasa],0)-1)*9+U$13-1,24)+1,KC[],2)</f>
        <v>Sg</v>
      </c>
      <c r="V14" s="435" t="str">
        <f>VLOOKUP(MOD((MATCH($K14,KC[Dasa],0)-1)*9+V$13-1,24)+1,KC[],2)</f>
        <v>Cp</v>
      </c>
      <c r="W14" s="435" t="str">
        <f>VLOOKUP(MOD((MATCH($K14,KC[Dasa],0)-1)*9+W$13-1,24)+1,KC[],2)</f>
        <v>Aq</v>
      </c>
      <c r="X14" s="435" t="str">
        <f>VLOOKUP(MOD((MATCH($K14,KC[Dasa],0)-1)*9+X$13-1,24)+1,KC[],2)</f>
        <v>Pi</v>
      </c>
    </row>
    <row r="15" spans="1:25">
      <c r="A15" s="441">
        <v>14</v>
      </c>
      <c r="B15" s="441" t="s">
        <v>710</v>
      </c>
      <c r="C15" s="441">
        <v>16</v>
      </c>
      <c r="D15" s="436" t="s">
        <v>564</v>
      </c>
      <c r="E15" s="436"/>
      <c r="F15" s="436"/>
      <c r="G15" s="436"/>
      <c r="H15" s="441" t="s">
        <v>698</v>
      </c>
      <c r="P15" s="439">
        <f>$N14+365.2425*VLOOKUP(MOD((MATCH($K14,KC[Dasa],0)-1)*9+P$13-1,24)+1,KC[],3)*$L14/$L$31</f>
        <v>23755.271270213627</v>
      </c>
      <c r="Q15" s="439">
        <f>P15+365.2425*VLOOKUP(MOD((MATCH($K14,KC[Dasa],0)-1)*9+Q$13-1,24)+1,KC[],3)*$L14/$L$31</f>
        <v>23937.892520213627</v>
      </c>
      <c r="R15" s="439">
        <f>Q15+365.2425*VLOOKUP(MOD((MATCH($K14,KC[Dasa],0)-1)*9+R$13-1,24)+1,KC[],3)*$L14/$L$31</f>
        <v>24266.610770213629</v>
      </c>
      <c r="S15" s="439">
        <f>R15+365.2425*VLOOKUP(MOD((MATCH($K14,KC[Dasa],0)-1)*9+S$13-1,24)+1,KC[],3)*$L14/$L$31</f>
        <v>24850.998770213628</v>
      </c>
      <c r="T15" s="439">
        <f>S15+365.2425*VLOOKUP(MOD((MATCH($K14,KC[Dasa],0)-1)*9+T$13-1,24)+1,KC[],3)*$L14/$L$31</f>
        <v>25106.668520213629</v>
      </c>
      <c r="U15" s="439">
        <f>T15+365.2425*VLOOKUP(MOD((MATCH($K14,KC[Dasa],0)-1)*9+U$13-1,24)+1,KC[],3)*$L14/$L$31</f>
        <v>25471.911020213629</v>
      </c>
      <c r="V15" s="439">
        <f>U15+365.2425*VLOOKUP(MOD((MATCH($K14,KC[Dasa],0)-1)*9+V$13-1,24)+1,KC[],3)*$L14/$L$31</f>
        <v>25618.008020213631</v>
      </c>
      <c r="W15" s="439">
        <f>V15+365.2425*VLOOKUP(MOD((MATCH($K14,KC[Dasa],0)-1)*9+W$13-1,24)+1,KC[],3)*$L14/$L$31</f>
        <v>25764.105020213632</v>
      </c>
      <c r="X15" s="439">
        <f>W15+365.2425*VLOOKUP(MOD((MATCH($K14,KC[Dasa],0)-1)*9+X$13-1,24)+1,KC[],3)*$L14/$L$31</f>
        <v>26129.347520213632</v>
      </c>
      <c r="Y15" s="439"/>
    </row>
    <row r="16" spans="1:25">
      <c r="A16" s="441">
        <v>15</v>
      </c>
      <c r="B16" s="441" t="s">
        <v>711</v>
      </c>
      <c r="C16" s="441">
        <v>9</v>
      </c>
      <c r="D16" s="436" t="s">
        <v>733</v>
      </c>
      <c r="E16" s="436" t="s">
        <v>734</v>
      </c>
      <c r="F16" s="436">
        <f>SUM(C32:C40)</f>
        <v>83</v>
      </c>
      <c r="G16" s="436" t="s">
        <v>698</v>
      </c>
      <c r="H16" s="441" t="s">
        <v>698</v>
      </c>
      <c r="J16" s="435">
        <f>J14+$P$3</f>
        <v>20</v>
      </c>
      <c r="K16" s="435" t="str">
        <f>VLOOKUP(J16,Kalachakra,2)</f>
        <v>Ar</v>
      </c>
      <c r="L16" s="435">
        <f>VLOOKUP(J16,Kalachakra,3)</f>
        <v>7</v>
      </c>
      <c r="M16" s="435">
        <f>VLOOKUP(J16,Kalachakra,7)</f>
        <v>0</v>
      </c>
      <c r="N16" s="439">
        <f>O16-365.2425*L16</f>
        <v>26640.687020213627</v>
      </c>
      <c r="O16" s="439">
        <f>O14+L16*365.2425</f>
        <v>29197.384520213629</v>
      </c>
      <c r="P16" s="435" t="str">
        <f>VLOOKUP(MOD((MATCH($K16,KC[Dasa],0)-1)*9+P$13-1,24)+1,KC[],2)</f>
        <v>Ar</v>
      </c>
      <c r="Q16" s="435" t="str">
        <f>VLOOKUP(MOD((MATCH($K16,KC[Dasa],0)-1)*9+Q$13-1,24)+1,KC[],2)</f>
        <v>Ta</v>
      </c>
      <c r="R16" s="435" t="str">
        <f>VLOOKUP(MOD((MATCH($K16,KC[Dasa],0)-1)*9+R$13-1,24)+1,KC[],2)</f>
        <v>Ge</v>
      </c>
      <c r="S16" s="435" t="str">
        <f>VLOOKUP(MOD((MATCH($K16,KC[Dasa],0)-1)*9+S$13-1,24)+1,KC[],2)</f>
        <v>Cn</v>
      </c>
      <c r="T16" s="435" t="str">
        <f>VLOOKUP(MOD((MATCH($K16,KC[Dasa],0)-1)*9+T$13-1,24)+1,KC[],2)</f>
        <v>Le</v>
      </c>
      <c r="U16" s="435" t="str">
        <f>VLOOKUP(MOD((MATCH($K16,KC[Dasa],0)-1)*9+U$13-1,24)+1,KC[],2)</f>
        <v>Vi</v>
      </c>
      <c r="V16" s="435" t="str">
        <f>VLOOKUP(MOD((MATCH($K16,KC[Dasa],0)-1)*9+V$13-1,24)+1,KC[],2)</f>
        <v>Li</v>
      </c>
      <c r="W16" s="435" t="str">
        <f>VLOOKUP(MOD((MATCH($K16,KC[Dasa],0)-1)*9+W$13-1,24)+1,KC[],2)</f>
        <v>Sc</v>
      </c>
      <c r="X16" s="435" t="str">
        <f>VLOOKUP(MOD((MATCH($K16,KC[Dasa],0)-1)*9+X$13-1,24)+1,KC[],2)</f>
        <v>Sg</v>
      </c>
    </row>
    <row r="17" spans="1:24">
      <c r="A17" s="441">
        <v>16</v>
      </c>
      <c r="B17" s="441" t="s">
        <v>703</v>
      </c>
      <c r="C17" s="441">
        <v>21</v>
      </c>
      <c r="D17" s="436" t="s">
        <v>735</v>
      </c>
      <c r="E17" s="436" t="s">
        <v>709</v>
      </c>
      <c r="F17" s="436">
        <f>SUM(C17:C25)</f>
        <v>86</v>
      </c>
      <c r="G17" s="436" t="s">
        <v>692</v>
      </c>
      <c r="H17" s="441" t="s">
        <v>698</v>
      </c>
      <c r="R17" s="439"/>
      <c r="S17" s="439"/>
      <c r="T17" s="439"/>
      <c r="U17" s="439"/>
      <c r="V17" s="439"/>
      <c r="W17" s="439"/>
    </row>
    <row r="18" spans="1:24">
      <c r="A18" s="441">
        <v>17</v>
      </c>
      <c r="B18" s="441" t="s">
        <v>701</v>
      </c>
      <c r="C18" s="441">
        <v>5</v>
      </c>
      <c r="D18" s="436" t="s">
        <v>564</v>
      </c>
      <c r="E18" s="436"/>
      <c r="F18" s="436"/>
      <c r="G18" s="436"/>
      <c r="H18" s="441" t="s">
        <v>698</v>
      </c>
      <c r="J18" s="435">
        <f>J16+$P$3</f>
        <v>19</v>
      </c>
      <c r="K18" s="435" t="str">
        <f>VLOOKUP(J18,Kalachakra,2)</f>
        <v>Ta</v>
      </c>
      <c r="L18" s="435">
        <f>VLOOKUP(J18,Kalachakra,3)</f>
        <v>16</v>
      </c>
      <c r="M18" s="435" t="str">
        <f>VLOOKUP(J18,Kalachakra,7)</f>
        <v>S</v>
      </c>
      <c r="N18" s="439">
        <f>O18-365.2425*L18</f>
        <v>29197.384520213625</v>
      </c>
      <c r="O18" s="439">
        <f>O16+L18*365.2425</f>
        <v>35041.264520213626</v>
      </c>
      <c r="P18" s="435" t="str">
        <f>VLOOKUP(MOD((MATCH($K18,KC[Dasa],0)-1)*9+P$13-1,24)+1,KC[],2)</f>
        <v>Cp</v>
      </c>
      <c r="Q18" s="435" t="str">
        <f>VLOOKUP(MOD((MATCH($K18,KC[Dasa],0)-1)*9+Q$13-1,24)+1,KC[],2)</f>
        <v>Aq</v>
      </c>
      <c r="R18" s="435" t="str">
        <f>VLOOKUP(MOD((MATCH($K18,KC[Dasa],0)-1)*9+R$13-1,24)+1,KC[],2)</f>
        <v>Pi</v>
      </c>
      <c r="S18" s="435" t="str">
        <f>VLOOKUP(MOD((MATCH($K18,KC[Dasa],0)-1)*9+S$13-1,24)+1,KC[],2)</f>
        <v>Sc</v>
      </c>
      <c r="T18" s="435" t="str">
        <f>VLOOKUP(MOD((MATCH($K18,KC[Dasa],0)-1)*9+T$13-1,24)+1,KC[],2)</f>
        <v>Li</v>
      </c>
      <c r="U18" s="435" t="str">
        <f>VLOOKUP(MOD((MATCH($K18,KC[Dasa],0)-1)*9+U$13-1,24)+1,KC[],2)</f>
        <v>Vi</v>
      </c>
      <c r="V18" s="435" t="str">
        <f>VLOOKUP(MOD((MATCH($K18,KC[Dasa],0)-1)*9+V$13-1,24)+1,KC[],2)</f>
        <v>Cn</v>
      </c>
      <c r="W18" s="435" t="str">
        <f>VLOOKUP(MOD((MATCH($K18,KC[Dasa],0)-1)*9+W$13-1,24)+1,KC[],2)</f>
        <v>Le</v>
      </c>
      <c r="X18" s="435" t="str">
        <f>VLOOKUP(MOD((MATCH($K18,KC[Dasa],0)-1)*9+X$13-1,24)+1,KC[],2)</f>
        <v>Ge</v>
      </c>
    </row>
    <row r="19" spans="1:24">
      <c r="A19" s="441">
        <v>18</v>
      </c>
      <c r="B19" s="441" t="s">
        <v>695</v>
      </c>
      <c r="C19" s="441">
        <v>9</v>
      </c>
      <c r="D19" s="436" t="s">
        <v>736</v>
      </c>
      <c r="E19" s="436" t="s">
        <v>695</v>
      </c>
      <c r="F19" s="436">
        <f>SUM(C35:C43)</f>
        <v>85</v>
      </c>
      <c r="G19" s="436" t="s">
        <v>698</v>
      </c>
      <c r="H19" s="441" t="s">
        <v>698</v>
      </c>
    </row>
    <row r="20" spans="1:24">
      <c r="A20" s="441">
        <v>19</v>
      </c>
      <c r="B20" s="441" t="s">
        <v>693</v>
      </c>
      <c r="C20" s="441">
        <v>16</v>
      </c>
      <c r="D20" s="436" t="s">
        <v>737</v>
      </c>
      <c r="E20" s="436" t="s">
        <v>738</v>
      </c>
      <c r="F20" s="436">
        <f>SUM(C20:C28)</f>
        <v>83</v>
      </c>
      <c r="G20" s="436" t="s">
        <v>692</v>
      </c>
      <c r="H20" s="441" t="s">
        <v>698</v>
      </c>
      <c r="J20" s="435">
        <f>J18+$P$3</f>
        <v>18</v>
      </c>
      <c r="K20" s="435" t="str">
        <f>VLOOKUP(J20,Kalachakra,2)</f>
        <v>Ge</v>
      </c>
      <c r="L20" s="435">
        <f>VLOOKUP(J20,Kalachakra,3)</f>
        <v>9</v>
      </c>
      <c r="M20" s="435" t="str">
        <f>VLOOKUP(J20,Kalachakra,7)</f>
        <v>A</v>
      </c>
      <c r="N20" s="439">
        <f>O20-365.2425*L20</f>
        <v>35041.264520213626</v>
      </c>
      <c r="O20" s="439">
        <f>O18+L20*365.2425</f>
        <v>38328.447020213629</v>
      </c>
    </row>
    <row r="21" spans="1:24">
      <c r="A21" s="441">
        <v>20</v>
      </c>
      <c r="B21" s="441" t="s">
        <v>689</v>
      </c>
      <c r="C21" s="441">
        <v>7</v>
      </c>
      <c r="D21" s="436" t="s">
        <v>564</v>
      </c>
      <c r="E21" s="436"/>
      <c r="F21" s="436"/>
      <c r="G21" s="436"/>
      <c r="H21" s="441" t="s">
        <v>698</v>
      </c>
    </row>
    <row r="22" spans="1:24">
      <c r="A22" s="441">
        <v>21</v>
      </c>
      <c r="B22" s="441" t="s">
        <v>694</v>
      </c>
      <c r="C22" s="441">
        <v>10</v>
      </c>
      <c r="D22" s="436" t="s">
        <v>739</v>
      </c>
      <c r="E22" s="436" t="s">
        <v>740</v>
      </c>
      <c r="F22" s="436">
        <f>SUM(C38:C46)</f>
        <v>100</v>
      </c>
      <c r="G22" s="436" t="s">
        <v>698</v>
      </c>
      <c r="H22" s="441" t="s">
        <v>698</v>
      </c>
      <c r="J22" s="435">
        <f>J20+$P$3</f>
        <v>17</v>
      </c>
      <c r="K22" s="435" t="str">
        <f>VLOOKUP(J22,Kalachakra,2)</f>
        <v>Le</v>
      </c>
      <c r="L22" s="435">
        <f>VLOOKUP(J22,Kalachakra,3)</f>
        <v>5</v>
      </c>
      <c r="M22" s="435">
        <f>VLOOKUP(J22,Kalachakra,7)</f>
        <v>0</v>
      </c>
      <c r="N22" s="439">
        <f>O22-365.2425*L22</f>
        <v>38328.447020213629</v>
      </c>
      <c r="O22" s="439">
        <f>O20+L22*365.2425</f>
        <v>40154.65952021363</v>
      </c>
    </row>
    <row r="23" spans="1:24">
      <c r="A23" s="441">
        <v>22</v>
      </c>
      <c r="B23" s="441" t="s">
        <v>699</v>
      </c>
      <c r="C23" s="441">
        <v>4</v>
      </c>
      <c r="D23" s="436" t="s">
        <v>741</v>
      </c>
      <c r="E23" s="436" t="s">
        <v>711</v>
      </c>
      <c r="F23" s="436">
        <f>SUM(C23:C31)</f>
        <v>85</v>
      </c>
      <c r="G23" s="436" t="s">
        <v>692</v>
      </c>
      <c r="H23" s="441" t="s">
        <v>698</v>
      </c>
    </row>
    <row r="24" spans="1:24">
      <c r="A24" s="441">
        <v>23</v>
      </c>
      <c r="B24" s="441" t="s">
        <v>706</v>
      </c>
      <c r="C24" s="441">
        <v>4</v>
      </c>
      <c r="D24" s="436" t="s">
        <v>564</v>
      </c>
      <c r="E24" s="436"/>
      <c r="F24" s="436"/>
      <c r="G24" s="436"/>
      <c r="H24" s="441" t="s">
        <v>698</v>
      </c>
      <c r="J24" s="435">
        <f>J22+$P$3</f>
        <v>16</v>
      </c>
      <c r="K24" s="435" t="str">
        <f>VLOOKUP(J24,Kalachakra,2)</f>
        <v>Cn</v>
      </c>
      <c r="L24" s="435">
        <f>VLOOKUP(J24,Kalachakra,3)</f>
        <v>21</v>
      </c>
      <c r="M24" s="435" t="str">
        <f>VLOOKUP(J24,Kalachakra,7)</f>
        <v>S</v>
      </c>
      <c r="N24" s="439">
        <f>O24-365.2425*L24</f>
        <v>40154.65952021363</v>
      </c>
      <c r="O24" s="439">
        <f>O22+L24*365.2425</f>
        <v>47824.752020213629</v>
      </c>
      <c r="Q24" s="439"/>
    </row>
    <row r="25" spans="1:24">
      <c r="A25" s="441">
        <v>24</v>
      </c>
      <c r="B25" s="441" t="s">
        <v>708</v>
      </c>
      <c r="C25" s="441">
        <v>10</v>
      </c>
      <c r="D25" s="436" t="s">
        <v>742</v>
      </c>
      <c r="E25" s="436" t="s">
        <v>743</v>
      </c>
      <c r="F25" s="436">
        <f>SUM(C41:C49)</f>
        <v>86</v>
      </c>
      <c r="G25" s="436" t="s">
        <v>698</v>
      </c>
      <c r="H25" s="441" t="s">
        <v>698</v>
      </c>
    </row>
    <row r="26" spans="1:24">
      <c r="A26" s="442">
        <v>25</v>
      </c>
      <c r="B26" s="442" t="s">
        <v>689</v>
      </c>
      <c r="C26" s="442">
        <v>7</v>
      </c>
      <c r="D26" s="442" t="s">
        <v>690</v>
      </c>
      <c r="E26" s="442" t="s">
        <v>691</v>
      </c>
      <c r="F26" s="442">
        <f>SUM(C26:C34)</f>
        <v>100</v>
      </c>
      <c r="G26" s="442" t="s">
        <v>692</v>
      </c>
      <c r="H26" s="442" t="s">
        <v>692</v>
      </c>
      <c r="J26" s="435">
        <f>J24+$P$3</f>
        <v>15</v>
      </c>
      <c r="K26" s="435" t="str">
        <f>VLOOKUP(J26,Kalachakra,2)</f>
        <v>Vi</v>
      </c>
      <c r="L26" s="435">
        <f>VLOOKUP(J26,Kalachakra,3)</f>
        <v>9</v>
      </c>
      <c r="M26" s="435" t="str">
        <f>VLOOKUP(J26,Kalachakra,7)</f>
        <v>A</v>
      </c>
      <c r="N26" s="439">
        <f>O26-365.2425*L26</f>
        <v>47824.752020213629</v>
      </c>
      <c r="O26" s="439">
        <f>O24+L26*365.2425</f>
        <v>51111.934520213632</v>
      </c>
    </row>
    <row r="27" spans="1:24">
      <c r="A27" s="442">
        <v>26</v>
      </c>
      <c r="B27" s="442" t="s">
        <v>693</v>
      </c>
      <c r="C27" s="442">
        <v>16</v>
      </c>
      <c r="D27" s="442" t="s">
        <v>564</v>
      </c>
      <c r="E27" s="442"/>
      <c r="F27" s="442"/>
      <c r="G27" s="442"/>
      <c r="H27" s="442" t="s">
        <v>692</v>
      </c>
    </row>
    <row r="28" spans="1:24">
      <c r="A28" s="442">
        <v>27</v>
      </c>
      <c r="B28" s="442" t="s">
        <v>695</v>
      </c>
      <c r="C28" s="442">
        <v>9</v>
      </c>
      <c r="D28" s="442" t="s">
        <v>697</v>
      </c>
      <c r="E28" s="442" t="s">
        <v>693</v>
      </c>
      <c r="F28" s="442">
        <f>SUM(C28:C36)</f>
        <v>85</v>
      </c>
      <c r="G28" s="442" t="s">
        <v>698</v>
      </c>
      <c r="H28" s="442" t="s">
        <v>692</v>
      </c>
      <c r="J28" s="435">
        <f>J26+$P$3</f>
        <v>14</v>
      </c>
      <c r="K28" s="435" t="str">
        <f>VLOOKUP(J28,Kalachakra,2)</f>
        <v>Li</v>
      </c>
      <c r="L28" s="435">
        <f>VLOOKUP(J28,Kalachakra,3)</f>
        <v>16</v>
      </c>
      <c r="M28" s="435">
        <f>VLOOKUP(J28,Kalachakra,7)</f>
        <v>0</v>
      </c>
      <c r="N28" s="439">
        <f>O28-365.2425*L28</f>
        <v>51111.934520213632</v>
      </c>
      <c r="O28" s="439">
        <f>O26+L28*365.2425</f>
        <v>56955.814520213629</v>
      </c>
    </row>
    <row r="29" spans="1:24">
      <c r="A29" s="442">
        <v>28</v>
      </c>
      <c r="B29" s="442" t="s">
        <v>703</v>
      </c>
      <c r="C29" s="442">
        <v>21</v>
      </c>
      <c r="D29" s="442" t="s">
        <v>704</v>
      </c>
      <c r="E29" s="442" t="s">
        <v>705</v>
      </c>
      <c r="F29" s="442">
        <f>SUM(C29:C37)</f>
        <v>86</v>
      </c>
      <c r="G29" s="442" t="s">
        <v>692</v>
      </c>
      <c r="H29" s="442" t="s">
        <v>692</v>
      </c>
    </row>
    <row r="30" spans="1:24">
      <c r="A30" s="442">
        <v>29</v>
      </c>
      <c r="B30" s="442" t="s">
        <v>701</v>
      </c>
      <c r="C30" s="442">
        <v>5</v>
      </c>
      <c r="D30" s="442" t="s">
        <v>564</v>
      </c>
      <c r="E30" s="442"/>
      <c r="F30" s="442"/>
      <c r="G30" s="442"/>
      <c r="H30" s="442" t="s">
        <v>692</v>
      </c>
      <c r="J30" s="435">
        <f>J28+$P$3</f>
        <v>13</v>
      </c>
      <c r="K30" s="435" t="str">
        <f>VLOOKUP(J30,Kalachakra,2)</f>
        <v>Sc</v>
      </c>
      <c r="L30" s="435">
        <f>VLOOKUP(J30,Kalachakra,3)</f>
        <v>7</v>
      </c>
      <c r="M30" s="435" t="str">
        <f>VLOOKUP(J30,Kalachakra,7)</f>
        <v>S</v>
      </c>
      <c r="N30" s="439">
        <f>O30-365.2425*L30</f>
        <v>56955.814520213629</v>
      </c>
      <c r="O30" s="439">
        <f>O28+L30*365.2425</f>
        <v>59512.512020213631</v>
      </c>
    </row>
    <row r="31" spans="1:24">
      <c r="A31" s="442">
        <v>30</v>
      </c>
      <c r="B31" s="442" t="s">
        <v>711</v>
      </c>
      <c r="C31" s="442">
        <v>9</v>
      </c>
      <c r="D31" s="442" t="s">
        <v>713</v>
      </c>
      <c r="E31" s="442" t="s">
        <v>714</v>
      </c>
      <c r="F31" s="442">
        <f>SUM(C31:C39)</f>
        <v>83</v>
      </c>
      <c r="G31" s="442" t="s">
        <v>698</v>
      </c>
      <c r="H31" s="442" t="s">
        <v>692</v>
      </c>
      <c r="L31" s="435">
        <f>SUM(L14:L30)</f>
        <v>100</v>
      </c>
      <c r="M31" s="439"/>
      <c r="N31" s="439"/>
    </row>
    <row r="32" spans="1:24">
      <c r="A32" s="442">
        <v>31</v>
      </c>
      <c r="B32" s="442" t="s">
        <v>710</v>
      </c>
      <c r="C32" s="442">
        <v>16</v>
      </c>
      <c r="D32" s="442" t="s">
        <v>716</v>
      </c>
      <c r="E32" s="442" t="s">
        <v>710</v>
      </c>
      <c r="F32" s="442">
        <f>SUM(C32:C40)</f>
        <v>83</v>
      </c>
      <c r="G32" s="442" t="s">
        <v>692</v>
      </c>
      <c r="H32" s="442" t="s">
        <v>692</v>
      </c>
    </row>
    <row r="33" spans="1:8">
      <c r="A33" s="442">
        <v>32</v>
      </c>
      <c r="B33" s="442" t="s">
        <v>709</v>
      </c>
      <c r="C33" s="442">
        <v>7</v>
      </c>
      <c r="D33" s="442" t="s">
        <v>564</v>
      </c>
      <c r="E33" s="442"/>
      <c r="F33" s="442"/>
      <c r="G33" s="442"/>
      <c r="H33" s="442" t="s">
        <v>692</v>
      </c>
    </row>
    <row r="34" spans="1:8">
      <c r="A34" s="442">
        <v>33</v>
      </c>
      <c r="B34" s="442" t="s">
        <v>708</v>
      </c>
      <c r="C34" s="442">
        <v>10</v>
      </c>
      <c r="D34" s="442" t="s">
        <v>721</v>
      </c>
      <c r="E34" s="442" t="s">
        <v>701</v>
      </c>
      <c r="F34" s="442">
        <f>SUM(C34:C42)</f>
        <v>86</v>
      </c>
      <c r="G34" s="442" t="s">
        <v>698</v>
      </c>
      <c r="H34" s="442" t="s">
        <v>692</v>
      </c>
    </row>
    <row r="35" spans="1:8">
      <c r="A35" s="442">
        <v>34</v>
      </c>
      <c r="B35" s="442" t="s">
        <v>706</v>
      </c>
      <c r="C35" s="442">
        <v>4</v>
      </c>
      <c r="D35" s="442" t="s">
        <v>723</v>
      </c>
      <c r="E35" s="442" t="s">
        <v>724</v>
      </c>
      <c r="F35" s="442">
        <f>SUM(C35:C43)</f>
        <v>85</v>
      </c>
      <c r="G35" s="442" t="s">
        <v>692</v>
      </c>
      <c r="H35" s="442" t="s">
        <v>692</v>
      </c>
    </row>
    <row r="36" spans="1:8">
      <c r="A36" s="442">
        <v>35</v>
      </c>
      <c r="B36" s="442" t="s">
        <v>699</v>
      </c>
      <c r="C36" s="442">
        <v>4</v>
      </c>
      <c r="D36" s="442" t="s">
        <v>564</v>
      </c>
      <c r="E36" s="442"/>
      <c r="F36" s="442"/>
      <c r="G36" s="442"/>
      <c r="H36" s="442" t="s">
        <v>692</v>
      </c>
    </row>
    <row r="37" spans="1:8">
      <c r="A37" s="442">
        <v>36</v>
      </c>
      <c r="B37" s="442" t="s">
        <v>694</v>
      </c>
      <c r="C37" s="442">
        <v>10</v>
      </c>
      <c r="D37" s="442" t="s">
        <v>727</v>
      </c>
      <c r="E37" s="442" t="s">
        <v>689</v>
      </c>
      <c r="F37" s="442">
        <f t="shared" ref="F37:F49" si="0">SUM(C37:C45)</f>
        <v>100</v>
      </c>
      <c r="G37" s="442" t="s">
        <v>698</v>
      </c>
      <c r="H37" s="442" t="s">
        <v>692</v>
      </c>
    </row>
    <row r="38" spans="1:8">
      <c r="A38" s="442">
        <v>37</v>
      </c>
      <c r="B38" s="442" t="s">
        <v>709</v>
      </c>
      <c r="C38" s="442">
        <v>7</v>
      </c>
      <c r="D38" s="442" t="s">
        <v>732</v>
      </c>
      <c r="E38" s="442" t="s">
        <v>701</v>
      </c>
      <c r="F38" s="442">
        <f t="shared" si="0"/>
        <v>100</v>
      </c>
      <c r="G38" s="442" t="s">
        <v>692</v>
      </c>
      <c r="H38" s="442" t="s">
        <v>698</v>
      </c>
    </row>
    <row r="39" spans="1:8">
      <c r="A39" s="442">
        <v>38</v>
      </c>
      <c r="B39" s="442" t="s">
        <v>710</v>
      </c>
      <c r="C39" s="442">
        <v>16</v>
      </c>
      <c r="D39" s="442" t="s">
        <v>564</v>
      </c>
      <c r="E39" s="442"/>
      <c r="F39" s="442">
        <f t="shared" si="0"/>
        <v>97</v>
      </c>
      <c r="G39" s="442"/>
      <c r="H39" s="442" t="s">
        <v>698</v>
      </c>
    </row>
    <row r="40" spans="1:8">
      <c r="A40" s="442">
        <v>39</v>
      </c>
      <c r="B40" s="442" t="s">
        <v>711</v>
      </c>
      <c r="C40" s="442">
        <v>9</v>
      </c>
      <c r="D40" s="442" t="s">
        <v>733</v>
      </c>
      <c r="E40" s="442" t="s">
        <v>734</v>
      </c>
      <c r="F40" s="442">
        <f t="shared" si="0"/>
        <v>85</v>
      </c>
      <c r="G40" s="442" t="s">
        <v>698</v>
      </c>
      <c r="H40" s="442" t="s">
        <v>698</v>
      </c>
    </row>
    <row r="41" spans="1:8">
      <c r="A41" s="442">
        <v>40</v>
      </c>
      <c r="B41" s="442" t="s">
        <v>703</v>
      </c>
      <c r="C41" s="442">
        <v>21</v>
      </c>
      <c r="D41" s="442" t="s">
        <v>735</v>
      </c>
      <c r="E41" s="442" t="s">
        <v>709</v>
      </c>
      <c r="F41" s="442">
        <f t="shared" si="0"/>
        <v>86</v>
      </c>
      <c r="G41" s="442" t="s">
        <v>692</v>
      </c>
      <c r="H41" s="442" t="s">
        <v>698</v>
      </c>
    </row>
    <row r="42" spans="1:8">
      <c r="A42" s="442">
        <v>41</v>
      </c>
      <c r="B42" s="442" t="s">
        <v>701</v>
      </c>
      <c r="C42" s="442">
        <v>5</v>
      </c>
      <c r="D42" s="442" t="s">
        <v>564</v>
      </c>
      <c r="E42" s="442"/>
      <c r="F42" s="442">
        <f t="shared" si="0"/>
        <v>65</v>
      </c>
      <c r="G42" s="442"/>
      <c r="H42" s="442" t="s">
        <v>698</v>
      </c>
    </row>
    <row r="43" spans="1:8">
      <c r="A43" s="442">
        <v>42</v>
      </c>
      <c r="B43" s="442" t="s">
        <v>695</v>
      </c>
      <c r="C43" s="442">
        <v>9</v>
      </c>
      <c r="D43" s="442" t="s">
        <v>736</v>
      </c>
      <c r="E43" s="442" t="s">
        <v>695</v>
      </c>
      <c r="F43" s="442">
        <f t="shared" si="0"/>
        <v>60</v>
      </c>
      <c r="G43" s="442" t="s">
        <v>698</v>
      </c>
      <c r="H43" s="442" t="s">
        <v>698</v>
      </c>
    </row>
    <row r="44" spans="1:8">
      <c r="A44" s="442">
        <v>43</v>
      </c>
      <c r="B44" s="442" t="s">
        <v>693</v>
      </c>
      <c r="C44" s="442">
        <v>16</v>
      </c>
      <c r="D44" s="442" t="s">
        <v>737</v>
      </c>
      <c r="E44" s="442" t="s">
        <v>738</v>
      </c>
      <c r="F44" s="442">
        <f t="shared" si="0"/>
        <v>51</v>
      </c>
      <c r="G44" s="442" t="s">
        <v>692</v>
      </c>
      <c r="H44" s="442" t="s">
        <v>698</v>
      </c>
    </row>
    <row r="45" spans="1:8">
      <c r="A45" s="442">
        <v>44</v>
      </c>
      <c r="B45" s="442" t="s">
        <v>689</v>
      </c>
      <c r="C45" s="442">
        <v>7</v>
      </c>
      <c r="D45" s="442" t="s">
        <v>564</v>
      </c>
      <c r="E45" s="442"/>
      <c r="F45" s="442">
        <f t="shared" si="0"/>
        <v>35</v>
      </c>
      <c r="G45" s="442"/>
      <c r="H45" s="442" t="s">
        <v>698</v>
      </c>
    </row>
    <row r="46" spans="1:8">
      <c r="A46" s="442">
        <v>45</v>
      </c>
      <c r="B46" s="442" t="s">
        <v>694</v>
      </c>
      <c r="C46" s="442">
        <v>10</v>
      </c>
      <c r="D46" s="442" t="s">
        <v>739</v>
      </c>
      <c r="E46" s="442" t="s">
        <v>740</v>
      </c>
      <c r="F46" s="442">
        <f t="shared" si="0"/>
        <v>28</v>
      </c>
      <c r="G46" s="442" t="s">
        <v>698</v>
      </c>
      <c r="H46" s="442" t="s">
        <v>698</v>
      </c>
    </row>
    <row r="47" spans="1:8">
      <c r="A47" s="442">
        <v>46</v>
      </c>
      <c r="B47" s="442" t="s">
        <v>699</v>
      </c>
      <c r="C47" s="442">
        <v>4</v>
      </c>
      <c r="D47" s="442" t="s">
        <v>741</v>
      </c>
      <c r="E47" s="442" t="s">
        <v>711</v>
      </c>
      <c r="F47" s="442">
        <f t="shared" si="0"/>
        <v>18</v>
      </c>
      <c r="G47" s="442" t="s">
        <v>692</v>
      </c>
      <c r="H47" s="442" t="s">
        <v>698</v>
      </c>
    </row>
    <row r="48" spans="1:8">
      <c r="A48" s="442">
        <v>47</v>
      </c>
      <c r="B48" s="442" t="s">
        <v>706</v>
      </c>
      <c r="C48" s="442">
        <v>4</v>
      </c>
      <c r="D48" s="442" t="s">
        <v>564</v>
      </c>
      <c r="E48" s="442"/>
      <c r="F48" s="442">
        <f t="shared" si="0"/>
        <v>14</v>
      </c>
      <c r="G48" s="442"/>
      <c r="H48" s="442" t="s">
        <v>698</v>
      </c>
    </row>
    <row r="49" spans="1:8">
      <c r="A49" s="442">
        <v>48</v>
      </c>
      <c r="B49" s="442" t="s">
        <v>708</v>
      </c>
      <c r="C49" s="442">
        <v>10</v>
      </c>
      <c r="D49" s="442" t="s">
        <v>742</v>
      </c>
      <c r="E49" s="442" t="s">
        <v>743</v>
      </c>
      <c r="F49" s="442">
        <f t="shared" si="0"/>
        <v>10</v>
      </c>
      <c r="G49" s="442" t="s">
        <v>698</v>
      </c>
      <c r="H49" s="442" t="s">
        <v>698</v>
      </c>
    </row>
  </sheetData>
  <mergeCells count="2">
    <mergeCell ref="J4:K5"/>
    <mergeCell ref="J9:K10"/>
  </mergeCells>
  <pageMargins left="0.7" right="0.7" top="0.75" bottom="0.75" header="0.511811023622047" footer="0.511811023622047"/>
  <pageSetup paperSize="9" orientation="portrait" horizontalDpi="300" verticalDpi="300"/>
  <drawing r:id="rId1"/>
  <tableParts count="1">
    <tablePart r:id="rId2"/>
  </tableParts>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322"/>
  <sheetViews>
    <sheetView topLeftCell="A7" zoomScaleNormal="100" workbookViewId="0">
      <selection activeCell="D30" sqref="D30"/>
    </sheetView>
  </sheetViews>
  <sheetFormatPr defaultColWidth="9.140625" defaultRowHeight="15"/>
  <cols>
    <col min="1" max="1" width="28.7109375" customWidth="1"/>
    <col min="2" max="2" width="10.28515625" style="443" customWidth="1"/>
    <col min="3" max="3" width="8.85546875" style="181" customWidth="1"/>
    <col min="4" max="15" width="8.140625" style="443" customWidth="1"/>
    <col min="16" max="16" width="7.42578125" style="50" customWidth="1"/>
    <col min="17" max="17" width="9.28515625" style="50" customWidth="1"/>
    <col min="18" max="22" width="6.42578125" style="443" customWidth="1"/>
    <col min="23" max="23" width="3.85546875" style="443" customWidth="1"/>
    <col min="24" max="24" width="10.5703125" style="443" customWidth="1"/>
    <col min="25" max="25" width="8.140625" style="443" customWidth="1"/>
    <col min="26" max="26" width="2.42578125" style="443" customWidth="1"/>
    <col min="27" max="27" width="2.140625" style="443" customWidth="1"/>
    <col min="28" max="28" width="3" style="443" customWidth="1"/>
    <col min="29" max="34" width="2.140625" style="443" customWidth="1"/>
    <col min="35" max="37" width="3" style="443" customWidth="1"/>
    <col min="38" max="38" width="2.140625" style="444" customWidth="1"/>
    <col min="39" max="46" width="2.140625" style="443" customWidth="1"/>
    <col min="47" max="48" width="3" style="443" customWidth="1"/>
    <col min="49" max="49" width="3" style="445" customWidth="1"/>
    <col min="50" max="50" width="8.5703125" style="443" customWidth="1"/>
    <col min="51" max="1024" width="9.140625" style="443"/>
  </cols>
  <sheetData>
    <row r="1" spans="1:49">
      <c r="A1" s="446"/>
      <c r="C1" s="194"/>
      <c r="AL1" s="447"/>
      <c r="AM1" s="448"/>
      <c r="AN1" s="448"/>
      <c r="AO1" s="448"/>
      <c r="AP1" s="448"/>
      <c r="AQ1" s="448"/>
      <c r="AR1" s="448"/>
      <c r="AS1" s="448"/>
      <c r="AT1" s="448"/>
      <c r="AU1" s="448"/>
      <c r="AV1" s="448"/>
      <c r="AW1" s="449"/>
    </row>
    <row r="2" spans="1:49">
      <c r="A2" s="446"/>
      <c r="E2" s="443" t="s">
        <v>744</v>
      </c>
      <c r="K2" s="443" t="s">
        <v>745</v>
      </c>
      <c r="P2" s="443"/>
      <c r="Q2" s="443"/>
    </row>
    <row r="3" spans="1:49">
      <c r="A3" s="446"/>
      <c r="B3" s="443" t="s">
        <v>138</v>
      </c>
      <c r="C3" s="181" t="s">
        <v>746</v>
      </c>
      <c r="E3" s="443" t="s">
        <v>142</v>
      </c>
      <c r="F3" s="443" t="s">
        <v>151</v>
      </c>
      <c r="G3" s="443" t="s">
        <v>155</v>
      </c>
      <c r="K3" s="443" t="s">
        <v>747</v>
      </c>
      <c r="L3" s="443" t="s">
        <v>748</v>
      </c>
      <c r="P3" s="443"/>
      <c r="Q3" s="443"/>
    </row>
    <row r="4" spans="1:49">
      <c r="A4" s="446"/>
      <c r="B4" s="443" t="s">
        <v>158</v>
      </c>
      <c r="C4" s="181">
        <f t="shared" ref="C4:C12" ca="1" si="0">E4</f>
        <v>4</v>
      </c>
      <c r="E4" s="443">
        <f t="shared" ref="E4:E12" ca="1" si="1">ROUNDUP(INDIRECT(B4)/30,0)</f>
        <v>4</v>
      </c>
      <c r="F4" s="443">
        <f t="shared" ref="F4:F12" ca="1" si="2">ROUNDUP(MOD(INDIRECT(B4)*9,360)/30,0)</f>
        <v>4</v>
      </c>
      <c r="G4" s="443">
        <f t="shared" ref="G4:G12" ca="1" si="3">ROUNDUP(MOD((E4-1)*30+INDIRECT(B4)*12,360)/30,0)</f>
        <v>4</v>
      </c>
      <c r="K4" s="443">
        <v>6</v>
      </c>
      <c r="L4" s="443">
        <v>5</v>
      </c>
      <c r="P4" s="443"/>
      <c r="Q4" s="443"/>
    </row>
    <row r="5" spans="1:49">
      <c r="A5" s="446"/>
      <c r="B5" s="443" t="s">
        <v>159</v>
      </c>
      <c r="C5" s="181">
        <f t="shared" ca="1" si="0"/>
        <v>2</v>
      </c>
      <c r="E5" s="443">
        <f t="shared" ca="1" si="1"/>
        <v>2</v>
      </c>
      <c r="F5" s="443">
        <f t="shared" ca="1" si="2"/>
        <v>4</v>
      </c>
      <c r="G5" s="443">
        <f t="shared" ca="1" si="3"/>
        <v>11</v>
      </c>
      <c r="K5" s="443">
        <v>8</v>
      </c>
      <c r="L5" s="443">
        <v>12</v>
      </c>
      <c r="P5" s="443"/>
      <c r="Q5" s="443"/>
    </row>
    <row r="6" spans="1:49">
      <c r="A6" s="446"/>
      <c r="B6" s="443" t="s">
        <v>160</v>
      </c>
      <c r="C6" s="181">
        <f t="shared" ca="1" si="0"/>
        <v>10</v>
      </c>
      <c r="E6" s="443">
        <f t="shared" ca="1" si="1"/>
        <v>10</v>
      </c>
      <c r="F6" s="443">
        <f t="shared" ca="1" si="2"/>
        <v>6</v>
      </c>
      <c r="G6" s="443">
        <f t="shared" ca="1" si="3"/>
        <v>9</v>
      </c>
      <c r="K6" s="443">
        <v>4</v>
      </c>
      <c r="L6" s="443">
        <v>4</v>
      </c>
    </row>
    <row r="7" spans="1:49">
      <c r="A7" s="446"/>
      <c r="B7" s="443" t="s">
        <v>161</v>
      </c>
      <c r="C7" s="181">
        <f t="shared" ca="1" si="0"/>
        <v>4</v>
      </c>
      <c r="E7" s="443">
        <f t="shared" ca="1" si="1"/>
        <v>4</v>
      </c>
      <c r="F7" s="443">
        <f t="shared" ca="1" si="2"/>
        <v>12</v>
      </c>
      <c r="G7" s="443">
        <f t="shared" ca="1" si="3"/>
        <v>2</v>
      </c>
      <c r="K7" s="443">
        <v>6</v>
      </c>
      <c r="L7" s="443">
        <v>4</v>
      </c>
      <c r="X7" s="443">
        <f ca="1">VLOOKUP("Saturn",AllPAV,4,0)</f>
        <v>2</v>
      </c>
    </row>
    <row r="8" spans="1:49">
      <c r="A8" s="446"/>
      <c r="B8" s="443" t="s">
        <v>162</v>
      </c>
      <c r="C8" s="181">
        <f t="shared" ca="1" si="0"/>
        <v>8</v>
      </c>
      <c r="E8" s="443">
        <f t="shared" ca="1" si="1"/>
        <v>8</v>
      </c>
      <c r="F8" s="443">
        <f t="shared" ca="1" si="2"/>
        <v>4</v>
      </c>
      <c r="G8" s="443">
        <f t="shared" ca="1" si="3"/>
        <v>9</v>
      </c>
      <c r="K8" s="443">
        <v>3</v>
      </c>
      <c r="L8" s="443">
        <v>7</v>
      </c>
    </row>
    <row r="9" spans="1:49">
      <c r="A9" s="446"/>
      <c r="B9" s="443" t="s">
        <v>163</v>
      </c>
      <c r="C9" s="181">
        <f t="shared" ca="1" si="0"/>
        <v>3</v>
      </c>
      <c r="E9" s="443">
        <f t="shared" ca="1" si="1"/>
        <v>3</v>
      </c>
      <c r="F9" s="443">
        <f t="shared" ca="1" si="2"/>
        <v>1</v>
      </c>
      <c r="G9" s="443">
        <f t="shared" ca="1" si="3"/>
        <v>11</v>
      </c>
      <c r="K9" s="443">
        <v>6</v>
      </c>
      <c r="L9" s="443">
        <v>8</v>
      </c>
    </row>
    <row r="10" spans="1:49">
      <c r="A10" s="446"/>
      <c r="B10" s="443" t="s">
        <v>164</v>
      </c>
      <c r="C10" s="181">
        <f t="shared" ca="1" si="0"/>
        <v>2</v>
      </c>
      <c r="E10" s="443">
        <f t="shared" ca="1" si="1"/>
        <v>2</v>
      </c>
      <c r="F10" s="443">
        <f t="shared" ca="1" si="2"/>
        <v>12</v>
      </c>
      <c r="G10" s="443">
        <f t="shared" ca="1" si="3"/>
        <v>5</v>
      </c>
      <c r="K10" s="443">
        <v>5</v>
      </c>
      <c r="L10" s="443">
        <v>6</v>
      </c>
    </row>
    <row r="11" spans="1:49">
      <c r="A11" s="446"/>
      <c r="B11" s="443" t="s">
        <v>319</v>
      </c>
      <c r="C11" s="181">
        <f t="shared" ca="1" si="0"/>
        <v>5</v>
      </c>
      <c r="E11" s="443">
        <f t="shared" ca="1" si="1"/>
        <v>5</v>
      </c>
      <c r="F11" s="443">
        <f t="shared" ca="1" si="2"/>
        <v>6</v>
      </c>
      <c r="G11" s="443">
        <f t="shared" ca="1" si="3"/>
        <v>11</v>
      </c>
      <c r="K11" s="443">
        <v>5</v>
      </c>
      <c r="L11" s="443">
        <v>11</v>
      </c>
    </row>
    <row r="12" spans="1:49">
      <c r="A12" s="446"/>
      <c r="B12" s="443" t="s">
        <v>165</v>
      </c>
      <c r="C12" s="181">
        <f t="shared" ca="1" si="0"/>
        <v>10</v>
      </c>
      <c r="E12" s="443">
        <f t="shared" ca="1" si="1"/>
        <v>10</v>
      </c>
      <c r="F12" s="443">
        <f t="shared" ca="1" si="2"/>
        <v>4</v>
      </c>
      <c r="G12" s="443">
        <f t="shared" ca="1" si="3"/>
        <v>6</v>
      </c>
      <c r="K12" s="443">
        <v>5</v>
      </c>
      <c r="L12" s="443">
        <v>11</v>
      </c>
    </row>
    <row r="13" spans="1:49">
      <c r="A13" s="446"/>
    </row>
    <row r="14" spans="1:49">
      <c r="A14" s="446" t="s">
        <v>138</v>
      </c>
    </row>
    <row r="15" spans="1:49" s="451" customFormat="1" ht="12.75">
      <c r="A15" s="450" t="str">
        <f>B15</f>
        <v>Sarva</v>
      </c>
      <c r="B15" s="1340" t="s">
        <v>749</v>
      </c>
      <c r="C15" s="1340"/>
      <c r="D15" s="452">
        <f ca="1">Lagnahouse</f>
        <v>5</v>
      </c>
      <c r="E15" s="452"/>
      <c r="F15" s="452"/>
      <c r="G15" s="452"/>
      <c r="H15" s="452"/>
      <c r="I15" s="452"/>
      <c r="J15" s="452"/>
      <c r="K15" s="452"/>
      <c r="L15" s="452"/>
      <c r="M15" s="452"/>
      <c r="N15" s="452"/>
      <c r="O15" s="452"/>
      <c r="P15" s="453"/>
      <c r="Q15" s="453"/>
      <c r="S15" s="454"/>
      <c r="T15" s="454"/>
      <c r="U15" s="454"/>
      <c r="V15" s="454"/>
      <c r="AL15" s="455"/>
      <c r="AW15" s="456"/>
    </row>
    <row r="16" spans="1:49">
      <c r="A16" s="457" t="str">
        <f t="shared" ref="A16:A27" si="4">A15</f>
        <v>Sarva</v>
      </c>
      <c r="C16" s="181" t="s">
        <v>746</v>
      </c>
      <c r="D16" s="126">
        <v>1</v>
      </c>
      <c r="E16" s="127">
        <v>2</v>
      </c>
      <c r="F16" s="127">
        <v>3</v>
      </c>
      <c r="G16" s="128">
        <v>4</v>
      </c>
      <c r="H16" s="126">
        <v>5</v>
      </c>
      <c r="I16" s="127">
        <v>6</v>
      </c>
      <c r="J16" s="127">
        <v>7</v>
      </c>
      <c r="K16" s="128">
        <v>8</v>
      </c>
      <c r="L16" s="126">
        <v>9</v>
      </c>
      <c r="M16" s="127">
        <v>10</v>
      </c>
      <c r="N16" s="127">
        <v>11</v>
      </c>
      <c r="O16" s="128">
        <v>12</v>
      </c>
      <c r="Q16" s="50" t="s">
        <v>750</v>
      </c>
      <c r="S16" s="1341">
        <f ca="1">O25</f>
        <v>36</v>
      </c>
      <c r="T16" s="1341">
        <f ca="1">D25</f>
        <v>33</v>
      </c>
      <c r="U16" s="1341">
        <f ca="1">E25</f>
        <v>37</v>
      </c>
      <c r="V16" s="1341">
        <f ca="1">F25</f>
        <v>30</v>
      </c>
    </row>
    <row r="17" spans="1:22">
      <c r="A17" s="457" t="str">
        <f t="shared" si="4"/>
        <v>Sarva</v>
      </c>
      <c r="B17" s="443" t="str">
        <f>B161</f>
        <v>Saturn</v>
      </c>
      <c r="C17" s="181">
        <f t="shared" ref="C17:C24" ca="1" si="5">INDIRECT(B17&amp;"house")</f>
        <v>2</v>
      </c>
      <c r="D17" s="133">
        <f t="shared" ref="D17:O17" ca="1" si="6">D161</f>
        <v>4</v>
      </c>
      <c r="E17">
        <f t="shared" ca="1" si="6"/>
        <v>5</v>
      </c>
      <c r="F17">
        <f t="shared" ca="1" si="6"/>
        <v>3</v>
      </c>
      <c r="G17" s="132">
        <f t="shared" ca="1" si="6"/>
        <v>3</v>
      </c>
      <c r="H17" s="133">
        <f t="shared" ca="1" si="6"/>
        <v>2</v>
      </c>
      <c r="I17">
        <f t="shared" ca="1" si="6"/>
        <v>2</v>
      </c>
      <c r="J17">
        <f t="shared" ca="1" si="6"/>
        <v>6</v>
      </c>
      <c r="K17" s="132">
        <f t="shared" ca="1" si="6"/>
        <v>3</v>
      </c>
      <c r="L17" s="133">
        <f t="shared" ca="1" si="6"/>
        <v>2</v>
      </c>
      <c r="M17">
        <f t="shared" ca="1" si="6"/>
        <v>2</v>
      </c>
      <c r="N17">
        <f t="shared" ca="1" si="6"/>
        <v>2</v>
      </c>
      <c r="O17" s="132">
        <f t="shared" ca="1" si="6"/>
        <v>5</v>
      </c>
      <c r="P17" s="50">
        <f t="shared" ref="P17:P25" ca="1" si="7">SUM(D17:O17)</f>
        <v>39</v>
      </c>
      <c r="Q17" s="50">
        <v>5</v>
      </c>
      <c r="R17" s="443">
        <f ca="1">Q17*E83*E28</f>
        <v>0</v>
      </c>
      <c r="S17" s="1341"/>
      <c r="T17" s="1341"/>
      <c r="U17" s="1341"/>
      <c r="V17" s="1341"/>
    </row>
    <row r="18" spans="1:22">
      <c r="A18" s="457" t="str">
        <f t="shared" si="4"/>
        <v>Sarva</v>
      </c>
      <c r="B18" s="443" t="str">
        <f>B175</f>
        <v>Venus</v>
      </c>
      <c r="C18" s="181">
        <f t="shared" ca="1" si="5"/>
        <v>3</v>
      </c>
      <c r="D18" s="133">
        <f t="shared" ref="D18:O18" ca="1" si="8">D175</f>
        <v>4</v>
      </c>
      <c r="E18">
        <f t="shared" ca="1" si="8"/>
        <v>3</v>
      </c>
      <c r="F18">
        <f t="shared" ca="1" si="8"/>
        <v>6</v>
      </c>
      <c r="G18" s="132">
        <f t="shared" ca="1" si="8"/>
        <v>4</v>
      </c>
      <c r="H18" s="133">
        <f t="shared" ca="1" si="8"/>
        <v>5</v>
      </c>
      <c r="I18">
        <f t="shared" ca="1" si="8"/>
        <v>7</v>
      </c>
      <c r="J18">
        <f t="shared" ca="1" si="8"/>
        <v>2</v>
      </c>
      <c r="K18" s="132">
        <f t="shared" ca="1" si="8"/>
        <v>3</v>
      </c>
      <c r="L18" s="133">
        <f t="shared" ca="1" si="8"/>
        <v>5</v>
      </c>
      <c r="M18">
        <f t="shared" ca="1" si="8"/>
        <v>3</v>
      </c>
      <c r="N18">
        <f t="shared" ca="1" si="8"/>
        <v>3</v>
      </c>
      <c r="O18" s="132">
        <f t="shared" ca="1" si="8"/>
        <v>7</v>
      </c>
      <c r="P18" s="50">
        <f t="shared" ca="1" si="7"/>
        <v>52</v>
      </c>
      <c r="Q18" s="50">
        <v>7</v>
      </c>
      <c r="S18" s="1341"/>
      <c r="T18" s="1341"/>
      <c r="U18" s="1341"/>
      <c r="V18" s="1341"/>
    </row>
    <row r="19" spans="1:22">
      <c r="A19" s="457" t="str">
        <f t="shared" si="4"/>
        <v>Sarva</v>
      </c>
      <c r="B19" s="443" t="str">
        <f>B189</f>
        <v>Jupiter</v>
      </c>
      <c r="C19" s="181">
        <f t="shared" ca="1" si="5"/>
        <v>8</v>
      </c>
      <c r="D19" s="133">
        <f t="shared" ref="D19:O19" ca="1" si="9">D189</f>
        <v>6</v>
      </c>
      <c r="E19">
        <f t="shared" ca="1" si="9"/>
        <v>4</v>
      </c>
      <c r="F19">
        <f t="shared" ca="1" si="9"/>
        <v>3</v>
      </c>
      <c r="G19" s="132">
        <f t="shared" ca="1" si="9"/>
        <v>5</v>
      </c>
      <c r="H19" s="133">
        <f t="shared" ca="1" si="9"/>
        <v>5</v>
      </c>
      <c r="I19">
        <f t="shared" ca="1" si="9"/>
        <v>5</v>
      </c>
      <c r="J19">
        <f t="shared" ca="1" si="9"/>
        <v>5</v>
      </c>
      <c r="K19" s="132">
        <f t="shared" ca="1" si="9"/>
        <v>6</v>
      </c>
      <c r="L19" s="133">
        <f t="shared" ca="1" si="9"/>
        <v>3</v>
      </c>
      <c r="M19">
        <f t="shared" ca="1" si="9"/>
        <v>5</v>
      </c>
      <c r="N19">
        <f t="shared" ca="1" si="9"/>
        <v>5</v>
      </c>
      <c r="O19" s="132">
        <f t="shared" ca="1" si="9"/>
        <v>4</v>
      </c>
      <c r="P19" s="50">
        <f t="shared" ca="1" si="7"/>
        <v>56</v>
      </c>
      <c r="Q19" s="50">
        <v>10</v>
      </c>
      <c r="S19" s="1341">
        <f ca="1">N25</f>
        <v>31</v>
      </c>
      <c r="T19" s="1342" t="str">
        <f ca="1">C15&amp;"  Ashtakavarga  "&amp;P25</f>
        <v xml:space="preserve">  Ashtakavarga  386</v>
      </c>
      <c r="U19" s="1342"/>
      <c r="V19" s="1341">
        <f ca="1">G25</f>
        <v>30</v>
      </c>
    </row>
    <row r="20" spans="1:22">
      <c r="A20" s="457" t="str">
        <f t="shared" si="4"/>
        <v>Sarva</v>
      </c>
      <c r="B20" s="443" t="str">
        <f>B203</f>
        <v>Mercury</v>
      </c>
      <c r="C20" s="181">
        <f t="shared" ca="1" si="5"/>
        <v>4</v>
      </c>
      <c r="D20" s="133">
        <f t="shared" ref="D20:O20" ca="1" si="10">D203</f>
        <v>4</v>
      </c>
      <c r="E20">
        <f t="shared" ca="1" si="10"/>
        <v>4</v>
      </c>
      <c r="F20">
        <f t="shared" ca="1" si="10"/>
        <v>7</v>
      </c>
      <c r="G20" s="132">
        <f t="shared" ca="1" si="10"/>
        <v>3</v>
      </c>
      <c r="H20" s="133">
        <f t="shared" ca="1" si="10"/>
        <v>5</v>
      </c>
      <c r="I20">
        <f t="shared" ca="1" si="10"/>
        <v>5</v>
      </c>
      <c r="J20">
        <f t="shared" ca="1" si="10"/>
        <v>4</v>
      </c>
      <c r="K20" s="132">
        <f t="shared" ca="1" si="10"/>
        <v>5</v>
      </c>
      <c r="L20" s="133">
        <f t="shared" ca="1" si="10"/>
        <v>4</v>
      </c>
      <c r="M20">
        <f t="shared" ca="1" si="10"/>
        <v>4</v>
      </c>
      <c r="N20">
        <f t="shared" ca="1" si="10"/>
        <v>4</v>
      </c>
      <c r="O20" s="132">
        <f t="shared" ca="1" si="10"/>
        <v>5</v>
      </c>
      <c r="P20" s="50">
        <f t="shared" ca="1" si="7"/>
        <v>54</v>
      </c>
      <c r="Q20" s="50">
        <v>5</v>
      </c>
      <c r="S20" s="1341"/>
      <c r="T20" s="1341"/>
      <c r="U20" s="1342"/>
      <c r="V20" s="1341"/>
    </row>
    <row r="21" spans="1:22">
      <c r="A21" s="457" t="str">
        <f t="shared" si="4"/>
        <v>Sarva</v>
      </c>
      <c r="B21" s="443" t="str">
        <f>B217</f>
        <v>Mars</v>
      </c>
      <c r="C21" s="181">
        <f t="shared" ca="1" si="5"/>
        <v>10</v>
      </c>
      <c r="D21" s="133">
        <f t="shared" ref="D21:O21" ca="1" si="11">D217</f>
        <v>4</v>
      </c>
      <c r="E21">
        <f t="shared" ca="1" si="11"/>
        <v>5</v>
      </c>
      <c r="F21">
        <f t="shared" ca="1" si="11"/>
        <v>1</v>
      </c>
      <c r="G21" s="132">
        <f t="shared" ca="1" si="11"/>
        <v>2</v>
      </c>
      <c r="H21" s="133">
        <f t="shared" ca="1" si="11"/>
        <v>4</v>
      </c>
      <c r="I21">
        <f t="shared" ca="1" si="11"/>
        <v>3</v>
      </c>
      <c r="J21">
        <f t="shared" ca="1" si="11"/>
        <v>4</v>
      </c>
      <c r="K21" s="132">
        <f t="shared" ca="1" si="11"/>
        <v>5</v>
      </c>
      <c r="L21" s="133">
        <f t="shared" ca="1" si="11"/>
        <v>3</v>
      </c>
      <c r="M21">
        <f t="shared" ca="1" si="11"/>
        <v>4</v>
      </c>
      <c r="N21">
        <f t="shared" ca="1" si="11"/>
        <v>2</v>
      </c>
      <c r="O21" s="132">
        <f t="shared" ca="1" si="11"/>
        <v>2</v>
      </c>
      <c r="P21" s="50">
        <f t="shared" ca="1" si="7"/>
        <v>39</v>
      </c>
      <c r="Q21" s="50">
        <v>8</v>
      </c>
      <c r="S21" s="1341"/>
      <c r="T21" s="1341"/>
      <c r="U21" s="1342"/>
      <c r="V21" s="1341"/>
    </row>
    <row r="22" spans="1:22">
      <c r="A22" s="457" t="str">
        <f t="shared" si="4"/>
        <v>Sarva</v>
      </c>
      <c r="B22" s="443" t="str">
        <f>B231</f>
        <v>Moon</v>
      </c>
      <c r="C22" s="181">
        <f t="shared" ca="1" si="5"/>
        <v>2</v>
      </c>
      <c r="D22" s="133">
        <f t="shared" ref="D22:O22" ca="1" si="12">D231</f>
        <v>3</v>
      </c>
      <c r="E22">
        <f t="shared" ca="1" si="12"/>
        <v>6</v>
      </c>
      <c r="F22">
        <f t="shared" ca="1" si="12"/>
        <v>3</v>
      </c>
      <c r="G22" s="132">
        <f t="shared" ca="1" si="12"/>
        <v>3</v>
      </c>
      <c r="H22" s="133">
        <f t="shared" ca="1" si="12"/>
        <v>2</v>
      </c>
      <c r="I22">
        <f t="shared" ca="1" si="12"/>
        <v>5</v>
      </c>
      <c r="J22">
        <f t="shared" ca="1" si="12"/>
        <v>6</v>
      </c>
      <c r="K22" s="132">
        <f t="shared" ca="1" si="12"/>
        <v>4</v>
      </c>
      <c r="L22" s="133">
        <f t="shared" ca="1" si="12"/>
        <v>3</v>
      </c>
      <c r="M22">
        <f t="shared" ca="1" si="12"/>
        <v>4</v>
      </c>
      <c r="N22">
        <f t="shared" ca="1" si="12"/>
        <v>6</v>
      </c>
      <c r="O22" s="132">
        <f t="shared" ca="1" si="12"/>
        <v>4</v>
      </c>
      <c r="P22" s="50">
        <f t="shared" ca="1" si="7"/>
        <v>49</v>
      </c>
      <c r="Q22" s="50">
        <v>5</v>
      </c>
      <c r="S22" s="1341">
        <f ca="1">M25</f>
        <v>29</v>
      </c>
      <c r="T22" s="1342"/>
      <c r="U22" s="1342"/>
      <c r="V22" s="1341">
        <f ca="1">H25</f>
        <v>30</v>
      </c>
    </row>
    <row r="23" spans="1:22">
      <c r="A23" s="457" t="str">
        <f t="shared" si="4"/>
        <v>Sarva</v>
      </c>
      <c r="B23" s="443" t="str">
        <f>B245</f>
        <v>Sun</v>
      </c>
      <c r="C23" s="181">
        <f t="shared" ca="1" si="5"/>
        <v>4</v>
      </c>
      <c r="D23" s="133">
        <f t="shared" ref="D23:O23" ca="1" si="13">D245</f>
        <v>4</v>
      </c>
      <c r="E23">
        <f t="shared" ca="1" si="13"/>
        <v>5</v>
      </c>
      <c r="F23">
        <f t="shared" ca="1" si="13"/>
        <v>3</v>
      </c>
      <c r="G23" s="132">
        <f t="shared" ca="1" si="13"/>
        <v>5</v>
      </c>
      <c r="H23" s="133">
        <f t="shared" ca="1" si="13"/>
        <v>3</v>
      </c>
      <c r="I23">
        <f t="shared" ca="1" si="13"/>
        <v>3</v>
      </c>
      <c r="J23">
        <f t="shared" ca="1" si="13"/>
        <v>4</v>
      </c>
      <c r="K23" s="132">
        <f t="shared" ca="1" si="13"/>
        <v>5</v>
      </c>
      <c r="L23" s="133">
        <f t="shared" ca="1" si="13"/>
        <v>3</v>
      </c>
      <c r="M23">
        <f t="shared" ca="1" si="13"/>
        <v>4</v>
      </c>
      <c r="N23">
        <f t="shared" ca="1" si="13"/>
        <v>4</v>
      </c>
      <c r="O23" s="132">
        <f t="shared" ca="1" si="13"/>
        <v>5</v>
      </c>
      <c r="P23" s="50">
        <f t="shared" ca="1" si="7"/>
        <v>48</v>
      </c>
      <c r="Q23" s="50">
        <v>5</v>
      </c>
      <c r="S23" s="1341"/>
      <c r="T23" s="1341"/>
      <c r="U23" s="1342"/>
      <c r="V23" s="1341"/>
    </row>
    <row r="24" spans="1:22">
      <c r="A24" s="457" t="str">
        <f t="shared" si="4"/>
        <v>Sarva</v>
      </c>
      <c r="B24" s="443" t="str">
        <f>B259</f>
        <v>Lagna</v>
      </c>
      <c r="C24" s="181">
        <f t="shared" ca="1" si="5"/>
        <v>5</v>
      </c>
      <c r="D24" s="133">
        <f t="shared" ref="D24:O24" ca="1" si="14">D259</f>
        <v>4</v>
      </c>
      <c r="E24">
        <f t="shared" ca="1" si="14"/>
        <v>5</v>
      </c>
      <c r="F24">
        <f t="shared" ca="1" si="14"/>
        <v>4</v>
      </c>
      <c r="G24" s="132">
        <f t="shared" ca="1" si="14"/>
        <v>5</v>
      </c>
      <c r="H24" s="133">
        <f t="shared" ca="1" si="14"/>
        <v>4</v>
      </c>
      <c r="I24">
        <f t="shared" ca="1" si="14"/>
        <v>3</v>
      </c>
      <c r="J24">
        <f t="shared" ca="1" si="14"/>
        <v>7</v>
      </c>
      <c r="K24" s="132">
        <f t="shared" ca="1" si="14"/>
        <v>2</v>
      </c>
      <c r="L24" s="133">
        <f t="shared" ca="1" si="14"/>
        <v>3</v>
      </c>
      <c r="M24">
        <f t="shared" ca="1" si="14"/>
        <v>3</v>
      </c>
      <c r="N24">
        <f t="shared" ca="1" si="14"/>
        <v>5</v>
      </c>
      <c r="O24" s="132">
        <f t="shared" ca="1" si="14"/>
        <v>4</v>
      </c>
      <c r="P24" s="50">
        <f t="shared" ca="1" si="7"/>
        <v>49</v>
      </c>
      <c r="Q24" s="50">
        <v>5</v>
      </c>
      <c r="S24" s="1341"/>
      <c r="T24" s="1341"/>
      <c r="U24" s="1342"/>
      <c r="V24" s="1341"/>
    </row>
    <row r="25" spans="1:22">
      <c r="A25" s="457" t="str">
        <f t="shared" si="4"/>
        <v>Sarva</v>
      </c>
      <c r="B25" s="443" t="s">
        <v>751</v>
      </c>
      <c r="D25" s="133">
        <f t="shared" ref="D25:O25" ca="1" si="15">SUM(D17:D24)</f>
        <v>33</v>
      </c>
      <c r="E25">
        <f t="shared" ca="1" si="15"/>
        <v>37</v>
      </c>
      <c r="F25">
        <f t="shared" ca="1" si="15"/>
        <v>30</v>
      </c>
      <c r="G25" s="132">
        <f t="shared" ca="1" si="15"/>
        <v>30</v>
      </c>
      <c r="H25" s="133">
        <f t="shared" ca="1" si="15"/>
        <v>30</v>
      </c>
      <c r="I25">
        <f t="shared" ca="1" si="15"/>
        <v>33</v>
      </c>
      <c r="J25">
        <f t="shared" ca="1" si="15"/>
        <v>38</v>
      </c>
      <c r="K25" s="132">
        <f t="shared" ca="1" si="15"/>
        <v>33</v>
      </c>
      <c r="L25" s="133">
        <f t="shared" ca="1" si="15"/>
        <v>26</v>
      </c>
      <c r="M25">
        <f t="shared" ca="1" si="15"/>
        <v>29</v>
      </c>
      <c r="N25">
        <f t="shared" ca="1" si="15"/>
        <v>31</v>
      </c>
      <c r="O25" s="132">
        <f t="shared" ca="1" si="15"/>
        <v>36</v>
      </c>
      <c r="P25" s="50">
        <f t="shared" ca="1" si="7"/>
        <v>386</v>
      </c>
      <c r="S25" s="1341">
        <f ca="1">L25</f>
        <v>26</v>
      </c>
      <c r="T25" s="1341">
        <f ca="1">K25</f>
        <v>33</v>
      </c>
      <c r="U25" s="1341">
        <f ca="1">J25</f>
        <v>38</v>
      </c>
      <c r="V25" s="1341">
        <f ca="1">I25</f>
        <v>33</v>
      </c>
    </row>
    <row r="26" spans="1:22">
      <c r="A26" s="457" t="str">
        <f t="shared" si="4"/>
        <v>Sarva</v>
      </c>
      <c r="B26" s="443" t="s">
        <v>752</v>
      </c>
      <c r="C26" s="459"/>
      <c r="D26" s="444">
        <f t="shared" ref="D26:P26" ca="1" si="16">SUM(D17:D23)</f>
        <v>29</v>
      </c>
      <c r="E26" s="443">
        <f t="shared" ca="1" si="16"/>
        <v>32</v>
      </c>
      <c r="F26" s="443">
        <f t="shared" ca="1" si="16"/>
        <v>26</v>
      </c>
      <c r="G26" s="445">
        <f t="shared" ca="1" si="16"/>
        <v>25</v>
      </c>
      <c r="H26" s="444">
        <f t="shared" ca="1" si="16"/>
        <v>26</v>
      </c>
      <c r="I26" s="443">
        <f t="shared" ca="1" si="16"/>
        <v>30</v>
      </c>
      <c r="J26" s="443">
        <f t="shared" ca="1" si="16"/>
        <v>31</v>
      </c>
      <c r="K26" s="445">
        <f t="shared" ca="1" si="16"/>
        <v>31</v>
      </c>
      <c r="L26" s="444">
        <f t="shared" ca="1" si="16"/>
        <v>23</v>
      </c>
      <c r="M26" s="443">
        <f t="shared" ca="1" si="16"/>
        <v>26</v>
      </c>
      <c r="N26" s="443">
        <f t="shared" ca="1" si="16"/>
        <v>26</v>
      </c>
      <c r="O26" s="445">
        <f t="shared" ca="1" si="16"/>
        <v>32</v>
      </c>
      <c r="P26" s="443">
        <f t="shared" ca="1" si="16"/>
        <v>337</v>
      </c>
      <c r="S26" s="1341"/>
      <c r="T26" s="1341"/>
      <c r="U26" s="1341"/>
      <c r="V26" s="1341"/>
    </row>
    <row r="27" spans="1:22">
      <c r="A27" s="457" t="str">
        <f t="shared" si="4"/>
        <v>Sarva</v>
      </c>
      <c r="B27" s="443" t="s">
        <v>753</v>
      </c>
      <c r="C27" s="459"/>
      <c r="D27" s="444">
        <f t="shared" ref="D27:O27" ca="1" si="17">IF(ISNA(MATCH(D16,$C17:$C23,0)),0,1)</f>
        <v>0</v>
      </c>
      <c r="E27" s="443">
        <f t="shared" ca="1" si="17"/>
        <v>1</v>
      </c>
      <c r="F27" s="443">
        <f t="shared" ca="1" si="17"/>
        <v>1</v>
      </c>
      <c r="G27" s="445">
        <f t="shared" ca="1" si="17"/>
        <v>1</v>
      </c>
      <c r="H27" s="444">
        <f t="shared" ca="1" si="17"/>
        <v>0</v>
      </c>
      <c r="I27" s="443">
        <f t="shared" ca="1" si="17"/>
        <v>0</v>
      </c>
      <c r="J27" s="443">
        <f t="shared" ca="1" si="17"/>
        <v>0</v>
      </c>
      <c r="K27" s="445">
        <f t="shared" ca="1" si="17"/>
        <v>1</v>
      </c>
      <c r="L27" s="444">
        <f t="shared" ca="1" si="17"/>
        <v>0</v>
      </c>
      <c r="M27" s="443">
        <f t="shared" ca="1" si="17"/>
        <v>1</v>
      </c>
      <c r="N27" s="443">
        <f t="shared" ca="1" si="17"/>
        <v>0</v>
      </c>
      <c r="O27" s="445">
        <f t="shared" ca="1" si="17"/>
        <v>0</v>
      </c>
      <c r="S27" s="1341"/>
      <c r="T27" s="1341"/>
      <c r="U27" s="1341"/>
      <c r="V27" s="1341"/>
    </row>
    <row r="28" spans="1:22">
      <c r="A28" s="457" t="str">
        <f>A$27</f>
        <v>Sarva</v>
      </c>
      <c r="B28" s="443" t="s">
        <v>754</v>
      </c>
      <c r="D28" s="460">
        <v>7</v>
      </c>
      <c r="E28" s="461">
        <v>10</v>
      </c>
      <c r="F28" s="461">
        <v>8</v>
      </c>
      <c r="G28" s="462">
        <v>4</v>
      </c>
      <c r="H28" s="460">
        <v>10</v>
      </c>
      <c r="I28" s="461">
        <v>5</v>
      </c>
      <c r="J28" s="461">
        <v>7</v>
      </c>
      <c r="K28" s="462">
        <v>8</v>
      </c>
      <c r="L28" s="460">
        <v>9</v>
      </c>
      <c r="M28" s="461">
        <v>5</v>
      </c>
      <c r="N28" s="461">
        <v>11</v>
      </c>
      <c r="O28" s="462">
        <v>12</v>
      </c>
      <c r="S28" s="458"/>
      <c r="T28" s="458"/>
      <c r="U28" s="458"/>
      <c r="V28" s="458"/>
    </row>
    <row r="29" spans="1:22">
      <c r="A29" s="457" t="str">
        <f>B29</f>
        <v>Longevity</v>
      </c>
      <c r="B29" s="1343" t="s">
        <v>755</v>
      </c>
      <c r="C29" s="1343"/>
      <c r="D29" s="1343"/>
      <c r="E29" s="1343"/>
      <c r="F29" s="1343"/>
      <c r="G29" s="1343"/>
      <c r="H29" s="1343"/>
      <c r="I29" s="1343"/>
      <c r="J29" s="1343"/>
      <c r="K29" s="1343"/>
      <c r="L29" s="1343"/>
      <c r="M29" s="1343"/>
      <c r="N29" s="1343"/>
      <c r="O29" s="1343"/>
      <c r="S29" s="458"/>
      <c r="T29" s="458"/>
      <c r="U29" s="458"/>
      <c r="V29" s="458"/>
    </row>
    <row r="30" spans="1:22">
      <c r="A30" s="457" t="str">
        <f t="shared" ref="A30:A39" si="18">A29</f>
        <v>Longevity</v>
      </c>
      <c r="B30" s="443" t="str">
        <f t="shared" ref="B30:B37" si="19">B17</f>
        <v>Saturn</v>
      </c>
      <c r="D30" s="443">
        <f t="shared" ref="D30:O30" ca="1" si="20">CHOOSE(D17+1,2,1.5,1,0.5,7.5,2*Year,4*Year,6*Year,8*Year)</f>
        <v>7.5</v>
      </c>
      <c r="E30" s="443">
        <f t="shared" ca="1" si="20"/>
        <v>730.50974537036404</v>
      </c>
      <c r="F30" s="443">
        <f t="shared" ca="1" si="20"/>
        <v>0.5</v>
      </c>
      <c r="G30" s="443">
        <f t="shared" ca="1" si="20"/>
        <v>0.5</v>
      </c>
      <c r="H30" s="443">
        <f t="shared" ca="1" si="20"/>
        <v>1</v>
      </c>
      <c r="I30" s="443">
        <f t="shared" ca="1" si="20"/>
        <v>1</v>
      </c>
      <c r="J30" s="443">
        <f t="shared" ca="1" si="20"/>
        <v>1461.0194907407281</v>
      </c>
      <c r="K30" s="443">
        <f t="shared" ca="1" si="20"/>
        <v>0.5</v>
      </c>
      <c r="L30" s="443">
        <f t="shared" ca="1" si="20"/>
        <v>1</v>
      </c>
      <c r="M30" s="443">
        <f t="shared" ca="1" si="20"/>
        <v>1</v>
      </c>
      <c r="N30" s="443">
        <f t="shared" ca="1" si="20"/>
        <v>1</v>
      </c>
      <c r="O30" s="443">
        <f t="shared" ca="1" si="20"/>
        <v>730.50974537036404</v>
      </c>
      <c r="P30" s="50">
        <f t="shared" ref="P30:P37" ca="1" si="21">SUM(D30:O30)/Year</f>
        <v>8.0383293996794034</v>
      </c>
      <c r="S30" s="458"/>
      <c r="T30" s="458"/>
      <c r="U30" s="458"/>
      <c r="V30" s="458"/>
    </row>
    <row r="31" spans="1:22">
      <c r="A31" s="457" t="str">
        <f t="shared" si="18"/>
        <v>Longevity</v>
      </c>
      <c r="B31" s="443" t="str">
        <f t="shared" si="19"/>
        <v>Venus</v>
      </c>
      <c r="D31" s="443">
        <f t="shared" ref="D31:O31" ca="1" si="22">CHOOSE(D18+1,2,1.5,1,0.5,7.5,2*Year,4*Year,6*Year,8*Year)</f>
        <v>7.5</v>
      </c>
      <c r="E31" s="443">
        <f t="shared" ca="1" si="22"/>
        <v>0.5</v>
      </c>
      <c r="F31" s="443">
        <f t="shared" ca="1" si="22"/>
        <v>1461.0194907407281</v>
      </c>
      <c r="G31" s="443">
        <f t="shared" ca="1" si="22"/>
        <v>7.5</v>
      </c>
      <c r="H31" s="443">
        <f t="shared" ca="1" si="22"/>
        <v>730.50974537036404</v>
      </c>
      <c r="I31" s="443">
        <f t="shared" ca="1" si="22"/>
        <v>2191.5292361110924</v>
      </c>
      <c r="J31" s="443">
        <f t="shared" ca="1" si="22"/>
        <v>1</v>
      </c>
      <c r="K31" s="443">
        <f t="shared" ca="1" si="22"/>
        <v>0.5</v>
      </c>
      <c r="L31" s="443">
        <f t="shared" ca="1" si="22"/>
        <v>730.50974537036404</v>
      </c>
      <c r="M31" s="443">
        <f t="shared" ca="1" si="22"/>
        <v>0.5</v>
      </c>
      <c r="N31" s="443">
        <f t="shared" ca="1" si="22"/>
        <v>0.5</v>
      </c>
      <c r="O31" s="443">
        <f t="shared" ca="1" si="22"/>
        <v>2191.5292361110924</v>
      </c>
      <c r="P31" s="50">
        <f t="shared" ca="1" si="21"/>
        <v>20.049280656730662</v>
      </c>
      <c r="S31" s="458"/>
      <c r="T31" s="458"/>
      <c r="U31" s="458"/>
      <c r="V31" s="458"/>
    </row>
    <row r="32" spans="1:22">
      <c r="A32" s="457" t="str">
        <f t="shared" si="18"/>
        <v>Longevity</v>
      </c>
      <c r="B32" s="443" t="str">
        <f t="shared" si="19"/>
        <v>Jupiter</v>
      </c>
      <c r="D32" s="443">
        <f t="shared" ref="D32:O32" ca="1" si="23">CHOOSE(D19+1,2,1.5,1,0.5,7.5,2*Year,4*Year,6*Year,8*Year)</f>
        <v>1461.0194907407281</v>
      </c>
      <c r="E32" s="443">
        <f t="shared" ca="1" si="23"/>
        <v>7.5</v>
      </c>
      <c r="F32" s="443">
        <f t="shared" ca="1" si="23"/>
        <v>0.5</v>
      </c>
      <c r="G32" s="443">
        <f t="shared" ca="1" si="23"/>
        <v>730.50974537036404</v>
      </c>
      <c r="H32" s="443">
        <f t="shared" ca="1" si="23"/>
        <v>730.50974537036404</v>
      </c>
      <c r="I32" s="443">
        <f t="shared" ca="1" si="23"/>
        <v>730.50974537036404</v>
      </c>
      <c r="J32" s="443">
        <f t="shared" ca="1" si="23"/>
        <v>730.50974537036404</v>
      </c>
      <c r="K32" s="443">
        <f t="shared" ca="1" si="23"/>
        <v>1461.0194907407281</v>
      </c>
      <c r="L32" s="443">
        <f t="shared" ca="1" si="23"/>
        <v>0.5</v>
      </c>
      <c r="M32" s="443">
        <f t="shared" ca="1" si="23"/>
        <v>730.50974537036404</v>
      </c>
      <c r="N32" s="443">
        <f t="shared" ca="1" si="23"/>
        <v>730.50974537036404</v>
      </c>
      <c r="O32" s="443">
        <f t="shared" ca="1" si="23"/>
        <v>7.5</v>
      </c>
      <c r="P32" s="50">
        <f t="shared" ca="1" si="21"/>
        <v>20.043805028205032</v>
      </c>
      <c r="S32" s="458"/>
      <c r="T32" s="458"/>
      <c r="U32" s="458"/>
      <c r="V32" s="458"/>
    </row>
    <row r="33" spans="1:22">
      <c r="A33" s="457" t="str">
        <f t="shared" si="18"/>
        <v>Longevity</v>
      </c>
      <c r="B33" s="443" t="str">
        <f t="shared" si="19"/>
        <v>Mercury</v>
      </c>
      <c r="D33" s="443">
        <f t="shared" ref="D33:O33" ca="1" si="24">CHOOSE(D20+1,2,1.5,1,0.5,7.5,2*Year,4*Year,6*Year,8*Year)</f>
        <v>7.5</v>
      </c>
      <c r="E33" s="443">
        <f t="shared" ca="1" si="24"/>
        <v>7.5</v>
      </c>
      <c r="F33" s="443">
        <f t="shared" ca="1" si="24"/>
        <v>2191.5292361110924</v>
      </c>
      <c r="G33" s="443">
        <f t="shared" ca="1" si="24"/>
        <v>0.5</v>
      </c>
      <c r="H33" s="443">
        <f t="shared" ca="1" si="24"/>
        <v>730.50974537036404</v>
      </c>
      <c r="I33" s="443">
        <f t="shared" ca="1" si="24"/>
        <v>730.50974537036404</v>
      </c>
      <c r="J33" s="443">
        <f t="shared" ca="1" si="24"/>
        <v>7.5</v>
      </c>
      <c r="K33" s="443">
        <f t="shared" ca="1" si="24"/>
        <v>730.50974537036404</v>
      </c>
      <c r="L33" s="443">
        <f t="shared" ca="1" si="24"/>
        <v>7.5</v>
      </c>
      <c r="M33" s="443">
        <f t="shared" ca="1" si="24"/>
        <v>7.5</v>
      </c>
      <c r="N33" s="443">
        <f t="shared" ca="1" si="24"/>
        <v>7.5</v>
      </c>
      <c r="O33" s="443">
        <f t="shared" ca="1" si="24"/>
        <v>730.50974537036404</v>
      </c>
      <c r="P33" s="50">
        <f t="shared" ca="1" si="21"/>
        <v>14.12457054895806</v>
      </c>
      <c r="S33" s="458"/>
      <c r="T33" s="458"/>
      <c r="U33" s="458"/>
      <c r="V33" s="458"/>
    </row>
    <row r="34" spans="1:22">
      <c r="A34" s="457" t="str">
        <f t="shared" si="18"/>
        <v>Longevity</v>
      </c>
      <c r="B34" s="443" t="str">
        <f t="shared" si="19"/>
        <v>Mars</v>
      </c>
      <c r="D34" s="443">
        <f t="shared" ref="D34:O34" ca="1" si="25">CHOOSE(D21+1,2,1.5,1,0.5,7.5,2*Year,4*Year,6*Year,8*Year)</f>
        <v>7.5</v>
      </c>
      <c r="E34" s="443">
        <f t="shared" ca="1" si="25"/>
        <v>730.50974537036404</v>
      </c>
      <c r="F34" s="443">
        <f t="shared" ca="1" si="25"/>
        <v>1.5</v>
      </c>
      <c r="G34" s="443">
        <f t="shared" ca="1" si="25"/>
        <v>1</v>
      </c>
      <c r="H34" s="443">
        <f t="shared" ca="1" si="25"/>
        <v>7.5</v>
      </c>
      <c r="I34" s="443">
        <f t="shared" ca="1" si="25"/>
        <v>0.5</v>
      </c>
      <c r="J34" s="443">
        <f t="shared" ca="1" si="25"/>
        <v>7.5</v>
      </c>
      <c r="K34" s="443">
        <f t="shared" ca="1" si="25"/>
        <v>730.50974537036404</v>
      </c>
      <c r="L34" s="443">
        <f t="shared" ca="1" si="25"/>
        <v>0.5</v>
      </c>
      <c r="M34" s="443">
        <f t="shared" ca="1" si="25"/>
        <v>7.5</v>
      </c>
      <c r="N34" s="443">
        <f t="shared" ca="1" si="25"/>
        <v>1</v>
      </c>
      <c r="O34" s="443">
        <f t="shared" ca="1" si="25"/>
        <v>1</v>
      </c>
      <c r="P34" s="50">
        <f t="shared" ca="1" si="21"/>
        <v>4.0971924063299161</v>
      </c>
      <c r="S34" s="458"/>
      <c r="T34" s="458"/>
      <c r="U34" s="458"/>
      <c r="V34" s="458"/>
    </row>
    <row r="35" spans="1:22">
      <c r="A35" s="457" t="str">
        <f t="shared" si="18"/>
        <v>Longevity</v>
      </c>
      <c r="B35" s="443" t="str">
        <f t="shared" si="19"/>
        <v>Moon</v>
      </c>
      <c r="D35" s="443">
        <f t="shared" ref="D35:O35" ca="1" si="26">CHOOSE(D22+1,2,1.5,1,0.5,7.5,2*Year,4*Year,6*Year,8*Year)</f>
        <v>0.5</v>
      </c>
      <c r="E35" s="443">
        <f t="shared" ca="1" si="26"/>
        <v>1461.0194907407281</v>
      </c>
      <c r="F35" s="443">
        <f t="shared" ca="1" si="26"/>
        <v>0.5</v>
      </c>
      <c r="G35" s="443">
        <f t="shared" ca="1" si="26"/>
        <v>0.5</v>
      </c>
      <c r="H35" s="443">
        <f t="shared" ca="1" si="26"/>
        <v>1</v>
      </c>
      <c r="I35" s="443">
        <f t="shared" ca="1" si="26"/>
        <v>730.50974537036404</v>
      </c>
      <c r="J35" s="443">
        <f t="shared" ca="1" si="26"/>
        <v>1461.0194907407281</v>
      </c>
      <c r="K35" s="443">
        <f t="shared" ca="1" si="26"/>
        <v>7.5</v>
      </c>
      <c r="L35" s="443">
        <f t="shared" ca="1" si="26"/>
        <v>0.5</v>
      </c>
      <c r="M35" s="443">
        <f t="shared" ca="1" si="26"/>
        <v>7.5</v>
      </c>
      <c r="N35" s="443">
        <f t="shared" ca="1" si="26"/>
        <v>1461.0194907407281</v>
      </c>
      <c r="O35" s="443">
        <f t="shared" ca="1" si="26"/>
        <v>7.5</v>
      </c>
      <c r="P35" s="50">
        <f t="shared" ca="1" si="21"/>
        <v>14.069814263701771</v>
      </c>
      <c r="S35" s="458"/>
      <c r="T35" s="458"/>
      <c r="U35" s="458"/>
      <c r="V35" s="458"/>
    </row>
    <row r="36" spans="1:22">
      <c r="A36" s="457" t="str">
        <f t="shared" si="18"/>
        <v>Longevity</v>
      </c>
      <c r="B36" s="443" t="str">
        <f t="shared" si="19"/>
        <v>Sun</v>
      </c>
      <c r="D36" s="443">
        <f t="shared" ref="D36:O36" ca="1" si="27">CHOOSE(D23+1,2,1.5,1,0.5,7.5,2*Year,4*Year,6*Year,8*Year)</f>
        <v>7.5</v>
      </c>
      <c r="E36" s="443">
        <f t="shared" ca="1" si="27"/>
        <v>730.50974537036404</v>
      </c>
      <c r="F36" s="443">
        <f t="shared" ca="1" si="27"/>
        <v>0.5</v>
      </c>
      <c r="G36" s="443">
        <f t="shared" ca="1" si="27"/>
        <v>730.50974537036404</v>
      </c>
      <c r="H36" s="443">
        <f t="shared" ca="1" si="27"/>
        <v>0.5</v>
      </c>
      <c r="I36" s="443">
        <f t="shared" ca="1" si="27"/>
        <v>0.5</v>
      </c>
      <c r="J36" s="443">
        <f t="shared" ca="1" si="27"/>
        <v>7.5</v>
      </c>
      <c r="K36" s="443">
        <f t="shared" ca="1" si="27"/>
        <v>730.50974537036404</v>
      </c>
      <c r="L36" s="443">
        <f t="shared" ca="1" si="27"/>
        <v>0.5</v>
      </c>
      <c r="M36" s="443">
        <f t="shared" ca="1" si="27"/>
        <v>7.5</v>
      </c>
      <c r="N36" s="443">
        <f t="shared" ca="1" si="27"/>
        <v>7.5</v>
      </c>
      <c r="O36" s="443">
        <f t="shared" ca="1" si="27"/>
        <v>730.50974537036404</v>
      </c>
      <c r="P36" s="50">
        <f t="shared" ca="1" si="21"/>
        <v>8.0876100564100657</v>
      </c>
      <c r="S36" s="458"/>
      <c r="T36" s="458"/>
      <c r="U36" s="458"/>
      <c r="V36" s="458"/>
    </row>
    <row r="37" spans="1:22">
      <c r="A37" s="457" t="str">
        <f t="shared" si="18"/>
        <v>Longevity</v>
      </c>
      <c r="B37" s="443" t="str">
        <f t="shared" si="19"/>
        <v>Lagna</v>
      </c>
      <c r="D37" s="443">
        <f t="shared" ref="D37:O37" ca="1" si="28">CHOOSE(D24+1,2,1.5,1,0.5,7.5,2*Year,4*Year,6*Year,8*Year)</f>
        <v>7.5</v>
      </c>
      <c r="E37" s="443">
        <f t="shared" ca="1" si="28"/>
        <v>730.50974537036404</v>
      </c>
      <c r="F37" s="443">
        <f t="shared" ca="1" si="28"/>
        <v>7.5</v>
      </c>
      <c r="G37" s="443">
        <f t="shared" ca="1" si="28"/>
        <v>730.50974537036404</v>
      </c>
      <c r="H37" s="443">
        <f t="shared" ca="1" si="28"/>
        <v>7.5</v>
      </c>
      <c r="I37" s="443">
        <f t="shared" ca="1" si="28"/>
        <v>0.5</v>
      </c>
      <c r="J37" s="443">
        <f t="shared" ca="1" si="28"/>
        <v>2191.5292361110924</v>
      </c>
      <c r="K37" s="443">
        <f t="shared" ca="1" si="28"/>
        <v>1</v>
      </c>
      <c r="L37" s="443">
        <f t="shared" ca="1" si="28"/>
        <v>0.5</v>
      </c>
      <c r="M37" s="443">
        <f t="shared" ca="1" si="28"/>
        <v>0.5</v>
      </c>
      <c r="N37" s="443">
        <f t="shared" ca="1" si="28"/>
        <v>730.50974537036404</v>
      </c>
      <c r="O37" s="443">
        <f t="shared" ca="1" si="28"/>
        <v>7.5</v>
      </c>
      <c r="P37" s="50">
        <f t="shared" ca="1" si="21"/>
        <v>12.088978963541473</v>
      </c>
      <c r="S37" s="458"/>
      <c r="T37" s="458"/>
      <c r="U37" s="458"/>
      <c r="V37" s="458"/>
    </row>
    <row r="38" spans="1:22">
      <c r="A38" s="457" t="str">
        <f t="shared" si="18"/>
        <v>Longevity</v>
      </c>
      <c r="P38" s="50">
        <f ca="1">SUM(P30:P37)</f>
        <v>100.59958132355639</v>
      </c>
      <c r="S38" s="458"/>
      <c r="T38" s="458"/>
      <c r="U38" s="458"/>
      <c r="V38" s="458"/>
    </row>
    <row r="39" spans="1:22">
      <c r="A39" s="457" t="str">
        <f t="shared" si="18"/>
        <v>Longevity</v>
      </c>
      <c r="S39" s="458"/>
      <c r="T39" s="458"/>
      <c r="U39" s="458"/>
      <c r="V39" s="458"/>
    </row>
    <row r="40" spans="1:22" ht="17.25">
      <c r="A40" s="457" t="str">
        <f>B40</f>
        <v>Trikona Shodana Selected</v>
      </c>
      <c r="B40" s="1344" t="s">
        <v>756</v>
      </c>
      <c r="C40" s="1344"/>
      <c r="D40" s="1344"/>
      <c r="E40" s="1344"/>
      <c r="F40" s="1344"/>
      <c r="G40" s="1344"/>
      <c r="H40" s="1344"/>
      <c r="I40" s="1344"/>
      <c r="J40" s="1344"/>
      <c r="K40" s="1344"/>
      <c r="L40" s="1344"/>
      <c r="M40" s="1344"/>
      <c r="N40" s="1344"/>
      <c r="O40" s="1344"/>
      <c r="P40" s="50">
        <v>0</v>
      </c>
      <c r="Q40" s="50" t="s">
        <v>757</v>
      </c>
      <c r="S40" s="458"/>
      <c r="T40" s="458"/>
      <c r="U40" s="458"/>
      <c r="V40" s="458"/>
    </row>
    <row r="41" spans="1:22">
      <c r="A41" s="457" t="str">
        <f t="shared" ref="A41:A50" si="29">A40</f>
        <v>Trikona Shodana Selected</v>
      </c>
      <c r="B41" s="443" t="str">
        <f t="shared" ref="B41:B48" si="30">"TS"&amp;B17</f>
        <v>TSSaturn</v>
      </c>
      <c r="D41" s="463">
        <f t="shared" ref="D41:O41" ca="1" si="31">IF(ShodhanaMinimum,D63,D52)</f>
        <v>2</v>
      </c>
      <c r="E41" s="464">
        <f t="shared" ca="1" si="31"/>
        <v>3</v>
      </c>
      <c r="F41" s="465">
        <f t="shared" ca="1" si="31"/>
        <v>1</v>
      </c>
      <c r="G41" s="466">
        <f t="shared" ca="1" si="31"/>
        <v>0</v>
      </c>
      <c r="H41" s="463">
        <f t="shared" ca="1" si="31"/>
        <v>0</v>
      </c>
      <c r="I41" s="464">
        <f t="shared" ca="1" si="31"/>
        <v>0</v>
      </c>
      <c r="J41" s="465">
        <f t="shared" ca="1" si="31"/>
        <v>4</v>
      </c>
      <c r="K41" s="466">
        <f t="shared" ca="1" si="31"/>
        <v>0</v>
      </c>
      <c r="L41" s="463">
        <f t="shared" ca="1" si="31"/>
        <v>0</v>
      </c>
      <c r="M41" s="464">
        <f t="shared" ca="1" si="31"/>
        <v>0</v>
      </c>
      <c r="N41" s="465">
        <f t="shared" ca="1" si="31"/>
        <v>0</v>
      </c>
      <c r="O41" s="466">
        <f t="shared" ca="1" si="31"/>
        <v>2</v>
      </c>
    </row>
    <row r="42" spans="1:22">
      <c r="A42" s="457" t="str">
        <f t="shared" si="29"/>
        <v>Trikona Shodana Selected</v>
      </c>
      <c r="B42" s="443" t="str">
        <f t="shared" si="30"/>
        <v>TSVenus</v>
      </c>
      <c r="D42" s="467">
        <f t="shared" ref="D42:O42" ca="1" si="32">IF(ShodhanaMinimum,D64,D53)</f>
        <v>0</v>
      </c>
      <c r="E42" s="468">
        <f t="shared" ca="1" si="32"/>
        <v>0</v>
      </c>
      <c r="F42" s="469">
        <f t="shared" ca="1" si="32"/>
        <v>4</v>
      </c>
      <c r="G42" s="470">
        <f t="shared" ca="1" si="32"/>
        <v>1</v>
      </c>
      <c r="H42" s="467">
        <f t="shared" ca="1" si="32"/>
        <v>1</v>
      </c>
      <c r="I42" s="468">
        <f t="shared" ca="1" si="32"/>
        <v>4</v>
      </c>
      <c r="J42" s="469">
        <f t="shared" ca="1" si="32"/>
        <v>0</v>
      </c>
      <c r="K42" s="470">
        <f t="shared" ca="1" si="32"/>
        <v>0</v>
      </c>
      <c r="L42" s="467">
        <f t="shared" ca="1" si="32"/>
        <v>1</v>
      </c>
      <c r="M42" s="468">
        <f t="shared" ca="1" si="32"/>
        <v>0</v>
      </c>
      <c r="N42" s="469">
        <f t="shared" ca="1" si="32"/>
        <v>1</v>
      </c>
      <c r="O42" s="470">
        <f t="shared" ca="1" si="32"/>
        <v>4</v>
      </c>
    </row>
    <row r="43" spans="1:22">
      <c r="A43" s="457" t="str">
        <f t="shared" si="29"/>
        <v>Trikona Shodana Selected</v>
      </c>
      <c r="B43" s="443" t="str">
        <f t="shared" si="30"/>
        <v>TSJupiter</v>
      </c>
      <c r="D43" s="467">
        <f t="shared" ref="D43:O43" ca="1" si="33">IF(ShodhanaMinimum,D65,D54)</f>
        <v>3</v>
      </c>
      <c r="E43" s="468">
        <f t="shared" ca="1" si="33"/>
        <v>0</v>
      </c>
      <c r="F43" s="469">
        <f t="shared" ca="1" si="33"/>
        <v>0</v>
      </c>
      <c r="G43" s="470">
        <f t="shared" ca="1" si="33"/>
        <v>1</v>
      </c>
      <c r="H43" s="467">
        <f t="shared" ca="1" si="33"/>
        <v>2</v>
      </c>
      <c r="I43" s="468">
        <f t="shared" ca="1" si="33"/>
        <v>1</v>
      </c>
      <c r="J43" s="469">
        <f t="shared" ca="1" si="33"/>
        <v>2</v>
      </c>
      <c r="K43" s="470">
        <f t="shared" ca="1" si="33"/>
        <v>2</v>
      </c>
      <c r="L43" s="467">
        <f t="shared" ca="1" si="33"/>
        <v>0</v>
      </c>
      <c r="M43" s="468">
        <f t="shared" ca="1" si="33"/>
        <v>1</v>
      </c>
      <c r="N43" s="469">
        <f t="shared" ca="1" si="33"/>
        <v>2</v>
      </c>
      <c r="O43" s="470">
        <f t="shared" ca="1" si="33"/>
        <v>0</v>
      </c>
    </row>
    <row r="44" spans="1:22">
      <c r="A44" s="457" t="str">
        <f t="shared" si="29"/>
        <v>Trikona Shodana Selected</v>
      </c>
      <c r="B44" s="443" t="str">
        <f t="shared" si="30"/>
        <v>TSMercury</v>
      </c>
      <c r="D44" s="467">
        <f t="shared" ref="D44:O44" ca="1" si="34">IF(ShodhanaMinimum,D66,D55)</f>
        <v>0</v>
      </c>
      <c r="E44" s="468">
        <f t="shared" ca="1" si="34"/>
        <v>0</v>
      </c>
      <c r="F44" s="469">
        <f t="shared" ca="1" si="34"/>
        <v>3</v>
      </c>
      <c r="G44" s="470">
        <f t="shared" ca="1" si="34"/>
        <v>0</v>
      </c>
      <c r="H44" s="467">
        <f t="shared" ca="1" si="34"/>
        <v>1</v>
      </c>
      <c r="I44" s="468">
        <f t="shared" ca="1" si="34"/>
        <v>1</v>
      </c>
      <c r="J44" s="469">
        <f t="shared" ca="1" si="34"/>
        <v>0</v>
      </c>
      <c r="K44" s="470">
        <f t="shared" ca="1" si="34"/>
        <v>2</v>
      </c>
      <c r="L44" s="467">
        <f t="shared" ca="1" si="34"/>
        <v>0</v>
      </c>
      <c r="M44" s="468">
        <f t="shared" ca="1" si="34"/>
        <v>0</v>
      </c>
      <c r="N44" s="469">
        <f t="shared" ca="1" si="34"/>
        <v>0</v>
      </c>
      <c r="O44" s="470">
        <f t="shared" ca="1" si="34"/>
        <v>2</v>
      </c>
    </row>
    <row r="45" spans="1:22">
      <c r="A45" s="457" t="str">
        <f t="shared" si="29"/>
        <v>Trikona Shodana Selected</v>
      </c>
      <c r="B45" s="443" t="str">
        <f t="shared" si="30"/>
        <v>TSMars</v>
      </c>
      <c r="D45" s="467">
        <f t="shared" ref="D45:O45" ca="1" si="35">IF(ShodhanaMinimum,D67,D56)</f>
        <v>1</v>
      </c>
      <c r="E45" s="468">
        <f t="shared" ca="1" si="35"/>
        <v>2</v>
      </c>
      <c r="F45" s="469">
        <f t="shared" ca="1" si="35"/>
        <v>0</v>
      </c>
      <c r="G45" s="470">
        <f t="shared" ca="1" si="35"/>
        <v>0</v>
      </c>
      <c r="H45" s="467">
        <f t="shared" ca="1" si="35"/>
        <v>1</v>
      </c>
      <c r="I45" s="468">
        <f t="shared" ca="1" si="35"/>
        <v>0</v>
      </c>
      <c r="J45" s="469">
        <f t="shared" ca="1" si="35"/>
        <v>3</v>
      </c>
      <c r="K45" s="470">
        <f t="shared" ca="1" si="35"/>
        <v>3</v>
      </c>
      <c r="L45" s="467">
        <f t="shared" ca="1" si="35"/>
        <v>0</v>
      </c>
      <c r="M45" s="468">
        <f t="shared" ca="1" si="35"/>
        <v>1</v>
      </c>
      <c r="N45" s="469">
        <f t="shared" ca="1" si="35"/>
        <v>1</v>
      </c>
      <c r="O45" s="470">
        <f t="shared" ca="1" si="35"/>
        <v>0</v>
      </c>
    </row>
    <row r="46" spans="1:22">
      <c r="A46" s="457" t="str">
        <f t="shared" si="29"/>
        <v>Trikona Shodana Selected</v>
      </c>
      <c r="B46" s="443" t="str">
        <f t="shared" si="30"/>
        <v>TSMoon</v>
      </c>
      <c r="C46" s="194"/>
      <c r="D46" s="467">
        <f t="shared" ref="D46:O46" ca="1" si="36">IF(ShodhanaMinimum,D68,D57)</f>
        <v>1</v>
      </c>
      <c r="E46" s="468">
        <f t="shared" ca="1" si="36"/>
        <v>2</v>
      </c>
      <c r="F46" s="469">
        <f t="shared" ca="1" si="36"/>
        <v>0</v>
      </c>
      <c r="G46" s="470">
        <f t="shared" ca="1" si="36"/>
        <v>0</v>
      </c>
      <c r="H46" s="467">
        <f t="shared" ca="1" si="36"/>
        <v>0</v>
      </c>
      <c r="I46" s="468">
        <f t="shared" ca="1" si="36"/>
        <v>1</v>
      </c>
      <c r="J46" s="469">
        <f t="shared" ca="1" si="36"/>
        <v>3</v>
      </c>
      <c r="K46" s="470">
        <f t="shared" ca="1" si="36"/>
        <v>1</v>
      </c>
      <c r="L46" s="467">
        <f t="shared" ca="1" si="36"/>
        <v>1</v>
      </c>
      <c r="M46" s="468">
        <f t="shared" ca="1" si="36"/>
        <v>0</v>
      </c>
      <c r="N46" s="469">
        <f t="shared" ca="1" si="36"/>
        <v>3</v>
      </c>
      <c r="O46" s="470">
        <f t="shared" ca="1" si="36"/>
        <v>1</v>
      </c>
    </row>
    <row r="47" spans="1:22">
      <c r="A47" s="457" t="str">
        <f t="shared" si="29"/>
        <v>Trikona Shodana Selected</v>
      </c>
      <c r="B47" s="443" t="str">
        <f t="shared" si="30"/>
        <v>TSSun</v>
      </c>
      <c r="D47" s="467">
        <f t="shared" ref="D47:O47" ca="1" si="37">IF(ShodhanaMinimum,D69,D58)</f>
        <v>1</v>
      </c>
      <c r="E47" s="468">
        <f t="shared" ca="1" si="37"/>
        <v>2</v>
      </c>
      <c r="F47" s="469">
        <f t="shared" ca="1" si="37"/>
        <v>0</v>
      </c>
      <c r="G47" s="470">
        <f t="shared" ca="1" si="37"/>
        <v>0</v>
      </c>
      <c r="H47" s="467">
        <f t="shared" ca="1" si="37"/>
        <v>0</v>
      </c>
      <c r="I47" s="468">
        <f t="shared" ca="1" si="37"/>
        <v>0</v>
      </c>
      <c r="J47" s="469">
        <f t="shared" ca="1" si="37"/>
        <v>1</v>
      </c>
      <c r="K47" s="470">
        <f t="shared" ca="1" si="37"/>
        <v>0</v>
      </c>
      <c r="L47" s="467">
        <f t="shared" ca="1" si="37"/>
        <v>0</v>
      </c>
      <c r="M47" s="468">
        <f t="shared" ca="1" si="37"/>
        <v>1</v>
      </c>
      <c r="N47" s="469">
        <f t="shared" ca="1" si="37"/>
        <v>1</v>
      </c>
      <c r="O47" s="470">
        <f t="shared" ca="1" si="37"/>
        <v>0</v>
      </c>
    </row>
    <row r="48" spans="1:22">
      <c r="A48" s="457" t="str">
        <f t="shared" si="29"/>
        <v>Trikona Shodana Selected</v>
      </c>
      <c r="B48" s="443" t="str">
        <f t="shared" si="30"/>
        <v>TSLagna</v>
      </c>
      <c r="D48" s="467">
        <f t="shared" ref="D48:O48" ca="1" si="38">IF(ShodhanaMinimum,D70,D59)</f>
        <v>1</v>
      </c>
      <c r="E48" s="468">
        <f t="shared" ca="1" si="38"/>
        <v>2</v>
      </c>
      <c r="F48" s="469">
        <f t="shared" ca="1" si="38"/>
        <v>0</v>
      </c>
      <c r="G48" s="470">
        <f t="shared" ca="1" si="38"/>
        <v>3</v>
      </c>
      <c r="H48" s="467">
        <f t="shared" ca="1" si="38"/>
        <v>1</v>
      </c>
      <c r="I48" s="468">
        <f t="shared" ca="1" si="38"/>
        <v>0</v>
      </c>
      <c r="J48" s="469">
        <f t="shared" ca="1" si="38"/>
        <v>3</v>
      </c>
      <c r="K48" s="470">
        <f t="shared" ca="1" si="38"/>
        <v>0</v>
      </c>
      <c r="L48" s="467">
        <f t="shared" ca="1" si="38"/>
        <v>0</v>
      </c>
      <c r="M48" s="468">
        <f t="shared" ca="1" si="38"/>
        <v>0</v>
      </c>
      <c r="N48" s="469">
        <f t="shared" ca="1" si="38"/>
        <v>1</v>
      </c>
      <c r="O48" s="470">
        <f t="shared" ca="1" si="38"/>
        <v>2</v>
      </c>
    </row>
    <row r="49" spans="1:22">
      <c r="A49" s="457" t="str">
        <f t="shared" si="29"/>
        <v>Trikona Shodana Selected</v>
      </c>
      <c r="D49" s="467"/>
      <c r="E49" s="468"/>
      <c r="F49" s="469"/>
      <c r="G49" s="470"/>
      <c r="H49" s="467"/>
      <c r="I49" s="468"/>
      <c r="J49" s="469"/>
      <c r="K49" s="470"/>
      <c r="L49" s="467"/>
      <c r="M49" s="468"/>
      <c r="N49" s="469"/>
      <c r="O49" s="470"/>
    </row>
    <row r="50" spans="1:22">
      <c r="A50" s="457" t="str">
        <f t="shared" si="29"/>
        <v>Trikona Shodana Selected</v>
      </c>
      <c r="D50" s="471"/>
      <c r="E50" s="472"/>
      <c r="F50" s="473"/>
      <c r="G50" s="474"/>
      <c r="H50" s="471"/>
      <c r="I50" s="472"/>
      <c r="J50" s="473"/>
      <c r="K50" s="474"/>
      <c r="L50" s="471"/>
      <c r="M50" s="472"/>
      <c r="N50" s="473"/>
      <c r="O50" s="474"/>
    </row>
    <row r="51" spans="1:22" ht="17.25">
      <c r="A51" s="457" t="str">
        <f>B51</f>
        <v>Trikona Shodana Subtraction</v>
      </c>
      <c r="B51" s="1344" t="s">
        <v>758</v>
      </c>
      <c r="C51" s="1344"/>
      <c r="D51" s="1344"/>
      <c r="E51" s="1344"/>
      <c r="F51" s="1344"/>
      <c r="G51" s="1344"/>
      <c r="H51" s="1344"/>
      <c r="I51" s="1344"/>
      <c r="J51" s="1344"/>
      <c r="K51" s="1344"/>
      <c r="L51" s="1344"/>
      <c r="M51" s="1344"/>
      <c r="N51" s="1344"/>
      <c r="O51" s="1344"/>
      <c r="P51" s="443"/>
      <c r="Q51" s="443"/>
    </row>
    <row r="52" spans="1:22">
      <c r="A52" s="457" t="str">
        <f t="shared" ref="A52:A61" si="39">A51</f>
        <v>Trikona Shodana Subtraction</v>
      </c>
      <c r="B52" s="443" t="str">
        <f t="shared" ref="B52:B59" si="40">"TS"&amp;B17</f>
        <v>TSSaturn</v>
      </c>
      <c r="D52" s="475">
        <f t="shared" ref="D52:G59" ca="1" si="41">D17-MIN(D17,H17,L17)</f>
        <v>2</v>
      </c>
      <c r="E52" s="468">
        <f t="shared" ca="1" si="41"/>
        <v>3</v>
      </c>
      <c r="F52" s="469">
        <f t="shared" ca="1" si="41"/>
        <v>1</v>
      </c>
      <c r="G52" s="476">
        <f t="shared" ca="1" si="41"/>
        <v>0</v>
      </c>
      <c r="H52" s="475">
        <f t="shared" ref="H52:K59" ca="1" si="42">H17-MIN(D17,H17,L17)</f>
        <v>0</v>
      </c>
      <c r="I52" s="468">
        <f t="shared" ca="1" si="42"/>
        <v>0</v>
      </c>
      <c r="J52" s="469">
        <f t="shared" ca="1" si="42"/>
        <v>4</v>
      </c>
      <c r="K52" s="476">
        <f t="shared" ca="1" si="42"/>
        <v>0</v>
      </c>
      <c r="L52" s="475">
        <f t="shared" ref="L52:O59" ca="1" si="43">L17-MIN(D17,H17,L17)</f>
        <v>0</v>
      </c>
      <c r="M52" s="468">
        <f t="shared" ca="1" si="43"/>
        <v>0</v>
      </c>
      <c r="N52" s="469">
        <f t="shared" ca="1" si="43"/>
        <v>0</v>
      </c>
      <c r="O52" s="476">
        <f t="shared" ca="1" si="43"/>
        <v>2</v>
      </c>
      <c r="Q52" s="443"/>
    </row>
    <row r="53" spans="1:22">
      <c r="A53" s="457" t="str">
        <f t="shared" si="39"/>
        <v>Trikona Shodana Subtraction</v>
      </c>
      <c r="B53" s="443" t="str">
        <f t="shared" si="40"/>
        <v>TSVenus</v>
      </c>
      <c r="D53" s="475">
        <f t="shared" ca="1" si="41"/>
        <v>0</v>
      </c>
      <c r="E53" s="468">
        <f t="shared" ca="1" si="41"/>
        <v>0</v>
      </c>
      <c r="F53" s="469">
        <f t="shared" ca="1" si="41"/>
        <v>4</v>
      </c>
      <c r="G53" s="476">
        <f t="shared" ca="1" si="41"/>
        <v>1</v>
      </c>
      <c r="H53" s="475">
        <f t="shared" ca="1" si="42"/>
        <v>1</v>
      </c>
      <c r="I53" s="468">
        <f t="shared" ca="1" si="42"/>
        <v>4</v>
      </c>
      <c r="J53" s="469">
        <f t="shared" ca="1" si="42"/>
        <v>0</v>
      </c>
      <c r="K53" s="476">
        <f t="shared" ca="1" si="42"/>
        <v>0</v>
      </c>
      <c r="L53" s="475">
        <f t="shared" ca="1" si="43"/>
        <v>1</v>
      </c>
      <c r="M53" s="468">
        <f t="shared" ca="1" si="43"/>
        <v>0</v>
      </c>
      <c r="N53" s="469">
        <f t="shared" ca="1" si="43"/>
        <v>1</v>
      </c>
      <c r="O53" s="476">
        <f t="shared" ca="1" si="43"/>
        <v>4</v>
      </c>
      <c r="S53" s="458"/>
      <c r="T53" s="458"/>
      <c r="U53" s="458"/>
      <c r="V53" s="458"/>
    </row>
    <row r="54" spans="1:22">
      <c r="A54" s="457" t="str">
        <f t="shared" si="39"/>
        <v>Trikona Shodana Subtraction</v>
      </c>
      <c r="B54" s="443" t="str">
        <f t="shared" si="40"/>
        <v>TSJupiter</v>
      </c>
      <c r="D54" s="475">
        <f t="shared" ca="1" si="41"/>
        <v>3</v>
      </c>
      <c r="E54" s="468">
        <f t="shared" ca="1" si="41"/>
        <v>0</v>
      </c>
      <c r="F54" s="469">
        <f t="shared" ca="1" si="41"/>
        <v>0</v>
      </c>
      <c r="G54" s="476">
        <f t="shared" ca="1" si="41"/>
        <v>1</v>
      </c>
      <c r="H54" s="475">
        <f t="shared" ca="1" si="42"/>
        <v>2</v>
      </c>
      <c r="I54" s="468">
        <f t="shared" ca="1" si="42"/>
        <v>1</v>
      </c>
      <c r="J54" s="469">
        <f t="shared" ca="1" si="42"/>
        <v>2</v>
      </c>
      <c r="K54" s="476">
        <f t="shared" ca="1" si="42"/>
        <v>2</v>
      </c>
      <c r="L54" s="475">
        <f t="shared" ca="1" si="43"/>
        <v>0</v>
      </c>
      <c r="M54" s="468">
        <f t="shared" ca="1" si="43"/>
        <v>1</v>
      </c>
      <c r="N54" s="469">
        <f t="shared" ca="1" si="43"/>
        <v>2</v>
      </c>
      <c r="O54" s="476">
        <f t="shared" ca="1" si="43"/>
        <v>0</v>
      </c>
      <c r="S54" s="458"/>
      <c r="T54" s="458"/>
      <c r="U54" s="458"/>
      <c r="V54" s="458"/>
    </row>
    <row r="55" spans="1:22">
      <c r="A55" s="457" t="str">
        <f t="shared" si="39"/>
        <v>Trikona Shodana Subtraction</v>
      </c>
      <c r="B55" s="443" t="str">
        <f t="shared" si="40"/>
        <v>TSMercury</v>
      </c>
      <c r="D55" s="475">
        <f t="shared" ca="1" si="41"/>
        <v>0</v>
      </c>
      <c r="E55" s="468">
        <f t="shared" ca="1" si="41"/>
        <v>0</v>
      </c>
      <c r="F55" s="469">
        <f t="shared" ca="1" si="41"/>
        <v>3</v>
      </c>
      <c r="G55" s="476">
        <f t="shared" ca="1" si="41"/>
        <v>0</v>
      </c>
      <c r="H55" s="475">
        <f t="shared" ca="1" si="42"/>
        <v>1</v>
      </c>
      <c r="I55" s="468">
        <f t="shared" ca="1" si="42"/>
        <v>1</v>
      </c>
      <c r="J55" s="469">
        <f t="shared" ca="1" si="42"/>
        <v>0</v>
      </c>
      <c r="K55" s="476">
        <f t="shared" ca="1" si="42"/>
        <v>2</v>
      </c>
      <c r="L55" s="475">
        <f t="shared" ca="1" si="43"/>
        <v>0</v>
      </c>
      <c r="M55" s="468">
        <f t="shared" ca="1" si="43"/>
        <v>0</v>
      </c>
      <c r="N55" s="469">
        <f t="shared" ca="1" si="43"/>
        <v>0</v>
      </c>
      <c r="O55" s="476">
        <f t="shared" ca="1" si="43"/>
        <v>2</v>
      </c>
      <c r="S55" s="458"/>
      <c r="T55" s="458"/>
      <c r="U55" s="458"/>
      <c r="V55" s="458"/>
    </row>
    <row r="56" spans="1:22">
      <c r="A56" s="457" t="str">
        <f t="shared" si="39"/>
        <v>Trikona Shodana Subtraction</v>
      </c>
      <c r="B56" s="443" t="str">
        <f t="shared" si="40"/>
        <v>TSMars</v>
      </c>
      <c r="D56" s="475">
        <f t="shared" ca="1" si="41"/>
        <v>1</v>
      </c>
      <c r="E56" s="468">
        <f t="shared" ca="1" si="41"/>
        <v>2</v>
      </c>
      <c r="F56" s="469">
        <f t="shared" ca="1" si="41"/>
        <v>0</v>
      </c>
      <c r="G56" s="476">
        <f t="shared" ca="1" si="41"/>
        <v>0</v>
      </c>
      <c r="H56" s="475">
        <f t="shared" ca="1" si="42"/>
        <v>1</v>
      </c>
      <c r="I56" s="468">
        <f t="shared" ca="1" si="42"/>
        <v>0</v>
      </c>
      <c r="J56" s="469">
        <f t="shared" ca="1" si="42"/>
        <v>3</v>
      </c>
      <c r="K56" s="476">
        <f t="shared" ca="1" si="42"/>
        <v>3</v>
      </c>
      <c r="L56" s="475">
        <f t="shared" ca="1" si="43"/>
        <v>0</v>
      </c>
      <c r="M56" s="468">
        <f t="shared" ca="1" si="43"/>
        <v>1</v>
      </c>
      <c r="N56" s="469">
        <f t="shared" ca="1" si="43"/>
        <v>1</v>
      </c>
      <c r="O56" s="476">
        <f t="shared" ca="1" si="43"/>
        <v>0</v>
      </c>
      <c r="S56" s="458"/>
      <c r="T56" s="458"/>
      <c r="U56" s="458"/>
      <c r="V56" s="458"/>
    </row>
    <row r="57" spans="1:22">
      <c r="A57" s="457" t="str">
        <f t="shared" si="39"/>
        <v>Trikona Shodana Subtraction</v>
      </c>
      <c r="B57" s="443" t="str">
        <f t="shared" si="40"/>
        <v>TSMoon</v>
      </c>
      <c r="C57" s="194"/>
      <c r="D57" s="475">
        <f t="shared" ca="1" si="41"/>
        <v>1</v>
      </c>
      <c r="E57" s="468">
        <f t="shared" ca="1" si="41"/>
        <v>2</v>
      </c>
      <c r="F57" s="469">
        <f t="shared" ca="1" si="41"/>
        <v>0</v>
      </c>
      <c r="G57" s="476">
        <f t="shared" ca="1" si="41"/>
        <v>0</v>
      </c>
      <c r="H57" s="475">
        <f t="shared" ca="1" si="42"/>
        <v>0</v>
      </c>
      <c r="I57" s="468">
        <f t="shared" ca="1" si="42"/>
        <v>1</v>
      </c>
      <c r="J57" s="469">
        <f t="shared" ca="1" si="42"/>
        <v>3</v>
      </c>
      <c r="K57" s="476">
        <f t="shared" ca="1" si="42"/>
        <v>1</v>
      </c>
      <c r="L57" s="475">
        <f t="shared" ca="1" si="43"/>
        <v>1</v>
      </c>
      <c r="M57" s="468">
        <f t="shared" ca="1" si="43"/>
        <v>0</v>
      </c>
      <c r="N57" s="469">
        <f t="shared" ca="1" si="43"/>
        <v>3</v>
      </c>
      <c r="O57" s="476">
        <f t="shared" ca="1" si="43"/>
        <v>1</v>
      </c>
      <c r="S57" s="458"/>
      <c r="T57" s="458"/>
      <c r="U57" s="458"/>
      <c r="V57" s="458"/>
    </row>
    <row r="58" spans="1:22">
      <c r="A58" s="457" t="str">
        <f t="shared" si="39"/>
        <v>Trikona Shodana Subtraction</v>
      </c>
      <c r="B58" s="443" t="str">
        <f t="shared" si="40"/>
        <v>TSSun</v>
      </c>
      <c r="D58" s="475">
        <f t="shared" ca="1" si="41"/>
        <v>1</v>
      </c>
      <c r="E58" s="468">
        <f t="shared" ca="1" si="41"/>
        <v>2</v>
      </c>
      <c r="F58" s="469">
        <f t="shared" ca="1" si="41"/>
        <v>0</v>
      </c>
      <c r="G58" s="476">
        <f t="shared" ca="1" si="41"/>
        <v>0</v>
      </c>
      <c r="H58" s="475">
        <f t="shared" ca="1" si="42"/>
        <v>0</v>
      </c>
      <c r="I58" s="468">
        <f t="shared" ca="1" si="42"/>
        <v>0</v>
      </c>
      <c r="J58" s="469">
        <f t="shared" ca="1" si="42"/>
        <v>1</v>
      </c>
      <c r="K58" s="476">
        <f t="shared" ca="1" si="42"/>
        <v>0</v>
      </c>
      <c r="L58" s="475">
        <f t="shared" ca="1" si="43"/>
        <v>0</v>
      </c>
      <c r="M58" s="468">
        <f t="shared" ca="1" si="43"/>
        <v>1</v>
      </c>
      <c r="N58" s="469">
        <f t="shared" ca="1" si="43"/>
        <v>1</v>
      </c>
      <c r="O58" s="476">
        <f t="shared" ca="1" si="43"/>
        <v>0</v>
      </c>
      <c r="S58" s="458"/>
      <c r="T58" s="458"/>
      <c r="U58" s="458"/>
      <c r="V58" s="458"/>
    </row>
    <row r="59" spans="1:22">
      <c r="A59" s="457" t="str">
        <f t="shared" si="39"/>
        <v>Trikona Shodana Subtraction</v>
      </c>
      <c r="B59" s="443" t="str">
        <f t="shared" si="40"/>
        <v>TSLagna</v>
      </c>
      <c r="D59" s="475">
        <f t="shared" ca="1" si="41"/>
        <v>1</v>
      </c>
      <c r="E59" s="468">
        <f t="shared" ca="1" si="41"/>
        <v>2</v>
      </c>
      <c r="F59" s="469">
        <f t="shared" ca="1" si="41"/>
        <v>0</v>
      </c>
      <c r="G59" s="476">
        <f t="shared" ca="1" si="41"/>
        <v>3</v>
      </c>
      <c r="H59" s="475">
        <f t="shared" ca="1" si="42"/>
        <v>1</v>
      </c>
      <c r="I59" s="468">
        <f t="shared" ca="1" si="42"/>
        <v>0</v>
      </c>
      <c r="J59" s="469">
        <f t="shared" ca="1" si="42"/>
        <v>3</v>
      </c>
      <c r="K59" s="476">
        <f t="shared" ca="1" si="42"/>
        <v>0</v>
      </c>
      <c r="L59" s="475">
        <f t="shared" ca="1" si="43"/>
        <v>0</v>
      </c>
      <c r="M59" s="468">
        <f t="shared" ca="1" si="43"/>
        <v>0</v>
      </c>
      <c r="N59" s="469">
        <f t="shared" ca="1" si="43"/>
        <v>1</v>
      </c>
      <c r="O59" s="476">
        <f t="shared" ca="1" si="43"/>
        <v>2</v>
      </c>
      <c r="S59" s="458"/>
      <c r="T59" s="458"/>
      <c r="U59" s="458"/>
      <c r="V59" s="458"/>
    </row>
    <row r="60" spans="1:22">
      <c r="A60" s="457" t="str">
        <f t="shared" si="39"/>
        <v>Trikona Shodana Subtraction</v>
      </c>
      <c r="D60" s="475"/>
      <c r="E60" s="468"/>
      <c r="F60" s="469"/>
      <c r="G60" s="476"/>
      <c r="H60" s="475"/>
      <c r="I60" s="468"/>
      <c r="J60" s="469"/>
      <c r="K60" s="476"/>
      <c r="L60" s="475"/>
      <c r="M60" s="468"/>
      <c r="N60" s="469"/>
      <c r="O60" s="476"/>
      <c r="S60" s="458"/>
      <c r="T60" s="458"/>
      <c r="U60" s="458"/>
      <c r="V60" s="458"/>
    </row>
    <row r="61" spans="1:22">
      <c r="A61" s="457" t="str">
        <f t="shared" si="39"/>
        <v>Trikona Shodana Subtraction</v>
      </c>
      <c r="D61" s="475"/>
      <c r="E61" s="468"/>
      <c r="F61" s="469"/>
      <c r="G61" s="476"/>
      <c r="H61" s="475"/>
      <c r="I61" s="468"/>
      <c r="J61" s="469"/>
      <c r="K61" s="476"/>
      <c r="L61" s="475"/>
      <c r="M61" s="468"/>
      <c r="N61" s="469"/>
      <c r="O61" s="476"/>
      <c r="S61" s="458"/>
      <c r="T61" s="458"/>
      <c r="U61" s="458"/>
      <c r="V61" s="458"/>
    </row>
    <row r="62" spans="1:22" ht="17.25">
      <c r="A62" s="457" t="str">
        <f>B62</f>
        <v>Trikona Shodana Minimum</v>
      </c>
      <c r="B62" s="1344" t="s">
        <v>759</v>
      </c>
      <c r="C62" s="1344"/>
      <c r="D62" s="1344"/>
      <c r="E62" s="1344"/>
      <c r="F62" s="1344"/>
      <c r="G62" s="1344"/>
      <c r="H62" s="1344"/>
      <c r="I62" s="1344"/>
      <c r="J62" s="1344"/>
      <c r="K62" s="1344"/>
      <c r="L62" s="1344"/>
      <c r="M62" s="1344"/>
      <c r="N62" s="1344"/>
      <c r="O62" s="1344"/>
      <c r="S62" s="458"/>
      <c r="T62" s="458"/>
      <c r="U62" s="458"/>
      <c r="V62" s="458"/>
    </row>
    <row r="63" spans="1:22">
      <c r="A63" s="457" t="str">
        <f t="shared" ref="A63:A72" si="44">A62</f>
        <v>Trikona Shodana Minimum</v>
      </c>
      <c r="B63" s="443" t="str">
        <f t="shared" ref="B63:B70" si="45">"TS"&amp;B17</f>
        <v>TSSaturn</v>
      </c>
      <c r="C63" s="181">
        <f t="shared" ref="C63:C70" ca="1" si="46">C17</f>
        <v>2</v>
      </c>
      <c r="D63" s="467">
        <f t="shared" ref="D63:G70" ca="1" si="47">IF(MIN(D17,H17,L17),IF(AND(D17=H17,H17=L17),0,MIN(D17,H17,L17)),D17)</f>
        <v>2</v>
      </c>
      <c r="E63" s="468">
        <f t="shared" ca="1" si="47"/>
        <v>2</v>
      </c>
      <c r="F63" s="469">
        <f t="shared" ca="1" si="47"/>
        <v>2</v>
      </c>
      <c r="G63" s="470">
        <f t="shared" ca="1" si="47"/>
        <v>3</v>
      </c>
      <c r="H63" s="467">
        <f t="shared" ref="H63:K70" ca="1" si="48">IF(MIN(D17,H17,L17),IF(AND(D17=H17,H17=L17),0,MIN(D17,H17,L17)),H17)</f>
        <v>2</v>
      </c>
      <c r="I63" s="468">
        <f t="shared" ca="1" si="48"/>
        <v>2</v>
      </c>
      <c r="J63" s="469">
        <f t="shared" ca="1" si="48"/>
        <v>2</v>
      </c>
      <c r="K63" s="470">
        <f t="shared" ca="1" si="48"/>
        <v>3</v>
      </c>
      <c r="L63" s="467">
        <f t="shared" ref="L63:O70" ca="1" si="49">IF(MIN(D17,H17,L17),IF(AND(D17=H17,H17=L17),0,MIN(D17,H17,L17)),L17)</f>
        <v>2</v>
      </c>
      <c r="M63" s="468">
        <f t="shared" ca="1" si="49"/>
        <v>2</v>
      </c>
      <c r="N63" s="469">
        <f t="shared" ca="1" si="49"/>
        <v>2</v>
      </c>
      <c r="O63" s="470">
        <f t="shared" ca="1" si="49"/>
        <v>3</v>
      </c>
      <c r="S63" s="458"/>
      <c r="T63" s="458"/>
      <c r="U63" s="458"/>
      <c r="V63" s="458"/>
    </row>
    <row r="64" spans="1:22">
      <c r="A64" s="457" t="str">
        <f t="shared" si="44"/>
        <v>Trikona Shodana Minimum</v>
      </c>
      <c r="B64" s="443" t="str">
        <f t="shared" si="45"/>
        <v>TSVenus</v>
      </c>
      <c r="C64" s="181">
        <f t="shared" ca="1" si="46"/>
        <v>3</v>
      </c>
      <c r="D64" s="467">
        <f t="shared" ca="1" si="47"/>
        <v>4</v>
      </c>
      <c r="E64" s="468">
        <f t="shared" ca="1" si="47"/>
        <v>3</v>
      </c>
      <c r="F64" s="469">
        <f t="shared" ca="1" si="47"/>
        <v>2</v>
      </c>
      <c r="G64" s="470">
        <f t="shared" ca="1" si="47"/>
        <v>3</v>
      </c>
      <c r="H64" s="467">
        <f t="shared" ca="1" si="48"/>
        <v>4</v>
      </c>
      <c r="I64" s="468">
        <f t="shared" ca="1" si="48"/>
        <v>3</v>
      </c>
      <c r="J64" s="469">
        <f t="shared" ca="1" si="48"/>
        <v>2</v>
      </c>
      <c r="K64" s="470">
        <f t="shared" ca="1" si="48"/>
        <v>3</v>
      </c>
      <c r="L64" s="467">
        <f t="shared" ca="1" si="49"/>
        <v>4</v>
      </c>
      <c r="M64" s="468">
        <f t="shared" ca="1" si="49"/>
        <v>3</v>
      </c>
      <c r="N64" s="469">
        <f t="shared" ca="1" si="49"/>
        <v>2</v>
      </c>
      <c r="O64" s="470">
        <f t="shared" ca="1" si="49"/>
        <v>3</v>
      </c>
      <c r="S64" s="458"/>
      <c r="T64" s="458"/>
      <c r="U64" s="458"/>
      <c r="V64" s="458"/>
    </row>
    <row r="65" spans="1:22">
      <c r="A65" s="457" t="str">
        <f t="shared" si="44"/>
        <v>Trikona Shodana Minimum</v>
      </c>
      <c r="B65" s="443" t="str">
        <f t="shared" si="45"/>
        <v>TSJupiter</v>
      </c>
      <c r="C65" s="181">
        <f t="shared" ca="1" si="46"/>
        <v>8</v>
      </c>
      <c r="D65" s="467">
        <f t="shared" ca="1" si="47"/>
        <v>3</v>
      </c>
      <c r="E65" s="468">
        <f t="shared" ca="1" si="47"/>
        <v>4</v>
      </c>
      <c r="F65" s="469">
        <f t="shared" ca="1" si="47"/>
        <v>3</v>
      </c>
      <c r="G65" s="470">
        <f t="shared" ca="1" si="47"/>
        <v>4</v>
      </c>
      <c r="H65" s="467">
        <f t="shared" ca="1" si="48"/>
        <v>3</v>
      </c>
      <c r="I65" s="468">
        <f t="shared" ca="1" si="48"/>
        <v>4</v>
      </c>
      <c r="J65" s="469">
        <f t="shared" ca="1" si="48"/>
        <v>3</v>
      </c>
      <c r="K65" s="470">
        <f t="shared" ca="1" si="48"/>
        <v>4</v>
      </c>
      <c r="L65" s="467">
        <f t="shared" ca="1" si="49"/>
        <v>3</v>
      </c>
      <c r="M65" s="468">
        <f t="shared" ca="1" si="49"/>
        <v>4</v>
      </c>
      <c r="N65" s="469">
        <f t="shared" ca="1" si="49"/>
        <v>3</v>
      </c>
      <c r="O65" s="470">
        <f t="shared" ca="1" si="49"/>
        <v>4</v>
      </c>
      <c r="S65" s="458"/>
      <c r="T65" s="458"/>
      <c r="U65" s="458"/>
      <c r="V65" s="458"/>
    </row>
    <row r="66" spans="1:22">
      <c r="A66" s="457" t="str">
        <f t="shared" si="44"/>
        <v>Trikona Shodana Minimum</v>
      </c>
      <c r="B66" s="443" t="str">
        <f t="shared" si="45"/>
        <v>TSMercury</v>
      </c>
      <c r="C66" s="181">
        <f t="shared" ca="1" si="46"/>
        <v>4</v>
      </c>
      <c r="D66" s="467">
        <f t="shared" ca="1" si="47"/>
        <v>4</v>
      </c>
      <c r="E66" s="468">
        <f t="shared" ca="1" si="47"/>
        <v>4</v>
      </c>
      <c r="F66" s="469">
        <f t="shared" ca="1" si="47"/>
        <v>4</v>
      </c>
      <c r="G66" s="470">
        <f t="shared" ca="1" si="47"/>
        <v>3</v>
      </c>
      <c r="H66" s="467">
        <f t="shared" ca="1" si="48"/>
        <v>4</v>
      </c>
      <c r="I66" s="468">
        <f t="shared" ca="1" si="48"/>
        <v>4</v>
      </c>
      <c r="J66" s="469">
        <f t="shared" ca="1" si="48"/>
        <v>4</v>
      </c>
      <c r="K66" s="470">
        <f t="shared" ca="1" si="48"/>
        <v>3</v>
      </c>
      <c r="L66" s="467">
        <f t="shared" ca="1" si="49"/>
        <v>4</v>
      </c>
      <c r="M66" s="468">
        <f t="shared" ca="1" si="49"/>
        <v>4</v>
      </c>
      <c r="N66" s="469">
        <f t="shared" ca="1" si="49"/>
        <v>4</v>
      </c>
      <c r="O66" s="470">
        <f t="shared" ca="1" si="49"/>
        <v>3</v>
      </c>
      <c r="S66" s="458"/>
      <c r="T66" s="458"/>
      <c r="U66" s="458"/>
      <c r="V66" s="458"/>
    </row>
    <row r="67" spans="1:22">
      <c r="A67" s="457" t="str">
        <f t="shared" si="44"/>
        <v>Trikona Shodana Minimum</v>
      </c>
      <c r="B67" s="443" t="str">
        <f t="shared" si="45"/>
        <v>TSMars</v>
      </c>
      <c r="C67" s="181">
        <f t="shared" ca="1" si="46"/>
        <v>10</v>
      </c>
      <c r="D67" s="467">
        <f t="shared" ca="1" si="47"/>
        <v>3</v>
      </c>
      <c r="E67" s="468">
        <f t="shared" ca="1" si="47"/>
        <v>3</v>
      </c>
      <c r="F67" s="469">
        <f t="shared" ca="1" si="47"/>
        <v>1</v>
      </c>
      <c r="G67" s="470">
        <f t="shared" ca="1" si="47"/>
        <v>2</v>
      </c>
      <c r="H67" s="467">
        <f t="shared" ca="1" si="48"/>
        <v>3</v>
      </c>
      <c r="I67" s="468">
        <f t="shared" ca="1" si="48"/>
        <v>3</v>
      </c>
      <c r="J67" s="469">
        <f t="shared" ca="1" si="48"/>
        <v>1</v>
      </c>
      <c r="K67" s="470">
        <f t="shared" ca="1" si="48"/>
        <v>2</v>
      </c>
      <c r="L67" s="467">
        <f t="shared" ca="1" si="49"/>
        <v>3</v>
      </c>
      <c r="M67" s="468">
        <f t="shared" ca="1" si="49"/>
        <v>3</v>
      </c>
      <c r="N67" s="469">
        <f t="shared" ca="1" si="49"/>
        <v>1</v>
      </c>
      <c r="O67" s="470">
        <f t="shared" ca="1" si="49"/>
        <v>2</v>
      </c>
      <c r="S67" s="458"/>
      <c r="T67" s="458"/>
      <c r="U67" s="458"/>
      <c r="V67" s="458"/>
    </row>
    <row r="68" spans="1:22">
      <c r="A68" s="457" t="str">
        <f t="shared" si="44"/>
        <v>Trikona Shodana Minimum</v>
      </c>
      <c r="B68" s="443" t="str">
        <f t="shared" si="45"/>
        <v>TSMoon</v>
      </c>
      <c r="C68" s="181">
        <f t="shared" ca="1" si="46"/>
        <v>2</v>
      </c>
      <c r="D68" s="467">
        <f t="shared" ca="1" si="47"/>
        <v>2</v>
      </c>
      <c r="E68" s="468">
        <f t="shared" ca="1" si="47"/>
        <v>4</v>
      </c>
      <c r="F68" s="469">
        <f t="shared" ca="1" si="47"/>
        <v>3</v>
      </c>
      <c r="G68" s="470">
        <f t="shared" ca="1" si="47"/>
        <v>3</v>
      </c>
      <c r="H68" s="467">
        <f t="shared" ca="1" si="48"/>
        <v>2</v>
      </c>
      <c r="I68" s="468">
        <f t="shared" ca="1" si="48"/>
        <v>4</v>
      </c>
      <c r="J68" s="469">
        <f t="shared" ca="1" si="48"/>
        <v>3</v>
      </c>
      <c r="K68" s="470">
        <f t="shared" ca="1" si="48"/>
        <v>3</v>
      </c>
      <c r="L68" s="467">
        <f t="shared" ca="1" si="49"/>
        <v>2</v>
      </c>
      <c r="M68" s="468">
        <f t="shared" ca="1" si="49"/>
        <v>4</v>
      </c>
      <c r="N68" s="469">
        <f t="shared" ca="1" si="49"/>
        <v>3</v>
      </c>
      <c r="O68" s="470">
        <f t="shared" ca="1" si="49"/>
        <v>3</v>
      </c>
      <c r="S68" s="458"/>
      <c r="T68" s="458"/>
      <c r="U68" s="458"/>
      <c r="V68" s="458"/>
    </row>
    <row r="69" spans="1:22">
      <c r="A69" s="457" t="str">
        <f t="shared" si="44"/>
        <v>Trikona Shodana Minimum</v>
      </c>
      <c r="B69" s="443" t="str">
        <f t="shared" si="45"/>
        <v>TSSun</v>
      </c>
      <c r="C69" s="181">
        <f t="shared" ca="1" si="46"/>
        <v>4</v>
      </c>
      <c r="D69" s="467">
        <f t="shared" ca="1" si="47"/>
        <v>3</v>
      </c>
      <c r="E69" s="468">
        <f t="shared" ca="1" si="47"/>
        <v>3</v>
      </c>
      <c r="F69" s="469">
        <f t="shared" ca="1" si="47"/>
        <v>3</v>
      </c>
      <c r="G69" s="470">
        <f t="shared" ca="1" si="47"/>
        <v>0</v>
      </c>
      <c r="H69" s="467">
        <f t="shared" ca="1" si="48"/>
        <v>3</v>
      </c>
      <c r="I69" s="468">
        <f t="shared" ca="1" si="48"/>
        <v>3</v>
      </c>
      <c r="J69" s="469">
        <f t="shared" ca="1" si="48"/>
        <v>3</v>
      </c>
      <c r="K69" s="470">
        <f t="shared" ca="1" si="48"/>
        <v>0</v>
      </c>
      <c r="L69" s="467">
        <f t="shared" ca="1" si="49"/>
        <v>3</v>
      </c>
      <c r="M69" s="468">
        <f t="shared" ca="1" si="49"/>
        <v>3</v>
      </c>
      <c r="N69" s="469">
        <f t="shared" ca="1" si="49"/>
        <v>3</v>
      </c>
      <c r="O69" s="470">
        <f t="shared" ca="1" si="49"/>
        <v>0</v>
      </c>
      <c r="S69" s="458"/>
      <c r="T69" s="458"/>
      <c r="U69" s="458"/>
      <c r="V69" s="458"/>
    </row>
    <row r="70" spans="1:22">
      <c r="A70" s="457" t="str">
        <f t="shared" si="44"/>
        <v>Trikona Shodana Minimum</v>
      </c>
      <c r="B70" s="443" t="str">
        <f t="shared" si="45"/>
        <v>TSLagna</v>
      </c>
      <c r="C70" s="181">
        <f t="shared" ca="1" si="46"/>
        <v>5</v>
      </c>
      <c r="D70" s="467">
        <f t="shared" ca="1" si="47"/>
        <v>3</v>
      </c>
      <c r="E70" s="468">
        <f t="shared" ca="1" si="47"/>
        <v>3</v>
      </c>
      <c r="F70" s="469">
        <f t="shared" ca="1" si="47"/>
        <v>4</v>
      </c>
      <c r="G70" s="470">
        <f t="shared" ca="1" si="47"/>
        <v>2</v>
      </c>
      <c r="H70" s="467">
        <f t="shared" ca="1" si="48"/>
        <v>3</v>
      </c>
      <c r="I70" s="468">
        <f t="shared" ca="1" si="48"/>
        <v>3</v>
      </c>
      <c r="J70" s="469">
        <f t="shared" ca="1" si="48"/>
        <v>4</v>
      </c>
      <c r="K70" s="470">
        <f t="shared" ca="1" si="48"/>
        <v>2</v>
      </c>
      <c r="L70" s="467">
        <f t="shared" ca="1" si="49"/>
        <v>3</v>
      </c>
      <c r="M70" s="468">
        <f t="shared" ca="1" si="49"/>
        <v>3</v>
      </c>
      <c r="N70" s="469">
        <f t="shared" ca="1" si="49"/>
        <v>4</v>
      </c>
      <c r="O70" s="470">
        <f t="shared" ca="1" si="49"/>
        <v>2</v>
      </c>
      <c r="S70" s="458"/>
      <c r="T70" s="458"/>
      <c r="U70" s="458"/>
      <c r="V70" s="458"/>
    </row>
    <row r="71" spans="1:22">
      <c r="A71" s="457" t="str">
        <f t="shared" si="44"/>
        <v>Trikona Shodana Minimum</v>
      </c>
      <c r="D71" s="467"/>
      <c r="E71" s="468"/>
      <c r="F71" s="469"/>
      <c r="G71" s="470"/>
      <c r="H71" s="467"/>
      <c r="I71" s="468"/>
      <c r="J71" s="469"/>
      <c r="K71" s="470"/>
      <c r="L71" s="467"/>
      <c r="M71" s="468"/>
      <c r="N71" s="469"/>
      <c r="O71" s="470"/>
      <c r="S71" s="458"/>
      <c r="T71" s="458"/>
      <c r="U71" s="458"/>
      <c r="V71" s="458"/>
    </row>
    <row r="72" spans="1:22">
      <c r="A72" s="457" t="str">
        <f t="shared" si="44"/>
        <v>Trikona Shodana Minimum</v>
      </c>
      <c r="D72" s="471"/>
      <c r="E72" s="472"/>
      <c r="F72" s="473"/>
      <c r="G72" s="474"/>
      <c r="H72" s="471"/>
      <c r="I72" s="472"/>
      <c r="J72" s="473"/>
      <c r="K72" s="474"/>
      <c r="L72" s="471"/>
      <c r="M72" s="472"/>
      <c r="N72" s="473"/>
      <c r="O72" s="474"/>
      <c r="S72" s="458"/>
      <c r="T72" s="458"/>
      <c r="U72" s="458"/>
      <c r="V72" s="458"/>
    </row>
    <row r="73" spans="1:22" ht="17.25">
      <c r="A73" s="457" t="str">
        <f>B73</f>
        <v>Ekadipatya Shodhana</v>
      </c>
      <c r="B73" s="1344" t="s">
        <v>760</v>
      </c>
      <c r="C73" s="1344"/>
      <c r="D73" s="1344"/>
      <c r="E73" s="1344"/>
      <c r="F73" s="1344"/>
      <c r="G73" s="1344"/>
      <c r="H73" s="1344"/>
      <c r="I73" s="1344"/>
      <c r="J73" s="1344"/>
      <c r="K73" s="1344"/>
      <c r="L73" s="1344"/>
      <c r="M73" s="1344"/>
      <c r="N73" s="1344"/>
      <c r="O73" s="1344"/>
      <c r="S73" s="458"/>
      <c r="T73" s="458"/>
      <c r="U73" s="458"/>
      <c r="V73" s="458"/>
    </row>
    <row r="74" spans="1:22">
      <c r="A74" s="457" t="str">
        <f t="shared" ref="A74:A84" si="50">A73</f>
        <v>Ekadipatya Shodhana</v>
      </c>
      <c r="B74" s="443" t="str">
        <f t="shared" ref="B74:B83" si="51">"ES"&amp;B17</f>
        <v>ESSaturn</v>
      </c>
      <c r="C74" s="194"/>
      <c r="D74" s="447">
        <f t="shared" ref="D74:D84" ca="1" si="52">IF(OR(D$27,NOT(D41*K41)), D41,IF(OR(AND(K$27,D41&lt;=K41),D41=K41), 0,  MIN(D41,K41)))</f>
        <v>2</v>
      </c>
      <c r="E74" s="448">
        <f t="shared" ref="E74:E84" ca="1" si="53">IF(OR(E$27,NOT(E41*J41)), E41,IF(OR(AND(J$27,E41&lt;=J41),E41=J41), 0,  MIN(E41,J41)))</f>
        <v>3</v>
      </c>
      <c r="F74" s="448">
        <f t="shared" ref="F74:F84" ca="1" si="54">IF(OR(F$27,NOT(F41*I41)), F41,IF(OR(AND(I$27,F41&lt;=I41),F41=I41), 0,  MIN(F41,I41)))</f>
        <v>1</v>
      </c>
      <c r="G74" s="449">
        <f t="shared" ref="G74:H84" ca="1" si="55">G41</f>
        <v>0</v>
      </c>
      <c r="H74" s="447">
        <f t="shared" ca="1" si="55"/>
        <v>0</v>
      </c>
      <c r="I74" s="448">
        <f t="shared" ref="I74:I84" ca="1" si="56">IF(OR(I$27,NOT(I41*F41)), I41,IF(OR(AND(F$27,I41&lt;=F41),I41=F41), 0,  MIN(I41,F41)))</f>
        <v>0</v>
      </c>
      <c r="J74" s="448">
        <f t="shared" ref="J74:J84" ca="1" si="57">IF(OR(J$27,NOT(J41*E41)), J41,IF(OR(AND(E$27,J41&lt;=E41),J41=E41), 0,  MIN(J41,E41)))</f>
        <v>3</v>
      </c>
      <c r="K74" s="449">
        <f t="shared" ref="K74:K84" ca="1" si="58">IF(OR(K$27,NOT(K41*D41)), K41,IF(OR(AND(D$27,K41&lt;=D41),K41=D41), 0,  MIN(K41,D41)))</f>
        <v>0</v>
      </c>
      <c r="L74" s="447">
        <f t="shared" ref="L74:L84" ca="1" si="59">IF(OR(L$27,NOT(L41*O41)), L41,IF(OR(AND(O$27,L41&lt;=O41),L41=O41), 0,  MIN(L41,O41)))</f>
        <v>0</v>
      </c>
      <c r="M74" s="448">
        <f t="shared" ref="M74:M84" ca="1" si="60">IF(OR(M$27,NOT(M41*N41)), M41,IF(OR(AND(N$27,M41&lt;=N41),M41=N41), 0,  MIN(M41,N41)))</f>
        <v>0</v>
      </c>
      <c r="N74" s="448">
        <f t="shared" ref="N74:N84" ca="1" si="61">IF(OR(N$27,NOT(N41*M41)), N41,IF(OR(AND(M$27,N41&lt;=M41),N41=M41), 0,  MIN(N41,M41)))</f>
        <v>0</v>
      </c>
      <c r="O74" s="449">
        <f t="shared" ref="O74:O84" ca="1" si="62">IF(OR(O$27,NOT(O41*L41)), O41,IF(OR(AND(L$27,O41&lt;=L41),O41=L41), 0,  MIN(O41,L41)))</f>
        <v>2</v>
      </c>
      <c r="S74" s="458"/>
      <c r="T74" s="458"/>
      <c r="U74" s="458"/>
      <c r="V74" s="458"/>
    </row>
    <row r="75" spans="1:22">
      <c r="A75" s="457" t="str">
        <f t="shared" si="50"/>
        <v>Ekadipatya Shodhana</v>
      </c>
      <c r="B75" s="443" t="str">
        <f t="shared" si="51"/>
        <v>ESVenus</v>
      </c>
      <c r="C75" s="194"/>
      <c r="D75" s="444">
        <f t="shared" ca="1" si="52"/>
        <v>0</v>
      </c>
      <c r="E75" s="443">
        <f t="shared" ca="1" si="53"/>
        <v>0</v>
      </c>
      <c r="F75" s="443">
        <f t="shared" ca="1" si="54"/>
        <v>4</v>
      </c>
      <c r="G75" s="445">
        <f t="shared" ca="1" si="55"/>
        <v>1</v>
      </c>
      <c r="H75" s="444">
        <f t="shared" ca="1" si="55"/>
        <v>1</v>
      </c>
      <c r="I75" s="443">
        <f t="shared" ca="1" si="56"/>
        <v>0</v>
      </c>
      <c r="J75" s="443">
        <f t="shared" ca="1" si="57"/>
        <v>0</v>
      </c>
      <c r="K75" s="445">
        <f t="shared" ca="1" si="58"/>
        <v>0</v>
      </c>
      <c r="L75" s="444">
        <f t="shared" ca="1" si="59"/>
        <v>1</v>
      </c>
      <c r="M75" s="443">
        <f t="shared" ca="1" si="60"/>
        <v>0</v>
      </c>
      <c r="N75" s="443">
        <f t="shared" ca="1" si="61"/>
        <v>1</v>
      </c>
      <c r="O75" s="445">
        <f t="shared" ca="1" si="62"/>
        <v>1</v>
      </c>
      <c r="S75" s="458"/>
      <c r="T75" s="458"/>
      <c r="U75" s="458"/>
      <c r="V75" s="458"/>
    </row>
    <row r="76" spans="1:22">
      <c r="A76" s="457" t="str">
        <f t="shared" si="50"/>
        <v>Ekadipatya Shodhana</v>
      </c>
      <c r="B76" s="443" t="str">
        <f t="shared" si="51"/>
        <v>ESJupiter</v>
      </c>
      <c r="C76" s="194"/>
      <c r="D76" s="444">
        <f t="shared" ca="1" si="52"/>
        <v>2</v>
      </c>
      <c r="E76" s="443">
        <f t="shared" ca="1" si="53"/>
        <v>0</v>
      </c>
      <c r="F76" s="443">
        <f t="shared" ca="1" si="54"/>
        <v>0</v>
      </c>
      <c r="G76" s="445">
        <f t="shared" ca="1" si="55"/>
        <v>1</v>
      </c>
      <c r="H76" s="444">
        <f t="shared" ca="1" si="55"/>
        <v>2</v>
      </c>
      <c r="I76" s="443">
        <f t="shared" ca="1" si="56"/>
        <v>1</v>
      </c>
      <c r="J76" s="443">
        <f t="shared" ca="1" si="57"/>
        <v>2</v>
      </c>
      <c r="K76" s="445">
        <f t="shared" ca="1" si="58"/>
        <v>2</v>
      </c>
      <c r="L76" s="444">
        <f t="shared" ca="1" si="59"/>
        <v>0</v>
      </c>
      <c r="M76" s="443">
        <f t="shared" ca="1" si="60"/>
        <v>1</v>
      </c>
      <c r="N76" s="443">
        <f t="shared" ca="1" si="61"/>
        <v>1</v>
      </c>
      <c r="O76" s="445">
        <f t="shared" ca="1" si="62"/>
        <v>0</v>
      </c>
      <c r="S76" s="458"/>
      <c r="T76" s="458"/>
      <c r="U76" s="458"/>
      <c r="V76" s="458"/>
    </row>
    <row r="77" spans="1:22">
      <c r="A77" s="457" t="str">
        <f t="shared" si="50"/>
        <v>Ekadipatya Shodhana</v>
      </c>
      <c r="B77" s="443" t="str">
        <f t="shared" si="51"/>
        <v>ESMercury</v>
      </c>
      <c r="C77" s="194"/>
      <c r="D77" s="444">
        <f t="shared" ca="1" si="52"/>
        <v>0</v>
      </c>
      <c r="E77" s="443">
        <f t="shared" ca="1" si="53"/>
        <v>0</v>
      </c>
      <c r="F77" s="443">
        <f t="shared" ca="1" si="54"/>
        <v>3</v>
      </c>
      <c r="G77" s="445">
        <f t="shared" ca="1" si="55"/>
        <v>0</v>
      </c>
      <c r="H77" s="444">
        <f t="shared" ca="1" si="55"/>
        <v>1</v>
      </c>
      <c r="I77" s="443">
        <f t="shared" ca="1" si="56"/>
        <v>0</v>
      </c>
      <c r="J77" s="443">
        <f t="shared" ca="1" si="57"/>
        <v>0</v>
      </c>
      <c r="K77" s="445">
        <f t="shared" ca="1" si="58"/>
        <v>2</v>
      </c>
      <c r="L77" s="444">
        <f t="shared" ca="1" si="59"/>
        <v>0</v>
      </c>
      <c r="M77" s="443">
        <f t="shared" ca="1" si="60"/>
        <v>0</v>
      </c>
      <c r="N77" s="443">
        <f t="shared" ca="1" si="61"/>
        <v>0</v>
      </c>
      <c r="O77" s="445">
        <f t="shared" ca="1" si="62"/>
        <v>2</v>
      </c>
      <c r="S77" s="458"/>
      <c r="T77" s="458"/>
      <c r="U77" s="458"/>
      <c r="V77" s="458"/>
    </row>
    <row r="78" spans="1:22">
      <c r="A78" s="457" t="str">
        <f t="shared" si="50"/>
        <v>Ekadipatya Shodhana</v>
      </c>
      <c r="B78" s="443" t="str">
        <f t="shared" si="51"/>
        <v>ESMars</v>
      </c>
      <c r="C78" s="194"/>
      <c r="D78" s="444">
        <f t="shared" ca="1" si="52"/>
        <v>0</v>
      </c>
      <c r="E78" s="443">
        <f t="shared" ca="1" si="53"/>
        <v>2</v>
      </c>
      <c r="F78" s="443">
        <f t="shared" ca="1" si="54"/>
        <v>0</v>
      </c>
      <c r="G78" s="445">
        <f t="shared" ca="1" si="55"/>
        <v>0</v>
      </c>
      <c r="H78" s="444">
        <f t="shared" ca="1" si="55"/>
        <v>1</v>
      </c>
      <c r="I78" s="443">
        <f t="shared" ca="1" si="56"/>
        <v>0</v>
      </c>
      <c r="J78" s="443">
        <f t="shared" ca="1" si="57"/>
        <v>2</v>
      </c>
      <c r="K78" s="445">
        <f t="shared" ca="1" si="58"/>
        <v>3</v>
      </c>
      <c r="L78" s="444">
        <f t="shared" ca="1" si="59"/>
        <v>0</v>
      </c>
      <c r="M78" s="443">
        <f t="shared" ca="1" si="60"/>
        <v>1</v>
      </c>
      <c r="N78" s="443">
        <f t="shared" ca="1" si="61"/>
        <v>0</v>
      </c>
      <c r="O78" s="445">
        <f t="shared" ca="1" si="62"/>
        <v>0</v>
      </c>
      <c r="S78" s="458"/>
      <c r="T78" s="458"/>
      <c r="U78" s="458"/>
      <c r="V78" s="458"/>
    </row>
    <row r="79" spans="1:22">
      <c r="A79" s="457" t="str">
        <f t="shared" si="50"/>
        <v>Ekadipatya Shodhana</v>
      </c>
      <c r="B79" s="443" t="str">
        <f t="shared" si="51"/>
        <v>ESMoon</v>
      </c>
      <c r="C79" s="194"/>
      <c r="D79" s="444">
        <f t="shared" ca="1" si="52"/>
        <v>0</v>
      </c>
      <c r="E79" s="443">
        <f t="shared" ca="1" si="53"/>
        <v>2</v>
      </c>
      <c r="F79" s="443">
        <f t="shared" ca="1" si="54"/>
        <v>0</v>
      </c>
      <c r="G79" s="445">
        <f t="shared" ca="1" si="55"/>
        <v>0</v>
      </c>
      <c r="H79" s="444">
        <f t="shared" ca="1" si="55"/>
        <v>0</v>
      </c>
      <c r="I79" s="443">
        <f t="shared" ca="1" si="56"/>
        <v>1</v>
      </c>
      <c r="J79" s="443">
        <f t="shared" ca="1" si="57"/>
        <v>2</v>
      </c>
      <c r="K79" s="445">
        <f t="shared" ca="1" si="58"/>
        <v>1</v>
      </c>
      <c r="L79" s="444">
        <f t="shared" ca="1" si="59"/>
        <v>0</v>
      </c>
      <c r="M79" s="443">
        <f t="shared" ca="1" si="60"/>
        <v>0</v>
      </c>
      <c r="N79" s="443">
        <f t="shared" ca="1" si="61"/>
        <v>3</v>
      </c>
      <c r="O79" s="445">
        <f t="shared" ca="1" si="62"/>
        <v>0</v>
      </c>
      <c r="S79" s="458"/>
      <c r="T79" s="458"/>
      <c r="U79" s="458"/>
      <c r="V79" s="458"/>
    </row>
    <row r="80" spans="1:22">
      <c r="A80" s="457" t="str">
        <f t="shared" si="50"/>
        <v>Ekadipatya Shodhana</v>
      </c>
      <c r="B80" s="443" t="str">
        <f t="shared" si="51"/>
        <v>ESSun</v>
      </c>
      <c r="C80" s="194"/>
      <c r="D80" s="444">
        <f t="shared" ca="1" si="52"/>
        <v>1</v>
      </c>
      <c r="E80" s="443">
        <f t="shared" ca="1" si="53"/>
        <v>2</v>
      </c>
      <c r="F80" s="443">
        <f t="shared" ca="1" si="54"/>
        <v>0</v>
      </c>
      <c r="G80" s="445">
        <f t="shared" ca="1" si="55"/>
        <v>0</v>
      </c>
      <c r="H80" s="444">
        <f t="shared" ca="1" si="55"/>
        <v>0</v>
      </c>
      <c r="I80" s="443">
        <f t="shared" ca="1" si="56"/>
        <v>0</v>
      </c>
      <c r="J80" s="443">
        <f t="shared" ca="1" si="57"/>
        <v>0</v>
      </c>
      <c r="K80" s="445">
        <f t="shared" ca="1" si="58"/>
        <v>0</v>
      </c>
      <c r="L80" s="444">
        <f t="shared" ca="1" si="59"/>
        <v>0</v>
      </c>
      <c r="M80" s="443">
        <f t="shared" ca="1" si="60"/>
        <v>1</v>
      </c>
      <c r="N80" s="443">
        <f t="shared" ca="1" si="61"/>
        <v>0</v>
      </c>
      <c r="O80" s="445">
        <f t="shared" ca="1" si="62"/>
        <v>0</v>
      </c>
      <c r="S80" s="458"/>
      <c r="T80" s="458"/>
      <c r="U80" s="458"/>
      <c r="V80" s="458"/>
    </row>
    <row r="81" spans="1:28" ht="17.25">
      <c r="A81" s="457" t="str">
        <f t="shared" si="50"/>
        <v>Ekadipatya Shodhana</v>
      </c>
      <c r="B81" s="443" t="str">
        <f t="shared" si="51"/>
        <v>ESLagna</v>
      </c>
      <c r="C81" s="194"/>
      <c r="D81" s="444">
        <f t="shared" ca="1" si="52"/>
        <v>1</v>
      </c>
      <c r="E81" s="443">
        <f t="shared" ca="1" si="53"/>
        <v>2</v>
      </c>
      <c r="F81" s="443">
        <f t="shared" ca="1" si="54"/>
        <v>0</v>
      </c>
      <c r="G81" s="445">
        <f t="shared" ca="1" si="55"/>
        <v>3</v>
      </c>
      <c r="H81" s="444">
        <f t="shared" ca="1" si="55"/>
        <v>1</v>
      </c>
      <c r="I81" s="443">
        <f t="shared" ca="1" si="56"/>
        <v>0</v>
      </c>
      <c r="J81" s="443">
        <f t="shared" ca="1" si="57"/>
        <v>2</v>
      </c>
      <c r="K81" s="445">
        <f t="shared" ca="1" si="58"/>
        <v>0</v>
      </c>
      <c r="L81" s="444">
        <f t="shared" ca="1" si="59"/>
        <v>0</v>
      </c>
      <c r="M81" s="443">
        <f t="shared" ca="1" si="60"/>
        <v>0</v>
      </c>
      <c r="N81" s="443">
        <f t="shared" ca="1" si="61"/>
        <v>1</v>
      </c>
      <c r="O81" s="445">
        <f t="shared" ca="1" si="62"/>
        <v>2</v>
      </c>
      <c r="Q81" s="443"/>
      <c r="S81" s="458"/>
      <c r="T81" s="458"/>
      <c r="U81" s="458"/>
      <c r="V81" s="458"/>
      <c r="AB81" s="477" t="s">
        <v>761</v>
      </c>
    </row>
    <row r="82" spans="1:28">
      <c r="A82" s="457" t="str">
        <f t="shared" si="50"/>
        <v>Ekadipatya Shodhana</v>
      </c>
      <c r="B82" s="443" t="str">
        <f t="shared" si="51"/>
        <v>ESSarva+L</v>
      </c>
      <c r="C82" s="194"/>
      <c r="D82" s="444">
        <f t="shared" ca="1" si="52"/>
        <v>0</v>
      </c>
      <c r="E82" s="443">
        <f t="shared" ca="1" si="53"/>
        <v>0</v>
      </c>
      <c r="F82" s="443">
        <f t="shared" ca="1" si="54"/>
        <v>0</v>
      </c>
      <c r="G82" s="445">
        <f t="shared" si="55"/>
        <v>0</v>
      </c>
      <c r="H82" s="444">
        <f t="shared" si="55"/>
        <v>0</v>
      </c>
      <c r="I82" s="443">
        <f t="shared" ca="1" si="56"/>
        <v>0</v>
      </c>
      <c r="J82" s="443">
        <f t="shared" ca="1" si="57"/>
        <v>0</v>
      </c>
      <c r="K82" s="445">
        <f t="shared" ca="1" si="58"/>
        <v>0</v>
      </c>
      <c r="L82" s="444">
        <f t="shared" ca="1" si="59"/>
        <v>0</v>
      </c>
      <c r="M82" s="443">
        <f t="shared" ca="1" si="60"/>
        <v>0</v>
      </c>
      <c r="N82" s="443">
        <f t="shared" ca="1" si="61"/>
        <v>0</v>
      </c>
      <c r="O82" s="445">
        <f t="shared" ca="1" si="62"/>
        <v>0</v>
      </c>
      <c r="S82" s="458"/>
      <c r="T82" s="458"/>
      <c r="U82" s="458"/>
      <c r="V82" s="458"/>
      <c r="X82" s="443" t="s">
        <v>762</v>
      </c>
      <c r="Y82" s="181" t="b">
        <f>FALSE()</f>
        <v>0</v>
      </c>
    </row>
    <row r="83" spans="1:28">
      <c r="A83" s="457" t="str">
        <f t="shared" si="50"/>
        <v>Ekadipatya Shodhana</v>
      </c>
      <c r="B83" s="443" t="str">
        <f t="shared" si="51"/>
        <v>ESSarva-L</v>
      </c>
      <c r="D83" s="444">
        <f t="shared" ca="1" si="52"/>
        <v>0</v>
      </c>
      <c r="E83" s="443">
        <f t="shared" ca="1" si="53"/>
        <v>0</v>
      </c>
      <c r="F83" s="443">
        <f t="shared" ca="1" si="54"/>
        <v>0</v>
      </c>
      <c r="G83" s="445">
        <f t="shared" si="55"/>
        <v>0</v>
      </c>
      <c r="H83" s="444">
        <f t="shared" si="55"/>
        <v>0</v>
      </c>
      <c r="I83" s="443">
        <f t="shared" ca="1" si="56"/>
        <v>0</v>
      </c>
      <c r="J83" s="443">
        <f t="shared" ca="1" si="57"/>
        <v>0</v>
      </c>
      <c r="K83" s="445">
        <f t="shared" ca="1" si="58"/>
        <v>0</v>
      </c>
      <c r="L83" s="444">
        <f t="shared" ca="1" si="59"/>
        <v>0</v>
      </c>
      <c r="M83" s="443">
        <f t="shared" ca="1" si="60"/>
        <v>0</v>
      </c>
      <c r="N83" s="443">
        <f t="shared" ca="1" si="61"/>
        <v>0</v>
      </c>
      <c r="O83" s="445">
        <f t="shared" ca="1" si="62"/>
        <v>0</v>
      </c>
      <c r="S83" s="458"/>
      <c r="T83" s="458"/>
      <c r="U83" s="458"/>
      <c r="V83" s="458"/>
      <c r="Z83" s="443" t="str">
        <f>IF(NOT(Y82),"From Graha Good and Bad Transit of ","Good and Bad transits of graha from ")</f>
        <v xml:space="preserve">From Graha Good and Bad Transit of </v>
      </c>
    </row>
    <row r="84" spans="1:28">
      <c r="A84" s="457" t="str">
        <f t="shared" si="50"/>
        <v>Ekadipatya Shodhana</v>
      </c>
      <c r="D84" s="460">
        <f t="shared" ca="1" si="52"/>
        <v>0</v>
      </c>
      <c r="E84" s="461">
        <f t="shared" ca="1" si="53"/>
        <v>0</v>
      </c>
      <c r="F84" s="461">
        <f t="shared" ca="1" si="54"/>
        <v>0</v>
      </c>
      <c r="G84" s="462">
        <f t="shared" si="55"/>
        <v>0</v>
      </c>
      <c r="H84" s="460">
        <f t="shared" si="55"/>
        <v>0</v>
      </c>
      <c r="I84" s="461">
        <f t="shared" ca="1" si="56"/>
        <v>0</v>
      </c>
      <c r="J84" s="461">
        <f t="shared" ca="1" si="57"/>
        <v>0</v>
      </c>
      <c r="K84" s="462">
        <f t="shared" ca="1" si="58"/>
        <v>0</v>
      </c>
      <c r="L84" s="460">
        <f t="shared" ca="1" si="59"/>
        <v>0</v>
      </c>
      <c r="M84" s="461">
        <f t="shared" ca="1" si="60"/>
        <v>0</v>
      </c>
      <c r="N84" s="461">
        <f t="shared" ca="1" si="61"/>
        <v>0</v>
      </c>
      <c r="O84" s="462">
        <f t="shared" ca="1" si="62"/>
        <v>0</v>
      </c>
    </row>
    <row r="85" spans="1:28" ht="17.25">
      <c r="A85" s="457" t="str">
        <f>B85</f>
        <v>Rashi Pinda</v>
      </c>
      <c r="B85" s="1344" t="s">
        <v>763</v>
      </c>
      <c r="C85" s="1344"/>
      <c r="D85" s="1344"/>
      <c r="E85" s="1344"/>
      <c r="F85" s="1344"/>
      <c r="G85" s="1344"/>
      <c r="H85" s="1344"/>
      <c r="I85" s="1344"/>
      <c r="J85" s="1344"/>
      <c r="K85" s="1344"/>
      <c r="L85" s="1344"/>
      <c r="M85" s="1344"/>
      <c r="N85" s="1344"/>
      <c r="O85" s="1344"/>
      <c r="P85" s="50" t="s">
        <v>764</v>
      </c>
    </row>
    <row r="86" spans="1:28">
      <c r="A86" s="457" t="str">
        <f t="shared" ref="A86:A95" si="63">A85</f>
        <v>Rashi Pinda</v>
      </c>
      <c r="B86" s="443" t="str">
        <f t="shared" ref="B86:B95" si="64">"RP"&amp;B74</f>
        <v>RPESSaturn</v>
      </c>
      <c r="D86" s="443">
        <f t="shared" ref="D86:O86" ca="1" si="65">D74*D$28</f>
        <v>14</v>
      </c>
      <c r="E86" s="443">
        <f t="shared" ca="1" si="65"/>
        <v>30</v>
      </c>
      <c r="F86" s="443">
        <f t="shared" ca="1" si="65"/>
        <v>8</v>
      </c>
      <c r="G86" s="443">
        <f t="shared" ca="1" si="65"/>
        <v>0</v>
      </c>
      <c r="H86" s="443">
        <f t="shared" ca="1" si="65"/>
        <v>0</v>
      </c>
      <c r="I86" s="443">
        <f t="shared" ca="1" si="65"/>
        <v>0</v>
      </c>
      <c r="J86" s="443">
        <f t="shared" ca="1" si="65"/>
        <v>21</v>
      </c>
      <c r="K86" s="443">
        <f t="shared" ca="1" si="65"/>
        <v>0</v>
      </c>
      <c r="L86" s="443">
        <f t="shared" ca="1" si="65"/>
        <v>0</v>
      </c>
      <c r="M86" s="443">
        <f t="shared" ca="1" si="65"/>
        <v>0</v>
      </c>
      <c r="N86" s="443">
        <f t="shared" ca="1" si="65"/>
        <v>0</v>
      </c>
      <c r="O86" s="443">
        <f t="shared" ca="1" si="65"/>
        <v>24</v>
      </c>
      <c r="P86" s="50">
        <f t="shared" ref="P86:P93" ca="1" si="66">SUM(D86:O86)</f>
        <v>97</v>
      </c>
      <c r="T86" s="458"/>
      <c r="U86" s="458"/>
      <c r="V86" s="458"/>
    </row>
    <row r="87" spans="1:28">
      <c r="A87" s="457" t="str">
        <f t="shared" si="63"/>
        <v>Rashi Pinda</v>
      </c>
      <c r="B87" s="443" t="str">
        <f t="shared" si="64"/>
        <v>RPESVenus</v>
      </c>
      <c r="D87" s="443">
        <f t="shared" ref="D87:O87" ca="1" si="67">D75*D$28</f>
        <v>0</v>
      </c>
      <c r="E87" s="443">
        <f t="shared" ca="1" si="67"/>
        <v>0</v>
      </c>
      <c r="F87" s="443">
        <f t="shared" ca="1" si="67"/>
        <v>32</v>
      </c>
      <c r="G87" s="443">
        <f t="shared" ca="1" si="67"/>
        <v>4</v>
      </c>
      <c r="H87" s="443">
        <f t="shared" ca="1" si="67"/>
        <v>10</v>
      </c>
      <c r="I87" s="443">
        <f t="shared" ca="1" si="67"/>
        <v>0</v>
      </c>
      <c r="J87" s="443">
        <f t="shared" ca="1" si="67"/>
        <v>0</v>
      </c>
      <c r="K87" s="443">
        <f t="shared" ca="1" si="67"/>
        <v>0</v>
      </c>
      <c r="L87" s="443">
        <f t="shared" ca="1" si="67"/>
        <v>9</v>
      </c>
      <c r="M87" s="443">
        <f t="shared" ca="1" si="67"/>
        <v>0</v>
      </c>
      <c r="N87" s="443">
        <f t="shared" ca="1" si="67"/>
        <v>11</v>
      </c>
      <c r="O87" s="443">
        <f t="shared" ca="1" si="67"/>
        <v>12</v>
      </c>
      <c r="P87" s="50">
        <f t="shared" ca="1" si="66"/>
        <v>78</v>
      </c>
      <c r="T87" s="458"/>
      <c r="U87" s="458"/>
      <c r="V87" s="458"/>
    </row>
    <row r="88" spans="1:28">
      <c r="A88" s="457" t="str">
        <f t="shared" si="63"/>
        <v>Rashi Pinda</v>
      </c>
      <c r="B88" s="443" t="str">
        <f t="shared" si="64"/>
        <v>RPESJupiter</v>
      </c>
      <c r="D88" s="443">
        <f t="shared" ref="D88:O88" ca="1" si="68">D76*D$28</f>
        <v>14</v>
      </c>
      <c r="E88" s="443">
        <f t="shared" ca="1" si="68"/>
        <v>0</v>
      </c>
      <c r="F88" s="443">
        <f t="shared" ca="1" si="68"/>
        <v>0</v>
      </c>
      <c r="G88" s="443">
        <f t="shared" ca="1" si="68"/>
        <v>4</v>
      </c>
      <c r="H88" s="443">
        <f t="shared" ca="1" si="68"/>
        <v>20</v>
      </c>
      <c r="I88" s="443">
        <f t="shared" ca="1" si="68"/>
        <v>5</v>
      </c>
      <c r="J88" s="443">
        <f t="shared" ca="1" si="68"/>
        <v>14</v>
      </c>
      <c r="K88" s="443">
        <f t="shared" ca="1" si="68"/>
        <v>16</v>
      </c>
      <c r="L88" s="443">
        <f t="shared" ca="1" si="68"/>
        <v>0</v>
      </c>
      <c r="M88" s="443">
        <f t="shared" ca="1" si="68"/>
        <v>5</v>
      </c>
      <c r="N88" s="443">
        <f t="shared" ca="1" si="68"/>
        <v>11</v>
      </c>
      <c r="O88" s="443">
        <f t="shared" ca="1" si="68"/>
        <v>0</v>
      </c>
      <c r="P88" s="50">
        <f t="shared" ca="1" si="66"/>
        <v>89</v>
      </c>
      <c r="T88" s="458"/>
      <c r="U88" s="458"/>
      <c r="V88" s="458"/>
    </row>
    <row r="89" spans="1:28">
      <c r="A89" s="457" t="str">
        <f t="shared" si="63"/>
        <v>Rashi Pinda</v>
      </c>
      <c r="B89" s="443" t="str">
        <f t="shared" si="64"/>
        <v>RPESMercury</v>
      </c>
      <c r="D89" s="443">
        <f t="shared" ref="D89:O89" ca="1" si="69">D77*D$28</f>
        <v>0</v>
      </c>
      <c r="E89" s="443">
        <f t="shared" ca="1" si="69"/>
        <v>0</v>
      </c>
      <c r="F89" s="443">
        <f t="shared" ca="1" si="69"/>
        <v>24</v>
      </c>
      <c r="G89" s="443">
        <f t="shared" ca="1" si="69"/>
        <v>0</v>
      </c>
      <c r="H89" s="443">
        <f t="shared" ca="1" si="69"/>
        <v>10</v>
      </c>
      <c r="I89" s="443">
        <f t="shared" ca="1" si="69"/>
        <v>0</v>
      </c>
      <c r="J89" s="443">
        <f t="shared" ca="1" si="69"/>
        <v>0</v>
      </c>
      <c r="K89" s="443">
        <f t="shared" ca="1" si="69"/>
        <v>16</v>
      </c>
      <c r="L89" s="443">
        <f t="shared" ca="1" si="69"/>
        <v>0</v>
      </c>
      <c r="M89" s="443">
        <f t="shared" ca="1" si="69"/>
        <v>0</v>
      </c>
      <c r="N89" s="443">
        <f t="shared" ca="1" si="69"/>
        <v>0</v>
      </c>
      <c r="O89" s="443">
        <f t="shared" ca="1" si="69"/>
        <v>24</v>
      </c>
      <c r="P89" s="50">
        <f t="shared" ca="1" si="66"/>
        <v>74</v>
      </c>
      <c r="T89" s="458"/>
      <c r="U89" s="458"/>
      <c r="V89" s="458"/>
    </row>
    <row r="90" spans="1:28">
      <c r="A90" s="457" t="str">
        <f t="shared" si="63"/>
        <v>Rashi Pinda</v>
      </c>
      <c r="B90" s="443" t="str">
        <f t="shared" si="64"/>
        <v>RPESMars</v>
      </c>
      <c r="D90" s="443">
        <f t="shared" ref="D90:O90" ca="1" si="70">D78*D$28</f>
        <v>0</v>
      </c>
      <c r="E90" s="443">
        <f t="shared" ca="1" si="70"/>
        <v>20</v>
      </c>
      <c r="F90" s="443">
        <f t="shared" ca="1" si="70"/>
        <v>0</v>
      </c>
      <c r="G90" s="443">
        <f t="shared" ca="1" si="70"/>
        <v>0</v>
      </c>
      <c r="H90" s="443">
        <f t="shared" ca="1" si="70"/>
        <v>10</v>
      </c>
      <c r="I90" s="443">
        <f t="shared" ca="1" si="70"/>
        <v>0</v>
      </c>
      <c r="J90" s="443">
        <f t="shared" ca="1" si="70"/>
        <v>14</v>
      </c>
      <c r="K90" s="443">
        <f t="shared" ca="1" si="70"/>
        <v>24</v>
      </c>
      <c r="L90" s="443">
        <f t="shared" ca="1" si="70"/>
        <v>0</v>
      </c>
      <c r="M90" s="443">
        <f t="shared" ca="1" si="70"/>
        <v>5</v>
      </c>
      <c r="N90" s="443">
        <f t="shared" ca="1" si="70"/>
        <v>0</v>
      </c>
      <c r="O90" s="443">
        <f t="shared" ca="1" si="70"/>
        <v>0</v>
      </c>
      <c r="P90" s="50">
        <f t="shared" ca="1" si="66"/>
        <v>73</v>
      </c>
      <c r="T90" s="458"/>
      <c r="U90" s="458"/>
      <c r="V90" s="458"/>
    </row>
    <row r="91" spans="1:28">
      <c r="A91" s="457" t="str">
        <f t="shared" si="63"/>
        <v>Rashi Pinda</v>
      </c>
      <c r="B91" s="443" t="str">
        <f t="shared" si="64"/>
        <v>RPESMoon</v>
      </c>
      <c r="D91" s="443">
        <f t="shared" ref="D91:O91" ca="1" si="71">D79*D$28</f>
        <v>0</v>
      </c>
      <c r="E91" s="443">
        <f t="shared" ca="1" si="71"/>
        <v>20</v>
      </c>
      <c r="F91" s="443">
        <f t="shared" ca="1" si="71"/>
        <v>0</v>
      </c>
      <c r="G91" s="443">
        <f t="shared" ca="1" si="71"/>
        <v>0</v>
      </c>
      <c r="H91" s="443">
        <f t="shared" ca="1" si="71"/>
        <v>0</v>
      </c>
      <c r="I91" s="443">
        <f t="shared" ca="1" si="71"/>
        <v>5</v>
      </c>
      <c r="J91" s="443">
        <f t="shared" ca="1" si="71"/>
        <v>14</v>
      </c>
      <c r="K91" s="443">
        <f t="shared" ca="1" si="71"/>
        <v>8</v>
      </c>
      <c r="L91" s="443">
        <f t="shared" ca="1" si="71"/>
        <v>0</v>
      </c>
      <c r="M91" s="443">
        <f t="shared" ca="1" si="71"/>
        <v>0</v>
      </c>
      <c r="N91" s="443">
        <f t="shared" ca="1" si="71"/>
        <v>33</v>
      </c>
      <c r="O91" s="443">
        <f t="shared" ca="1" si="71"/>
        <v>0</v>
      </c>
      <c r="P91" s="50">
        <f t="shared" ca="1" si="66"/>
        <v>80</v>
      </c>
      <c r="T91" s="458"/>
      <c r="U91" s="458"/>
      <c r="V91" s="458"/>
    </row>
    <row r="92" spans="1:28">
      <c r="A92" s="457" t="str">
        <f t="shared" si="63"/>
        <v>Rashi Pinda</v>
      </c>
      <c r="B92" s="443" t="str">
        <f t="shared" si="64"/>
        <v>RPESSun</v>
      </c>
      <c r="D92" s="443">
        <f t="shared" ref="D92:O92" ca="1" si="72">D80*D$28</f>
        <v>7</v>
      </c>
      <c r="E92" s="443">
        <f t="shared" ca="1" si="72"/>
        <v>20</v>
      </c>
      <c r="F92" s="443">
        <f t="shared" ca="1" si="72"/>
        <v>0</v>
      </c>
      <c r="G92" s="443">
        <f t="shared" ca="1" si="72"/>
        <v>0</v>
      </c>
      <c r="H92" s="443">
        <f t="shared" ca="1" si="72"/>
        <v>0</v>
      </c>
      <c r="I92" s="443">
        <f t="shared" ca="1" si="72"/>
        <v>0</v>
      </c>
      <c r="J92" s="443">
        <f t="shared" ca="1" si="72"/>
        <v>0</v>
      </c>
      <c r="K92" s="443">
        <f t="shared" ca="1" si="72"/>
        <v>0</v>
      </c>
      <c r="L92" s="443">
        <f t="shared" ca="1" si="72"/>
        <v>0</v>
      </c>
      <c r="M92" s="443">
        <f t="shared" ca="1" si="72"/>
        <v>5</v>
      </c>
      <c r="N92" s="443">
        <f t="shared" ca="1" si="72"/>
        <v>0</v>
      </c>
      <c r="O92" s="443">
        <f t="shared" ca="1" si="72"/>
        <v>0</v>
      </c>
      <c r="P92" s="50">
        <f t="shared" ca="1" si="66"/>
        <v>32</v>
      </c>
      <c r="T92" s="458"/>
      <c r="U92" s="458"/>
      <c r="V92" s="458"/>
    </row>
    <row r="93" spans="1:28">
      <c r="A93" s="457" t="str">
        <f t="shared" si="63"/>
        <v>Rashi Pinda</v>
      </c>
      <c r="B93" s="443" t="str">
        <f t="shared" si="64"/>
        <v>RPESLagna</v>
      </c>
      <c r="D93" s="443">
        <f t="shared" ref="D93:O93" ca="1" si="73">D81*D$28</f>
        <v>7</v>
      </c>
      <c r="E93" s="443">
        <f t="shared" ca="1" si="73"/>
        <v>20</v>
      </c>
      <c r="F93" s="443">
        <f t="shared" ca="1" si="73"/>
        <v>0</v>
      </c>
      <c r="G93" s="443">
        <f t="shared" ca="1" si="73"/>
        <v>12</v>
      </c>
      <c r="H93" s="443">
        <f t="shared" ca="1" si="73"/>
        <v>10</v>
      </c>
      <c r="I93" s="443">
        <f t="shared" ca="1" si="73"/>
        <v>0</v>
      </c>
      <c r="J93" s="443">
        <f t="shared" ca="1" si="73"/>
        <v>14</v>
      </c>
      <c r="K93" s="443">
        <f t="shared" ca="1" si="73"/>
        <v>0</v>
      </c>
      <c r="L93" s="443">
        <f t="shared" ca="1" si="73"/>
        <v>0</v>
      </c>
      <c r="M93" s="443">
        <f t="shared" ca="1" si="73"/>
        <v>0</v>
      </c>
      <c r="N93" s="443">
        <f t="shared" ca="1" si="73"/>
        <v>11</v>
      </c>
      <c r="O93" s="443">
        <f t="shared" ca="1" si="73"/>
        <v>24</v>
      </c>
      <c r="P93" s="50">
        <f t="shared" ca="1" si="66"/>
        <v>98</v>
      </c>
      <c r="T93" s="458"/>
      <c r="U93" s="458"/>
      <c r="V93" s="458"/>
    </row>
    <row r="94" spans="1:28">
      <c r="A94" s="457" t="str">
        <f t="shared" si="63"/>
        <v>Rashi Pinda</v>
      </c>
      <c r="B94" s="443" t="str">
        <f t="shared" si="64"/>
        <v>RPESSarva+L</v>
      </c>
      <c r="D94" s="443">
        <f t="shared" ref="D94:O94" ca="1" si="74">D82*D$28</f>
        <v>0</v>
      </c>
      <c r="E94" s="443">
        <f t="shared" ca="1" si="74"/>
        <v>0</v>
      </c>
      <c r="F94" s="443">
        <f t="shared" ca="1" si="74"/>
        <v>0</v>
      </c>
      <c r="G94" s="443">
        <f t="shared" si="74"/>
        <v>0</v>
      </c>
      <c r="H94" s="443">
        <f t="shared" si="74"/>
        <v>0</v>
      </c>
      <c r="I94" s="443">
        <f t="shared" ca="1" si="74"/>
        <v>0</v>
      </c>
      <c r="J94" s="443">
        <f t="shared" ca="1" si="74"/>
        <v>0</v>
      </c>
      <c r="K94" s="443">
        <f t="shared" ca="1" si="74"/>
        <v>0</v>
      </c>
      <c r="L94" s="443">
        <f t="shared" ca="1" si="74"/>
        <v>0</v>
      </c>
      <c r="M94" s="443">
        <f t="shared" ca="1" si="74"/>
        <v>0</v>
      </c>
      <c r="N94" s="443">
        <f t="shared" ca="1" si="74"/>
        <v>0</v>
      </c>
      <c r="O94" s="443">
        <f t="shared" ca="1" si="74"/>
        <v>0</v>
      </c>
      <c r="S94" s="458"/>
      <c r="T94" s="458"/>
      <c r="U94" s="458"/>
      <c r="V94" s="458"/>
    </row>
    <row r="95" spans="1:28">
      <c r="A95" s="457" t="str">
        <f t="shared" si="63"/>
        <v>Rashi Pinda</v>
      </c>
      <c r="B95" s="443" t="str">
        <f t="shared" si="64"/>
        <v>RPESSarva-L</v>
      </c>
      <c r="D95" s="443">
        <f t="shared" ref="D95:O95" ca="1" si="75">D83*D$28</f>
        <v>0</v>
      </c>
      <c r="E95" s="443">
        <f t="shared" ca="1" si="75"/>
        <v>0</v>
      </c>
      <c r="F95" s="443">
        <f t="shared" ca="1" si="75"/>
        <v>0</v>
      </c>
      <c r="G95" s="443">
        <f t="shared" si="75"/>
        <v>0</v>
      </c>
      <c r="H95" s="443">
        <f t="shared" si="75"/>
        <v>0</v>
      </c>
      <c r="I95" s="443">
        <f t="shared" ca="1" si="75"/>
        <v>0</v>
      </c>
      <c r="J95" s="443">
        <f t="shared" ca="1" si="75"/>
        <v>0</v>
      </c>
      <c r="K95" s="443">
        <f t="shared" ca="1" si="75"/>
        <v>0</v>
      </c>
      <c r="L95" s="443">
        <f t="shared" ca="1" si="75"/>
        <v>0</v>
      </c>
      <c r="M95" s="443">
        <f t="shared" ca="1" si="75"/>
        <v>0</v>
      </c>
      <c r="N95" s="443">
        <f t="shared" ca="1" si="75"/>
        <v>0</v>
      </c>
      <c r="O95" s="443">
        <f t="shared" ca="1" si="75"/>
        <v>0</v>
      </c>
      <c r="S95" s="458"/>
      <c r="T95" s="458"/>
      <c r="U95" s="458"/>
      <c r="V95" s="458"/>
    </row>
    <row r="96" spans="1:28" ht="17.25">
      <c r="A96" s="457" t="str">
        <f>B96</f>
        <v>Graha Pinda</v>
      </c>
      <c r="B96" s="1344" t="s">
        <v>765</v>
      </c>
      <c r="C96" s="1344"/>
      <c r="D96" s="1344"/>
      <c r="E96" s="1344"/>
      <c r="F96" s="1344"/>
      <c r="G96" s="1344"/>
      <c r="H96" s="1344"/>
      <c r="I96" s="1344"/>
      <c r="J96" s="1344"/>
      <c r="K96" s="1344"/>
      <c r="L96" s="1344"/>
      <c r="M96" s="1344"/>
      <c r="N96" s="1344"/>
      <c r="O96" s="1344"/>
      <c r="S96" s="458"/>
      <c r="T96" s="458"/>
      <c r="U96" s="458"/>
      <c r="V96" s="458"/>
    </row>
    <row r="97" spans="1:22">
      <c r="A97" s="457" t="str">
        <f t="shared" ref="A97:A109" si="76">A96</f>
        <v>Graha Pinda</v>
      </c>
      <c r="D97" s="443" t="str">
        <f>B17</f>
        <v>Saturn</v>
      </c>
      <c r="E97" s="458" t="str">
        <f>B18</f>
        <v>Venus</v>
      </c>
      <c r="F97" s="458" t="str">
        <f>B19</f>
        <v>Jupiter</v>
      </c>
      <c r="G97" s="458" t="str">
        <f>B20</f>
        <v>Mercury</v>
      </c>
      <c r="H97" s="458" t="str">
        <f>B21</f>
        <v>Mars</v>
      </c>
      <c r="I97" s="443" t="str">
        <f>B22</f>
        <v>Moon</v>
      </c>
      <c r="J97" s="443" t="str">
        <f>B23</f>
        <v>Sun</v>
      </c>
      <c r="K97" s="443" t="str">
        <f>B24</f>
        <v>Lagna</v>
      </c>
      <c r="S97" s="458"/>
      <c r="T97" s="458"/>
      <c r="U97" s="458"/>
      <c r="V97" s="458"/>
    </row>
    <row r="98" spans="1:22">
      <c r="A98" s="457" t="str">
        <f t="shared" si="76"/>
        <v>Graha Pinda</v>
      </c>
      <c r="C98" s="181" t="s">
        <v>766</v>
      </c>
      <c r="D98" s="443">
        <f>Q17</f>
        <v>5</v>
      </c>
      <c r="E98" s="458">
        <f>Q18</f>
        <v>7</v>
      </c>
      <c r="F98" s="458">
        <f>Q19</f>
        <v>10</v>
      </c>
      <c r="G98" s="458">
        <f>Q20</f>
        <v>5</v>
      </c>
      <c r="H98" s="458">
        <f>Q21</f>
        <v>8</v>
      </c>
      <c r="I98" s="443">
        <f>Q22</f>
        <v>5</v>
      </c>
      <c r="J98" s="443">
        <f>Q23</f>
        <v>5</v>
      </c>
      <c r="K98" s="443">
        <v>5</v>
      </c>
      <c r="S98" s="458"/>
      <c r="T98" s="458"/>
      <c r="U98" s="458"/>
      <c r="V98" s="458"/>
    </row>
    <row r="99" spans="1:22">
      <c r="A99" s="457" t="str">
        <f t="shared" si="76"/>
        <v>Graha Pinda</v>
      </c>
      <c r="C99" s="181" t="s">
        <v>746</v>
      </c>
      <c r="D99" s="443">
        <f ca="1">C17</f>
        <v>2</v>
      </c>
      <c r="E99" s="458">
        <f ca="1">C18</f>
        <v>3</v>
      </c>
      <c r="F99" s="458">
        <f ca="1">C19</f>
        <v>8</v>
      </c>
      <c r="G99" s="458">
        <f ca="1">C20</f>
        <v>4</v>
      </c>
      <c r="H99" s="458">
        <f ca="1">C21</f>
        <v>10</v>
      </c>
      <c r="I99" s="443">
        <f ca="1">C22</f>
        <v>2</v>
      </c>
      <c r="J99" s="443">
        <f ca="1">C23</f>
        <v>4</v>
      </c>
      <c r="K99" s="443">
        <f ca="1">C24</f>
        <v>5</v>
      </c>
      <c r="O99" s="443" t="s">
        <v>767</v>
      </c>
      <c r="P99" s="50" t="s">
        <v>768</v>
      </c>
      <c r="Q99" s="443" t="s">
        <v>769</v>
      </c>
      <c r="S99" s="458"/>
      <c r="T99" s="458"/>
      <c r="U99" s="458"/>
      <c r="V99" s="458"/>
    </row>
    <row r="100" spans="1:22">
      <c r="A100" s="457" t="str">
        <f t="shared" si="76"/>
        <v>Graha Pinda</v>
      </c>
      <c r="B100" s="443" t="str">
        <f t="shared" ref="B100:C107" si="77">B17</f>
        <v>Saturn</v>
      </c>
      <c r="C100" s="443">
        <f t="shared" ca="1" si="77"/>
        <v>2</v>
      </c>
      <c r="D100" s="443">
        <f t="shared" ref="D100:K107" ca="1" si="78">INDEX($D74:$O74,D$99)*D$98</f>
        <v>15</v>
      </c>
      <c r="E100" s="443">
        <f t="shared" ca="1" si="78"/>
        <v>7</v>
      </c>
      <c r="F100" s="443">
        <f t="shared" ca="1" si="78"/>
        <v>0</v>
      </c>
      <c r="G100" s="443">
        <f t="shared" ca="1" si="78"/>
        <v>0</v>
      </c>
      <c r="H100" s="443">
        <f t="shared" ca="1" si="78"/>
        <v>0</v>
      </c>
      <c r="I100" s="443">
        <f t="shared" ca="1" si="78"/>
        <v>15</v>
      </c>
      <c r="J100" s="443">
        <f t="shared" ca="1" si="78"/>
        <v>0</v>
      </c>
      <c r="K100" s="443">
        <f t="shared" ca="1" si="78"/>
        <v>0</v>
      </c>
      <c r="O100" s="50">
        <f t="shared" ref="O100:O107" ca="1" si="79">SUM(D100:K100)</f>
        <v>37</v>
      </c>
      <c r="P100" s="50">
        <f t="shared" ref="P100:P107" ca="1" si="80">O100-K100</f>
        <v>37</v>
      </c>
      <c r="Q100" s="50">
        <f t="shared" ref="Q100:Q107" ca="1" si="81">P100</f>
        <v>37</v>
      </c>
      <c r="S100" s="458"/>
      <c r="T100" s="458"/>
      <c r="U100" s="458"/>
      <c r="V100" s="458"/>
    </row>
    <row r="101" spans="1:22">
      <c r="A101" s="457" t="str">
        <f t="shared" si="76"/>
        <v>Graha Pinda</v>
      </c>
      <c r="B101" s="443" t="str">
        <f t="shared" si="77"/>
        <v>Venus</v>
      </c>
      <c r="C101" s="443">
        <f t="shared" ca="1" si="77"/>
        <v>3</v>
      </c>
      <c r="D101" s="443">
        <f t="shared" ca="1" si="78"/>
        <v>0</v>
      </c>
      <c r="E101" s="443">
        <f t="shared" ca="1" si="78"/>
        <v>28</v>
      </c>
      <c r="F101" s="443">
        <f t="shared" ca="1" si="78"/>
        <v>0</v>
      </c>
      <c r="G101" s="443">
        <f t="shared" ca="1" si="78"/>
        <v>5</v>
      </c>
      <c r="H101" s="443">
        <f t="shared" ca="1" si="78"/>
        <v>0</v>
      </c>
      <c r="I101" s="443">
        <f t="shared" ca="1" si="78"/>
        <v>0</v>
      </c>
      <c r="J101" s="443">
        <f t="shared" ca="1" si="78"/>
        <v>5</v>
      </c>
      <c r="K101" s="443">
        <f t="shared" ca="1" si="78"/>
        <v>5</v>
      </c>
      <c r="O101" s="50">
        <f t="shared" ca="1" si="79"/>
        <v>43</v>
      </c>
      <c r="P101" s="50">
        <f t="shared" ca="1" si="80"/>
        <v>38</v>
      </c>
      <c r="Q101" s="50">
        <f t="shared" ca="1" si="81"/>
        <v>38</v>
      </c>
      <c r="S101" s="458"/>
      <c r="T101" s="458"/>
      <c r="U101" s="458"/>
      <c r="V101" s="458"/>
    </row>
    <row r="102" spans="1:22">
      <c r="A102" s="457" t="str">
        <f t="shared" si="76"/>
        <v>Graha Pinda</v>
      </c>
      <c r="B102" s="443" t="str">
        <f t="shared" si="77"/>
        <v>Jupiter</v>
      </c>
      <c r="C102" s="443">
        <f t="shared" ca="1" si="77"/>
        <v>8</v>
      </c>
      <c r="D102" s="443">
        <f t="shared" ca="1" si="78"/>
        <v>0</v>
      </c>
      <c r="E102" s="443">
        <f t="shared" ca="1" si="78"/>
        <v>0</v>
      </c>
      <c r="F102" s="443">
        <f t="shared" ca="1" si="78"/>
        <v>20</v>
      </c>
      <c r="G102" s="443">
        <f t="shared" ca="1" si="78"/>
        <v>5</v>
      </c>
      <c r="H102" s="443">
        <f t="shared" ca="1" si="78"/>
        <v>8</v>
      </c>
      <c r="I102" s="443">
        <f t="shared" ca="1" si="78"/>
        <v>0</v>
      </c>
      <c r="J102" s="443">
        <f t="shared" ca="1" si="78"/>
        <v>5</v>
      </c>
      <c r="K102" s="443">
        <f t="shared" ca="1" si="78"/>
        <v>10</v>
      </c>
      <c r="O102" s="50">
        <f t="shared" ca="1" si="79"/>
        <v>48</v>
      </c>
      <c r="P102" s="50">
        <f t="shared" ca="1" si="80"/>
        <v>38</v>
      </c>
      <c r="Q102" s="50">
        <f t="shared" ca="1" si="81"/>
        <v>38</v>
      </c>
      <c r="S102" s="458"/>
      <c r="T102" s="458"/>
      <c r="U102" s="458"/>
      <c r="V102" s="458"/>
    </row>
    <row r="103" spans="1:22">
      <c r="A103" s="457" t="str">
        <f t="shared" si="76"/>
        <v>Graha Pinda</v>
      </c>
      <c r="B103" s="443" t="str">
        <f t="shared" si="77"/>
        <v>Mercury</v>
      </c>
      <c r="C103" s="443">
        <f t="shared" ca="1" si="77"/>
        <v>4</v>
      </c>
      <c r="D103" s="443">
        <f t="shared" ca="1" si="78"/>
        <v>0</v>
      </c>
      <c r="E103" s="443">
        <f t="shared" ca="1" si="78"/>
        <v>21</v>
      </c>
      <c r="F103" s="443">
        <f t="shared" ca="1" si="78"/>
        <v>20</v>
      </c>
      <c r="G103" s="443">
        <f t="shared" ca="1" si="78"/>
        <v>0</v>
      </c>
      <c r="H103" s="443">
        <f t="shared" ca="1" si="78"/>
        <v>0</v>
      </c>
      <c r="I103" s="443">
        <f t="shared" ca="1" si="78"/>
        <v>0</v>
      </c>
      <c r="J103" s="443">
        <f t="shared" ca="1" si="78"/>
        <v>0</v>
      </c>
      <c r="K103" s="443">
        <f t="shared" ca="1" si="78"/>
        <v>5</v>
      </c>
      <c r="O103" s="50">
        <f t="shared" ca="1" si="79"/>
        <v>46</v>
      </c>
      <c r="P103" s="50">
        <f t="shared" ca="1" si="80"/>
        <v>41</v>
      </c>
      <c r="Q103" s="50">
        <f t="shared" ca="1" si="81"/>
        <v>41</v>
      </c>
      <c r="S103" s="458"/>
      <c r="T103" s="458"/>
      <c r="U103" s="458"/>
      <c r="V103" s="458"/>
    </row>
    <row r="104" spans="1:22">
      <c r="A104" s="457" t="str">
        <f t="shared" si="76"/>
        <v>Graha Pinda</v>
      </c>
      <c r="B104" s="443" t="str">
        <f t="shared" si="77"/>
        <v>Mars</v>
      </c>
      <c r="C104" s="443">
        <f t="shared" ca="1" si="77"/>
        <v>10</v>
      </c>
      <c r="D104" s="443">
        <f t="shared" ca="1" si="78"/>
        <v>10</v>
      </c>
      <c r="E104" s="443">
        <f t="shared" ca="1" si="78"/>
        <v>0</v>
      </c>
      <c r="F104" s="443">
        <f t="shared" ca="1" si="78"/>
        <v>30</v>
      </c>
      <c r="G104" s="443">
        <f t="shared" ca="1" si="78"/>
        <v>0</v>
      </c>
      <c r="H104" s="443">
        <f t="shared" ca="1" si="78"/>
        <v>8</v>
      </c>
      <c r="I104" s="443">
        <f t="shared" ca="1" si="78"/>
        <v>10</v>
      </c>
      <c r="J104" s="443">
        <f t="shared" ca="1" si="78"/>
        <v>0</v>
      </c>
      <c r="K104" s="443">
        <f t="shared" ca="1" si="78"/>
        <v>5</v>
      </c>
      <c r="O104" s="50">
        <f t="shared" ca="1" si="79"/>
        <v>63</v>
      </c>
      <c r="P104" s="50">
        <f t="shared" ca="1" si="80"/>
        <v>58</v>
      </c>
      <c r="Q104" s="50">
        <f t="shared" ca="1" si="81"/>
        <v>58</v>
      </c>
      <c r="S104" s="458"/>
      <c r="T104" s="458"/>
      <c r="U104" s="458"/>
      <c r="V104" s="458"/>
    </row>
    <row r="105" spans="1:22">
      <c r="A105" s="457" t="str">
        <f t="shared" si="76"/>
        <v>Graha Pinda</v>
      </c>
      <c r="B105" s="443" t="str">
        <f t="shared" si="77"/>
        <v>Moon</v>
      </c>
      <c r="C105" s="443">
        <f t="shared" ca="1" si="77"/>
        <v>2</v>
      </c>
      <c r="D105" s="443">
        <f t="shared" ca="1" si="78"/>
        <v>10</v>
      </c>
      <c r="E105" s="443">
        <f t="shared" ca="1" si="78"/>
        <v>0</v>
      </c>
      <c r="F105" s="443">
        <f t="shared" ca="1" si="78"/>
        <v>10</v>
      </c>
      <c r="G105" s="443">
        <f t="shared" ca="1" si="78"/>
        <v>0</v>
      </c>
      <c r="H105" s="443">
        <f t="shared" ca="1" si="78"/>
        <v>0</v>
      </c>
      <c r="I105" s="443">
        <f t="shared" ca="1" si="78"/>
        <v>10</v>
      </c>
      <c r="J105" s="443">
        <f t="shared" ca="1" si="78"/>
        <v>0</v>
      </c>
      <c r="K105" s="443">
        <f t="shared" ca="1" si="78"/>
        <v>0</v>
      </c>
      <c r="O105" s="50">
        <f t="shared" ca="1" si="79"/>
        <v>30</v>
      </c>
      <c r="P105" s="50">
        <f t="shared" ca="1" si="80"/>
        <v>30</v>
      </c>
      <c r="Q105" s="50">
        <f t="shared" ca="1" si="81"/>
        <v>30</v>
      </c>
      <c r="S105" s="458"/>
      <c r="T105" s="458"/>
      <c r="U105" s="458"/>
      <c r="V105" s="458"/>
    </row>
    <row r="106" spans="1:22">
      <c r="A106" s="457" t="str">
        <f t="shared" si="76"/>
        <v>Graha Pinda</v>
      </c>
      <c r="B106" s="443" t="str">
        <f t="shared" si="77"/>
        <v>Sun</v>
      </c>
      <c r="C106" s="443">
        <f t="shared" ca="1" si="77"/>
        <v>4</v>
      </c>
      <c r="D106" s="443">
        <f t="shared" ca="1" si="78"/>
        <v>10</v>
      </c>
      <c r="E106" s="443">
        <f t="shared" ca="1" si="78"/>
        <v>0</v>
      </c>
      <c r="F106" s="443">
        <f t="shared" ca="1" si="78"/>
        <v>0</v>
      </c>
      <c r="G106" s="443">
        <f t="shared" ca="1" si="78"/>
        <v>0</v>
      </c>
      <c r="H106" s="443">
        <f t="shared" ca="1" si="78"/>
        <v>8</v>
      </c>
      <c r="I106" s="443">
        <f t="shared" ca="1" si="78"/>
        <v>10</v>
      </c>
      <c r="J106" s="443">
        <f t="shared" ca="1" si="78"/>
        <v>0</v>
      </c>
      <c r="K106" s="443">
        <f t="shared" ca="1" si="78"/>
        <v>0</v>
      </c>
      <c r="O106" s="50">
        <f t="shared" ca="1" si="79"/>
        <v>28</v>
      </c>
      <c r="P106" s="50">
        <f t="shared" ca="1" si="80"/>
        <v>28</v>
      </c>
      <c r="Q106" s="50">
        <f t="shared" ca="1" si="81"/>
        <v>28</v>
      </c>
      <c r="S106" s="458"/>
      <c r="T106" s="458"/>
      <c r="U106" s="458"/>
      <c r="V106" s="458"/>
    </row>
    <row r="107" spans="1:22">
      <c r="A107" s="457" t="str">
        <f t="shared" si="76"/>
        <v>Graha Pinda</v>
      </c>
      <c r="B107" s="443" t="str">
        <f t="shared" si="77"/>
        <v>Lagna</v>
      </c>
      <c r="C107" s="443">
        <f t="shared" ca="1" si="77"/>
        <v>5</v>
      </c>
      <c r="D107" s="443">
        <f t="shared" ca="1" si="78"/>
        <v>10</v>
      </c>
      <c r="E107" s="443">
        <f t="shared" ca="1" si="78"/>
        <v>0</v>
      </c>
      <c r="F107" s="443">
        <f t="shared" ca="1" si="78"/>
        <v>0</v>
      </c>
      <c r="G107" s="443">
        <f t="shared" ca="1" si="78"/>
        <v>15</v>
      </c>
      <c r="H107" s="443">
        <f t="shared" ca="1" si="78"/>
        <v>0</v>
      </c>
      <c r="I107" s="443">
        <f t="shared" ca="1" si="78"/>
        <v>10</v>
      </c>
      <c r="J107" s="443">
        <f t="shared" ca="1" si="78"/>
        <v>15</v>
      </c>
      <c r="K107" s="443">
        <f t="shared" ca="1" si="78"/>
        <v>5</v>
      </c>
      <c r="O107" s="50">
        <f t="shared" ca="1" si="79"/>
        <v>55</v>
      </c>
      <c r="P107" s="50">
        <f t="shared" ca="1" si="80"/>
        <v>50</v>
      </c>
      <c r="Q107" s="50">
        <f t="shared" ca="1" si="81"/>
        <v>50</v>
      </c>
      <c r="S107" s="458"/>
      <c r="T107" s="458"/>
      <c r="U107" s="458"/>
      <c r="V107" s="458"/>
    </row>
    <row r="108" spans="1:22">
      <c r="A108" s="457" t="str">
        <f t="shared" si="76"/>
        <v>Graha Pinda</v>
      </c>
      <c r="C108" s="443"/>
      <c r="S108" s="458"/>
      <c r="T108" s="458"/>
      <c r="U108" s="458"/>
      <c r="V108" s="458"/>
    </row>
    <row r="109" spans="1:22">
      <c r="A109" s="457" t="str">
        <f t="shared" si="76"/>
        <v>Graha Pinda</v>
      </c>
      <c r="C109" s="443"/>
      <c r="S109" s="458"/>
      <c r="T109" s="458"/>
      <c r="U109" s="458"/>
      <c r="V109" s="458"/>
    </row>
    <row r="110" spans="1:22" ht="17.25">
      <c r="A110" s="457" t="str">
        <f>B110</f>
        <v>Pinda Nakshatra+</v>
      </c>
      <c r="B110" s="1344" t="s">
        <v>770</v>
      </c>
      <c r="C110" s="1344"/>
      <c r="D110" s="1344"/>
      <c r="E110" s="1344"/>
      <c r="F110" s="1344"/>
      <c r="G110" s="1344"/>
      <c r="H110" s="1344"/>
      <c r="I110" s="1344"/>
      <c r="J110" s="1344"/>
      <c r="K110" s="1344"/>
      <c r="L110" s="1344"/>
      <c r="M110" s="1344"/>
      <c r="N110" s="1344"/>
      <c r="O110" s="1344"/>
      <c r="S110" s="458"/>
      <c r="T110" s="458"/>
      <c r="U110" s="458"/>
      <c r="V110" s="458"/>
    </row>
    <row r="111" spans="1:22">
      <c r="A111" s="457" t="str">
        <f t="shared" ref="A111:A119" si="82">A110</f>
        <v>Pinda Nakshatra+</v>
      </c>
      <c r="B111" s="443" t="s">
        <v>140</v>
      </c>
      <c r="C111" s="459" t="str">
        <f t="shared" ref="C111:O111" si="83">C16</f>
        <v>Sign#</v>
      </c>
      <c r="D111" s="443">
        <f t="shared" si="83"/>
        <v>1</v>
      </c>
      <c r="E111" s="443">
        <f t="shared" si="83"/>
        <v>2</v>
      </c>
      <c r="F111" s="443">
        <f t="shared" si="83"/>
        <v>3</v>
      </c>
      <c r="G111" s="443">
        <f t="shared" si="83"/>
        <v>4</v>
      </c>
      <c r="H111" s="443">
        <f t="shared" si="83"/>
        <v>5</v>
      </c>
      <c r="I111" s="443">
        <f t="shared" si="83"/>
        <v>6</v>
      </c>
      <c r="J111" s="443">
        <f t="shared" si="83"/>
        <v>7</v>
      </c>
      <c r="K111" s="443">
        <f t="shared" si="83"/>
        <v>8</v>
      </c>
      <c r="L111" s="443">
        <f t="shared" si="83"/>
        <v>9</v>
      </c>
      <c r="M111" s="443">
        <f t="shared" si="83"/>
        <v>10</v>
      </c>
      <c r="N111" s="443">
        <f t="shared" si="83"/>
        <v>11</v>
      </c>
      <c r="O111" s="443">
        <f t="shared" si="83"/>
        <v>12</v>
      </c>
      <c r="Q111" s="181" t="s">
        <v>771</v>
      </c>
      <c r="S111" s="458"/>
      <c r="T111" s="458"/>
      <c r="U111" s="458"/>
      <c r="V111" s="458"/>
    </row>
    <row r="112" spans="1:22">
      <c r="A112" s="457" t="str">
        <f t="shared" si="82"/>
        <v>Pinda Nakshatra+</v>
      </c>
      <c r="B112" s="443" t="str">
        <f t="shared" ref="B112:C119" si="84">B17</f>
        <v>Saturn</v>
      </c>
      <c r="C112" s="459">
        <f t="shared" ca="1" si="84"/>
        <v>2</v>
      </c>
      <c r="D112" s="443">
        <f t="shared" ref="D112:O112" ca="1" si="85">MOD($Q112*D17,27)</f>
        <v>23</v>
      </c>
      <c r="E112" s="443">
        <f t="shared" ca="1" si="85"/>
        <v>22</v>
      </c>
      <c r="F112" s="443">
        <f t="shared" ca="1" si="85"/>
        <v>24</v>
      </c>
      <c r="G112" s="443">
        <f t="shared" ca="1" si="85"/>
        <v>24</v>
      </c>
      <c r="H112" s="443">
        <f t="shared" ca="1" si="85"/>
        <v>25</v>
      </c>
      <c r="I112" s="443">
        <f t="shared" ca="1" si="85"/>
        <v>25</v>
      </c>
      <c r="J112" s="443">
        <f t="shared" ca="1" si="85"/>
        <v>21</v>
      </c>
      <c r="K112" s="443">
        <f t="shared" ca="1" si="85"/>
        <v>24</v>
      </c>
      <c r="L112" s="443">
        <f t="shared" ca="1" si="85"/>
        <v>25</v>
      </c>
      <c r="M112" s="443">
        <f t="shared" ca="1" si="85"/>
        <v>25</v>
      </c>
      <c r="N112" s="443">
        <f t="shared" ca="1" si="85"/>
        <v>25</v>
      </c>
      <c r="O112" s="443">
        <f t="shared" ca="1" si="85"/>
        <v>22</v>
      </c>
      <c r="Q112" s="443">
        <f t="shared" ref="Q112:Q119" ca="1" si="86">P86+Q100</f>
        <v>134</v>
      </c>
      <c r="S112" s="458"/>
      <c r="T112" s="458"/>
      <c r="U112" s="458"/>
      <c r="V112" s="458"/>
    </row>
    <row r="113" spans="1:22">
      <c r="A113" s="457" t="str">
        <f t="shared" si="82"/>
        <v>Pinda Nakshatra+</v>
      </c>
      <c r="B113" s="443" t="str">
        <f t="shared" si="84"/>
        <v>Venus</v>
      </c>
      <c r="C113" s="459">
        <f t="shared" ca="1" si="84"/>
        <v>3</v>
      </c>
      <c r="D113" s="443">
        <f t="shared" ref="D113:O113" ca="1" si="87">MOD($Q113*D18,27)</f>
        <v>5</v>
      </c>
      <c r="E113" s="443">
        <f t="shared" ca="1" si="87"/>
        <v>24</v>
      </c>
      <c r="F113" s="443">
        <f t="shared" ca="1" si="87"/>
        <v>21</v>
      </c>
      <c r="G113" s="443">
        <f t="shared" ca="1" si="87"/>
        <v>5</v>
      </c>
      <c r="H113" s="443">
        <f t="shared" ca="1" si="87"/>
        <v>13</v>
      </c>
      <c r="I113" s="443">
        <f t="shared" ca="1" si="87"/>
        <v>2</v>
      </c>
      <c r="J113" s="443">
        <f t="shared" ca="1" si="87"/>
        <v>16</v>
      </c>
      <c r="K113" s="443">
        <f t="shared" ca="1" si="87"/>
        <v>24</v>
      </c>
      <c r="L113" s="443">
        <f t="shared" ca="1" si="87"/>
        <v>13</v>
      </c>
      <c r="M113" s="443">
        <f t="shared" ca="1" si="87"/>
        <v>24</v>
      </c>
      <c r="N113" s="443">
        <f t="shared" ca="1" si="87"/>
        <v>24</v>
      </c>
      <c r="O113" s="443">
        <f t="shared" ca="1" si="87"/>
        <v>2</v>
      </c>
      <c r="Q113" s="443">
        <f t="shared" ca="1" si="86"/>
        <v>116</v>
      </c>
      <c r="S113" s="458"/>
      <c r="T113" s="458"/>
      <c r="U113" s="458"/>
      <c r="V113" s="458"/>
    </row>
    <row r="114" spans="1:22">
      <c r="A114" s="457" t="str">
        <f t="shared" si="82"/>
        <v>Pinda Nakshatra+</v>
      </c>
      <c r="B114" s="443" t="str">
        <f t="shared" si="84"/>
        <v>Jupiter</v>
      </c>
      <c r="C114" s="459">
        <f t="shared" ca="1" si="84"/>
        <v>8</v>
      </c>
      <c r="D114" s="443">
        <f t="shared" ref="D114:O114" ca="1" si="88">MOD($Q114*D19,27)</f>
        <v>6</v>
      </c>
      <c r="E114" s="443">
        <f t="shared" ca="1" si="88"/>
        <v>22</v>
      </c>
      <c r="F114" s="443">
        <f t="shared" ca="1" si="88"/>
        <v>3</v>
      </c>
      <c r="G114" s="443">
        <f t="shared" ca="1" si="88"/>
        <v>14</v>
      </c>
      <c r="H114" s="443">
        <f t="shared" ca="1" si="88"/>
        <v>14</v>
      </c>
      <c r="I114" s="443">
        <f t="shared" ca="1" si="88"/>
        <v>14</v>
      </c>
      <c r="J114" s="443">
        <f t="shared" ca="1" si="88"/>
        <v>14</v>
      </c>
      <c r="K114" s="443">
        <f t="shared" ca="1" si="88"/>
        <v>6</v>
      </c>
      <c r="L114" s="443">
        <f t="shared" ca="1" si="88"/>
        <v>3</v>
      </c>
      <c r="M114" s="443">
        <f t="shared" ca="1" si="88"/>
        <v>14</v>
      </c>
      <c r="N114" s="443">
        <f t="shared" ca="1" si="88"/>
        <v>14</v>
      </c>
      <c r="O114" s="443">
        <f t="shared" ca="1" si="88"/>
        <v>22</v>
      </c>
      <c r="Q114" s="443">
        <f t="shared" ca="1" si="86"/>
        <v>127</v>
      </c>
      <c r="S114" s="458"/>
      <c r="T114" s="458"/>
      <c r="U114" s="458"/>
      <c r="V114" s="458"/>
    </row>
    <row r="115" spans="1:22">
      <c r="A115" s="457" t="str">
        <f t="shared" si="82"/>
        <v>Pinda Nakshatra+</v>
      </c>
      <c r="B115" s="443" t="str">
        <f t="shared" si="84"/>
        <v>Mercury</v>
      </c>
      <c r="C115" s="459">
        <f t="shared" ca="1" si="84"/>
        <v>4</v>
      </c>
      <c r="D115" s="443">
        <f t="shared" ref="D115:O115" ca="1" si="89">MOD($Q115*D20,27)</f>
        <v>1</v>
      </c>
      <c r="E115" s="443">
        <f t="shared" ca="1" si="89"/>
        <v>1</v>
      </c>
      <c r="F115" s="443">
        <f t="shared" ca="1" si="89"/>
        <v>22</v>
      </c>
      <c r="G115" s="443">
        <f t="shared" ca="1" si="89"/>
        <v>21</v>
      </c>
      <c r="H115" s="443">
        <f t="shared" ca="1" si="89"/>
        <v>8</v>
      </c>
      <c r="I115" s="443">
        <f t="shared" ca="1" si="89"/>
        <v>8</v>
      </c>
      <c r="J115" s="443">
        <f t="shared" ca="1" si="89"/>
        <v>1</v>
      </c>
      <c r="K115" s="443">
        <f t="shared" ca="1" si="89"/>
        <v>8</v>
      </c>
      <c r="L115" s="443">
        <f t="shared" ca="1" si="89"/>
        <v>1</v>
      </c>
      <c r="M115" s="443">
        <f t="shared" ca="1" si="89"/>
        <v>1</v>
      </c>
      <c r="N115" s="443">
        <f t="shared" ca="1" si="89"/>
        <v>1</v>
      </c>
      <c r="O115" s="443">
        <f t="shared" ca="1" si="89"/>
        <v>8</v>
      </c>
      <c r="Q115" s="443">
        <f t="shared" ca="1" si="86"/>
        <v>115</v>
      </c>
      <c r="S115" s="458"/>
      <c r="T115" s="458"/>
      <c r="U115" s="458"/>
      <c r="V115" s="458"/>
    </row>
    <row r="116" spans="1:22">
      <c r="A116" s="457" t="str">
        <f t="shared" si="82"/>
        <v>Pinda Nakshatra+</v>
      </c>
      <c r="B116" s="443" t="str">
        <f t="shared" si="84"/>
        <v>Mars</v>
      </c>
      <c r="C116" s="459">
        <f t="shared" ca="1" si="84"/>
        <v>10</v>
      </c>
      <c r="D116" s="443">
        <f t="shared" ref="D116:O116" ca="1" si="90">MOD($Q116*D21,27)</f>
        <v>11</v>
      </c>
      <c r="E116" s="443">
        <f t="shared" ca="1" si="90"/>
        <v>7</v>
      </c>
      <c r="F116" s="443">
        <f t="shared" ca="1" si="90"/>
        <v>23</v>
      </c>
      <c r="G116" s="443">
        <f t="shared" ca="1" si="90"/>
        <v>19</v>
      </c>
      <c r="H116" s="443">
        <f t="shared" ca="1" si="90"/>
        <v>11</v>
      </c>
      <c r="I116" s="443">
        <f t="shared" ca="1" si="90"/>
        <v>15</v>
      </c>
      <c r="J116" s="443">
        <f t="shared" ca="1" si="90"/>
        <v>11</v>
      </c>
      <c r="K116" s="443">
        <f t="shared" ca="1" si="90"/>
        <v>7</v>
      </c>
      <c r="L116" s="443">
        <f t="shared" ca="1" si="90"/>
        <v>15</v>
      </c>
      <c r="M116" s="443">
        <f t="shared" ca="1" si="90"/>
        <v>11</v>
      </c>
      <c r="N116" s="443">
        <f t="shared" ca="1" si="90"/>
        <v>19</v>
      </c>
      <c r="O116" s="443">
        <f t="shared" ca="1" si="90"/>
        <v>19</v>
      </c>
      <c r="Q116" s="443">
        <f t="shared" ca="1" si="86"/>
        <v>131</v>
      </c>
      <c r="S116" s="458"/>
      <c r="T116" s="458"/>
      <c r="U116" s="458"/>
      <c r="V116" s="458"/>
    </row>
    <row r="117" spans="1:22">
      <c r="A117" s="457" t="str">
        <f t="shared" si="82"/>
        <v>Pinda Nakshatra+</v>
      </c>
      <c r="B117" s="443" t="str">
        <f t="shared" si="84"/>
        <v>Moon</v>
      </c>
      <c r="C117" s="459">
        <f t="shared" ca="1" si="84"/>
        <v>2</v>
      </c>
      <c r="D117" s="443">
        <f t="shared" ref="D117:O117" ca="1" si="91">MOD($Q117*D22,27)</f>
        <v>6</v>
      </c>
      <c r="E117" s="443">
        <f t="shared" ca="1" si="91"/>
        <v>12</v>
      </c>
      <c r="F117" s="443">
        <f t="shared" ca="1" si="91"/>
        <v>6</v>
      </c>
      <c r="G117" s="443">
        <f t="shared" ca="1" si="91"/>
        <v>6</v>
      </c>
      <c r="H117" s="443">
        <f t="shared" ca="1" si="91"/>
        <v>4</v>
      </c>
      <c r="I117" s="443">
        <f t="shared" ca="1" si="91"/>
        <v>10</v>
      </c>
      <c r="J117" s="443">
        <f t="shared" ca="1" si="91"/>
        <v>12</v>
      </c>
      <c r="K117" s="443">
        <f t="shared" ca="1" si="91"/>
        <v>8</v>
      </c>
      <c r="L117" s="443">
        <f t="shared" ca="1" si="91"/>
        <v>6</v>
      </c>
      <c r="M117" s="443">
        <f t="shared" ca="1" si="91"/>
        <v>8</v>
      </c>
      <c r="N117" s="443">
        <f t="shared" ca="1" si="91"/>
        <v>12</v>
      </c>
      <c r="O117" s="443">
        <f t="shared" ca="1" si="91"/>
        <v>8</v>
      </c>
      <c r="Q117" s="443">
        <f t="shared" ca="1" si="86"/>
        <v>110</v>
      </c>
      <c r="S117" s="458"/>
      <c r="T117" s="458"/>
      <c r="U117" s="458"/>
      <c r="V117" s="458"/>
    </row>
    <row r="118" spans="1:22">
      <c r="A118" s="457" t="str">
        <f t="shared" si="82"/>
        <v>Pinda Nakshatra+</v>
      </c>
      <c r="B118" s="443" t="str">
        <f t="shared" si="84"/>
        <v>Sun</v>
      </c>
      <c r="C118" s="459">
        <f t="shared" ca="1" si="84"/>
        <v>4</v>
      </c>
      <c r="D118" s="443">
        <f t="shared" ref="D118:O118" ca="1" si="92">MOD($Q118*D23,27)</f>
        <v>24</v>
      </c>
      <c r="E118" s="443">
        <f t="shared" ca="1" si="92"/>
        <v>3</v>
      </c>
      <c r="F118" s="443">
        <f t="shared" ca="1" si="92"/>
        <v>18</v>
      </c>
      <c r="G118" s="443">
        <f t="shared" ca="1" si="92"/>
        <v>3</v>
      </c>
      <c r="H118" s="443">
        <f t="shared" ca="1" si="92"/>
        <v>18</v>
      </c>
      <c r="I118" s="443">
        <f t="shared" ca="1" si="92"/>
        <v>18</v>
      </c>
      <c r="J118" s="443">
        <f t="shared" ca="1" si="92"/>
        <v>24</v>
      </c>
      <c r="K118" s="443">
        <f t="shared" ca="1" si="92"/>
        <v>3</v>
      </c>
      <c r="L118" s="443">
        <f t="shared" ca="1" si="92"/>
        <v>18</v>
      </c>
      <c r="M118" s="443">
        <f t="shared" ca="1" si="92"/>
        <v>24</v>
      </c>
      <c r="N118" s="443">
        <f t="shared" ca="1" si="92"/>
        <v>24</v>
      </c>
      <c r="O118" s="443">
        <f t="shared" ca="1" si="92"/>
        <v>3</v>
      </c>
      <c r="Q118" s="443">
        <f t="shared" ca="1" si="86"/>
        <v>60</v>
      </c>
      <c r="S118" s="458"/>
      <c r="T118" s="458"/>
      <c r="U118" s="458"/>
      <c r="V118" s="458"/>
    </row>
    <row r="119" spans="1:22">
      <c r="A119" s="457" t="str">
        <f t="shared" si="82"/>
        <v>Pinda Nakshatra+</v>
      </c>
      <c r="B119" s="443" t="str">
        <f t="shared" si="84"/>
        <v>Lagna</v>
      </c>
      <c r="C119" s="459">
        <f t="shared" ca="1" si="84"/>
        <v>5</v>
      </c>
      <c r="D119" s="443">
        <f t="shared" ref="D119:O119" ca="1" si="93">MOD($Q119*D24,27)</f>
        <v>25</v>
      </c>
      <c r="E119" s="443">
        <f t="shared" ca="1" si="93"/>
        <v>11</v>
      </c>
      <c r="F119" s="443">
        <f t="shared" ca="1" si="93"/>
        <v>25</v>
      </c>
      <c r="G119" s="443">
        <f t="shared" ca="1" si="93"/>
        <v>11</v>
      </c>
      <c r="H119" s="443">
        <f t="shared" ca="1" si="93"/>
        <v>25</v>
      </c>
      <c r="I119" s="443">
        <f t="shared" ca="1" si="93"/>
        <v>12</v>
      </c>
      <c r="J119" s="443">
        <f t="shared" ca="1" si="93"/>
        <v>10</v>
      </c>
      <c r="K119" s="443">
        <f t="shared" ca="1" si="93"/>
        <v>26</v>
      </c>
      <c r="L119" s="443">
        <f t="shared" ca="1" si="93"/>
        <v>12</v>
      </c>
      <c r="M119" s="443">
        <f t="shared" ca="1" si="93"/>
        <v>12</v>
      </c>
      <c r="N119" s="443">
        <f t="shared" ca="1" si="93"/>
        <v>11</v>
      </c>
      <c r="O119" s="443">
        <f t="shared" ca="1" si="93"/>
        <v>25</v>
      </c>
      <c r="Q119" s="443">
        <f t="shared" ca="1" si="86"/>
        <v>148</v>
      </c>
      <c r="S119" s="458"/>
      <c r="T119" s="458"/>
      <c r="U119" s="458"/>
      <c r="V119" s="458"/>
    </row>
    <row r="120" spans="1:22" ht="17.25">
      <c r="A120" s="457" t="str">
        <f>B120</f>
        <v>Pinda Rashi+</v>
      </c>
      <c r="B120" s="1344" t="s">
        <v>772</v>
      </c>
      <c r="C120" s="1344"/>
      <c r="D120" s="1344"/>
      <c r="E120" s="1344"/>
      <c r="F120" s="1344"/>
      <c r="G120" s="1344"/>
      <c r="H120" s="1344"/>
      <c r="I120" s="1344"/>
      <c r="J120" s="1344"/>
      <c r="K120" s="1344"/>
      <c r="L120" s="1344"/>
      <c r="M120" s="1344"/>
      <c r="N120" s="1344"/>
      <c r="O120" s="1344"/>
      <c r="S120" s="458"/>
      <c r="T120" s="458"/>
      <c r="U120" s="458"/>
      <c r="V120" s="458"/>
    </row>
    <row r="121" spans="1:22">
      <c r="A121" s="457" t="str">
        <f t="shared" ref="A121:A129" si="94">A120</f>
        <v>Pinda Rashi+</v>
      </c>
      <c r="B121" s="443" t="s">
        <v>173</v>
      </c>
      <c r="C121" s="459" t="str">
        <f t="shared" ref="C121:O121" si="95">C16</f>
        <v>Sign#</v>
      </c>
      <c r="D121" s="443">
        <f t="shared" si="95"/>
        <v>1</v>
      </c>
      <c r="E121" s="443">
        <f t="shared" si="95"/>
        <v>2</v>
      </c>
      <c r="F121" s="443">
        <f t="shared" si="95"/>
        <v>3</v>
      </c>
      <c r="G121" s="443">
        <f t="shared" si="95"/>
        <v>4</v>
      </c>
      <c r="H121" s="443">
        <f t="shared" si="95"/>
        <v>5</v>
      </c>
      <c r="I121" s="443">
        <f t="shared" si="95"/>
        <v>6</v>
      </c>
      <c r="J121" s="443">
        <f t="shared" si="95"/>
        <v>7</v>
      </c>
      <c r="K121" s="443">
        <f t="shared" si="95"/>
        <v>8</v>
      </c>
      <c r="L121" s="443">
        <f t="shared" si="95"/>
        <v>9</v>
      </c>
      <c r="M121" s="443">
        <f t="shared" si="95"/>
        <v>10</v>
      </c>
      <c r="N121" s="443">
        <f t="shared" si="95"/>
        <v>11</v>
      </c>
      <c r="O121" s="443">
        <f t="shared" si="95"/>
        <v>12</v>
      </c>
      <c r="Q121" s="50" t="str">
        <f t="shared" ref="Q121:Q129" si="96">Q111</f>
        <v>YP</v>
      </c>
      <c r="S121" s="458"/>
      <c r="T121" s="458"/>
      <c r="U121" s="458"/>
      <c r="V121" s="458"/>
    </row>
    <row r="122" spans="1:22">
      <c r="A122" s="457" t="str">
        <f t="shared" si="94"/>
        <v>Pinda Rashi+</v>
      </c>
      <c r="B122" s="443" t="str">
        <f t="shared" ref="B122:C129" si="97">B17</f>
        <v>Saturn</v>
      </c>
      <c r="C122" s="459">
        <f t="shared" ca="1" si="97"/>
        <v>2</v>
      </c>
      <c r="D122" s="443">
        <f t="shared" ref="D122:O122" ca="1" si="98">MOD(D17*$Q122,12)</f>
        <v>8</v>
      </c>
      <c r="E122" s="443">
        <f t="shared" ca="1" si="98"/>
        <v>10</v>
      </c>
      <c r="F122" s="443">
        <f t="shared" ca="1" si="98"/>
        <v>6</v>
      </c>
      <c r="G122" s="443">
        <f t="shared" ca="1" si="98"/>
        <v>6</v>
      </c>
      <c r="H122" s="443">
        <f t="shared" ca="1" si="98"/>
        <v>4</v>
      </c>
      <c r="I122" s="443">
        <f t="shared" ca="1" si="98"/>
        <v>4</v>
      </c>
      <c r="J122" s="443">
        <f t="shared" ca="1" si="98"/>
        <v>0</v>
      </c>
      <c r="K122" s="443">
        <f t="shared" ca="1" si="98"/>
        <v>6</v>
      </c>
      <c r="L122" s="443">
        <f t="shared" ca="1" si="98"/>
        <v>4</v>
      </c>
      <c r="M122" s="443">
        <f t="shared" ca="1" si="98"/>
        <v>4</v>
      </c>
      <c r="N122" s="443">
        <f t="shared" ca="1" si="98"/>
        <v>4</v>
      </c>
      <c r="O122" s="443">
        <f t="shared" ca="1" si="98"/>
        <v>10</v>
      </c>
      <c r="Q122" s="50">
        <f t="shared" ca="1" si="96"/>
        <v>134</v>
      </c>
      <c r="S122" s="458"/>
      <c r="T122" s="458"/>
      <c r="U122" s="458"/>
      <c r="V122" s="458"/>
    </row>
    <row r="123" spans="1:22">
      <c r="A123" s="457" t="str">
        <f t="shared" si="94"/>
        <v>Pinda Rashi+</v>
      </c>
      <c r="B123" s="443" t="str">
        <f t="shared" si="97"/>
        <v>Venus</v>
      </c>
      <c r="C123" s="459">
        <f t="shared" ca="1" si="97"/>
        <v>3</v>
      </c>
      <c r="D123" s="443">
        <f t="shared" ref="D123:O123" ca="1" si="99">MOD(D18*$Q123,12)</f>
        <v>8</v>
      </c>
      <c r="E123" s="443">
        <f t="shared" ca="1" si="99"/>
        <v>0</v>
      </c>
      <c r="F123" s="443">
        <f t="shared" ca="1" si="99"/>
        <v>0</v>
      </c>
      <c r="G123" s="443">
        <f t="shared" ca="1" si="99"/>
        <v>8</v>
      </c>
      <c r="H123" s="443">
        <f t="shared" ca="1" si="99"/>
        <v>4</v>
      </c>
      <c r="I123" s="443">
        <f t="shared" ca="1" si="99"/>
        <v>8</v>
      </c>
      <c r="J123" s="443">
        <f t="shared" ca="1" si="99"/>
        <v>4</v>
      </c>
      <c r="K123" s="443">
        <f t="shared" ca="1" si="99"/>
        <v>0</v>
      </c>
      <c r="L123" s="443">
        <f t="shared" ca="1" si="99"/>
        <v>4</v>
      </c>
      <c r="M123" s="443">
        <f t="shared" ca="1" si="99"/>
        <v>0</v>
      </c>
      <c r="N123" s="443">
        <f t="shared" ca="1" si="99"/>
        <v>0</v>
      </c>
      <c r="O123" s="443">
        <f t="shared" ca="1" si="99"/>
        <v>8</v>
      </c>
      <c r="Q123" s="50">
        <f t="shared" ca="1" si="96"/>
        <v>116</v>
      </c>
      <c r="S123" s="458"/>
      <c r="T123" s="458"/>
      <c r="U123" s="458"/>
      <c r="V123" s="458"/>
    </row>
    <row r="124" spans="1:22">
      <c r="A124" s="457" t="str">
        <f t="shared" si="94"/>
        <v>Pinda Rashi+</v>
      </c>
      <c r="B124" s="443" t="str">
        <f t="shared" si="97"/>
        <v>Jupiter</v>
      </c>
      <c r="C124" s="459">
        <f t="shared" ca="1" si="97"/>
        <v>8</v>
      </c>
      <c r="D124" s="443">
        <f t="shared" ref="D124:O124" ca="1" si="100">MOD(D19*$Q124,12)</f>
        <v>6</v>
      </c>
      <c r="E124" s="443">
        <f t="shared" ca="1" si="100"/>
        <v>4</v>
      </c>
      <c r="F124" s="443">
        <f t="shared" ca="1" si="100"/>
        <v>9</v>
      </c>
      <c r="G124" s="443">
        <f t="shared" ca="1" si="100"/>
        <v>11</v>
      </c>
      <c r="H124" s="443">
        <f t="shared" ca="1" si="100"/>
        <v>11</v>
      </c>
      <c r="I124" s="443">
        <f t="shared" ca="1" si="100"/>
        <v>11</v>
      </c>
      <c r="J124" s="443">
        <f t="shared" ca="1" si="100"/>
        <v>11</v>
      </c>
      <c r="K124" s="443">
        <f t="shared" ca="1" si="100"/>
        <v>6</v>
      </c>
      <c r="L124" s="443">
        <f t="shared" ca="1" si="100"/>
        <v>9</v>
      </c>
      <c r="M124" s="443">
        <f t="shared" ca="1" si="100"/>
        <v>11</v>
      </c>
      <c r="N124" s="443">
        <f t="shared" ca="1" si="100"/>
        <v>11</v>
      </c>
      <c r="O124" s="443">
        <f t="shared" ca="1" si="100"/>
        <v>4</v>
      </c>
      <c r="Q124" s="50">
        <f t="shared" ca="1" si="96"/>
        <v>127</v>
      </c>
      <c r="S124" s="458"/>
      <c r="T124" s="458"/>
      <c r="U124" s="458"/>
      <c r="V124" s="458"/>
    </row>
    <row r="125" spans="1:22">
      <c r="A125" s="457" t="str">
        <f t="shared" si="94"/>
        <v>Pinda Rashi+</v>
      </c>
      <c r="B125" s="443" t="str">
        <f t="shared" si="97"/>
        <v>Mercury</v>
      </c>
      <c r="C125" s="459">
        <f t="shared" ca="1" si="97"/>
        <v>4</v>
      </c>
      <c r="D125" s="443">
        <f t="shared" ref="D125:O125" ca="1" si="101">MOD(D20*$Q125,12)</f>
        <v>4</v>
      </c>
      <c r="E125" s="443">
        <f t="shared" ca="1" si="101"/>
        <v>4</v>
      </c>
      <c r="F125" s="443">
        <f t="shared" ca="1" si="101"/>
        <v>1</v>
      </c>
      <c r="G125" s="443">
        <f t="shared" ca="1" si="101"/>
        <v>9</v>
      </c>
      <c r="H125" s="443">
        <f t="shared" ca="1" si="101"/>
        <v>11</v>
      </c>
      <c r="I125" s="443">
        <f t="shared" ca="1" si="101"/>
        <v>11</v>
      </c>
      <c r="J125" s="443">
        <f t="shared" ca="1" si="101"/>
        <v>4</v>
      </c>
      <c r="K125" s="443">
        <f t="shared" ca="1" si="101"/>
        <v>11</v>
      </c>
      <c r="L125" s="443">
        <f t="shared" ca="1" si="101"/>
        <v>4</v>
      </c>
      <c r="M125" s="443">
        <f t="shared" ca="1" si="101"/>
        <v>4</v>
      </c>
      <c r="N125" s="443">
        <f t="shared" ca="1" si="101"/>
        <v>4</v>
      </c>
      <c r="O125" s="443">
        <f t="shared" ca="1" si="101"/>
        <v>11</v>
      </c>
      <c r="Q125" s="50">
        <f t="shared" ca="1" si="96"/>
        <v>115</v>
      </c>
      <c r="S125" s="458"/>
      <c r="T125" s="458"/>
      <c r="U125" s="458"/>
      <c r="V125" s="458"/>
    </row>
    <row r="126" spans="1:22">
      <c r="A126" s="457" t="str">
        <f t="shared" si="94"/>
        <v>Pinda Rashi+</v>
      </c>
      <c r="B126" s="443" t="str">
        <f t="shared" si="97"/>
        <v>Mars</v>
      </c>
      <c r="C126" s="459">
        <f t="shared" ca="1" si="97"/>
        <v>10</v>
      </c>
      <c r="D126" s="443">
        <f t="shared" ref="D126:O126" ca="1" si="102">MOD(D21*$Q126,12)</f>
        <v>8</v>
      </c>
      <c r="E126" s="443">
        <f t="shared" ca="1" si="102"/>
        <v>7</v>
      </c>
      <c r="F126" s="443">
        <f t="shared" ca="1" si="102"/>
        <v>11</v>
      </c>
      <c r="G126" s="443">
        <f t="shared" ca="1" si="102"/>
        <v>10</v>
      </c>
      <c r="H126" s="443">
        <f t="shared" ca="1" si="102"/>
        <v>8</v>
      </c>
      <c r="I126" s="443">
        <f t="shared" ca="1" si="102"/>
        <v>9</v>
      </c>
      <c r="J126" s="443">
        <f t="shared" ca="1" si="102"/>
        <v>8</v>
      </c>
      <c r="K126" s="443">
        <f t="shared" ca="1" si="102"/>
        <v>7</v>
      </c>
      <c r="L126" s="443">
        <f t="shared" ca="1" si="102"/>
        <v>9</v>
      </c>
      <c r="M126" s="443">
        <f t="shared" ca="1" si="102"/>
        <v>8</v>
      </c>
      <c r="N126" s="443">
        <f t="shared" ca="1" si="102"/>
        <v>10</v>
      </c>
      <c r="O126" s="443">
        <f t="shared" ca="1" si="102"/>
        <v>10</v>
      </c>
      <c r="Q126" s="50">
        <f t="shared" ca="1" si="96"/>
        <v>131</v>
      </c>
      <c r="S126" s="458"/>
      <c r="T126" s="458"/>
      <c r="U126" s="458"/>
      <c r="V126" s="458"/>
    </row>
    <row r="127" spans="1:22">
      <c r="A127" s="457" t="str">
        <f t="shared" si="94"/>
        <v>Pinda Rashi+</v>
      </c>
      <c r="B127" s="443" t="str">
        <f t="shared" si="97"/>
        <v>Moon</v>
      </c>
      <c r="C127" s="459">
        <f t="shared" ca="1" si="97"/>
        <v>2</v>
      </c>
      <c r="D127" s="443">
        <f t="shared" ref="D127:O127" ca="1" si="103">MOD(D22*$Q127,12)</f>
        <v>6</v>
      </c>
      <c r="E127" s="443">
        <f t="shared" ca="1" si="103"/>
        <v>0</v>
      </c>
      <c r="F127" s="443">
        <f t="shared" ca="1" si="103"/>
        <v>6</v>
      </c>
      <c r="G127" s="443">
        <f t="shared" ca="1" si="103"/>
        <v>6</v>
      </c>
      <c r="H127" s="443">
        <f t="shared" ca="1" si="103"/>
        <v>4</v>
      </c>
      <c r="I127" s="443">
        <f t="shared" ca="1" si="103"/>
        <v>10</v>
      </c>
      <c r="J127" s="443">
        <f t="shared" ca="1" si="103"/>
        <v>0</v>
      </c>
      <c r="K127" s="443">
        <f t="shared" ca="1" si="103"/>
        <v>8</v>
      </c>
      <c r="L127" s="443">
        <f t="shared" ca="1" si="103"/>
        <v>6</v>
      </c>
      <c r="M127" s="443">
        <f t="shared" ca="1" si="103"/>
        <v>8</v>
      </c>
      <c r="N127" s="443">
        <f t="shared" ca="1" si="103"/>
        <v>0</v>
      </c>
      <c r="O127" s="443">
        <f t="shared" ca="1" si="103"/>
        <v>8</v>
      </c>
      <c r="Q127" s="50">
        <f t="shared" ca="1" si="96"/>
        <v>110</v>
      </c>
      <c r="S127" s="458"/>
      <c r="T127" s="458"/>
      <c r="U127" s="458"/>
      <c r="V127" s="458"/>
    </row>
    <row r="128" spans="1:22">
      <c r="A128" s="457" t="str">
        <f t="shared" si="94"/>
        <v>Pinda Rashi+</v>
      </c>
      <c r="B128" s="443" t="str">
        <f t="shared" si="97"/>
        <v>Sun</v>
      </c>
      <c r="C128" s="459">
        <f t="shared" ca="1" si="97"/>
        <v>4</v>
      </c>
      <c r="D128" s="443">
        <f t="shared" ref="D128:O128" ca="1" si="104">MOD(D23*$Q128,12)</f>
        <v>0</v>
      </c>
      <c r="E128" s="443">
        <f t="shared" ca="1" si="104"/>
        <v>0</v>
      </c>
      <c r="F128" s="443">
        <f t="shared" ca="1" si="104"/>
        <v>0</v>
      </c>
      <c r="G128" s="443">
        <f t="shared" ca="1" si="104"/>
        <v>0</v>
      </c>
      <c r="H128" s="443">
        <f t="shared" ca="1" si="104"/>
        <v>0</v>
      </c>
      <c r="I128" s="443">
        <f t="shared" ca="1" si="104"/>
        <v>0</v>
      </c>
      <c r="J128" s="443">
        <f t="shared" ca="1" si="104"/>
        <v>0</v>
      </c>
      <c r="K128" s="443">
        <f t="shared" ca="1" si="104"/>
        <v>0</v>
      </c>
      <c r="L128" s="443">
        <f t="shared" ca="1" si="104"/>
        <v>0</v>
      </c>
      <c r="M128" s="443">
        <f t="shared" ca="1" si="104"/>
        <v>0</v>
      </c>
      <c r="N128" s="443">
        <f t="shared" ca="1" si="104"/>
        <v>0</v>
      </c>
      <c r="O128" s="443">
        <f t="shared" ca="1" si="104"/>
        <v>0</v>
      </c>
      <c r="Q128" s="50">
        <f t="shared" ca="1" si="96"/>
        <v>60</v>
      </c>
      <c r="S128" s="458"/>
      <c r="T128" s="458"/>
      <c r="U128" s="458"/>
      <c r="V128" s="458"/>
    </row>
    <row r="129" spans="1:22">
      <c r="A129" s="457" t="str">
        <f t="shared" si="94"/>
        <v>Pinda Rashi+</v>
      </c>
      <c r="B129" s="443" t="str">
        <f t="shared" si="97"/>
        <v>Lagna</v>
      </c>
      <c r="C129" s="459">
        <f t="shared" ca="1" si="97"/>
        <v>5</v>
      </c>
      <c r="D129" s="443">
        <f t="shared" ref="D129:O129" ca="1" si="105">MOD(D24*$Q129,12)</f>
        <v>4</v>
      </c>
      <c r="E129" s="443">
        <f t="shared" ca="1" si="105"/>
        <v>8</v>
      </c>
      <c r="F129" s="443">
        <f t="shared" ca="1" si="105"/>
        <v>4</v>
      </c>
      <c r="G129" s="443">
        <f t="shared" ca="1" si="105"/>
        <v>8</v>
      </c>
      <c r="H129" s="443">
        <f t="shared" ca="1" si="105"/>
        <v>4</v>
      </c>
      <c r="I129" s="443">
        <f t="shared" ca="1" si="105"/>
        <v>0</v>
      </c>
      <c r="J129" s="443">
        <f t="shared" ca="1" si="105"/>
        <v>4</v>
      </c>
      <c r="K129" s="443">
        <f t="shared" ca="1" si="105"/>
        <v>8</v>
      </c>
      <c r="L129" s="443">
        <f t="shared" ca="1" si="105"/>
        <v>0</v>
      </c>
      <c r="M129" s="443">
        <f t="shared" ca="1" si="105"/>
        <v>0</v>
      </c>
      <c r="N129" s="443">
        <f t="shared" ca="1" si="105"/>
        <v>8</v>
      </c>
      <c r="O129" s="443">
        <f t="shared" ca="1" si="105"/>
        <v>4</v>
      </c>
      <c r="Q129" s="50">
        <f t="shared" ca="1" si="96"/>
        <v>148</v>
      </c>
      <c r="S129" s="458"/>
      <c r="T129" s="458"/>
      <c r="U129" s="458"/>
      <c r="V129" s="458"/>
    </row>
    <row r="130" spans="1:22" ht="17.25">
      <c r="A130" s="457" t="str">
        <f>B130</f>
        <v>Pinda Nakshatra-</v>
      </c>
      <c r="B130" s="1345" t="s">
        <v>773</v>
      </c>
      <c r="C130" s="1345"/>
      <c r="D130" s="1345"/>
      <c r="E130" s="1345"/>
      <c r="F130" s="1345"/>
      <c r="G130" s="1345"/>
      <c r="H130" s="1345"/>
      <c r="I130" s="1345"/>
      <c r="J130" s="1345"/>
      <c r="K130" s="1345"/>
      <c r="L130" s="1345"/>
      <c r="M130" s="1345"/>
      <c r="N130" s="1345"/>
      <c r="O130" s="1345"/>
      <c r="S130" s="458"/>
      <c r="T130" s="458"/>
      <c r="U130" s="458"/>
      <c r="V130" s="458"/>
    </row>
    <row r="131" spans="1:22">
      <c r="A131" s="457" t="str">
        <f t="shared" ref="A131:A149" si="106">A130</f>
        <v>Pinda Nakshatra-</v>
      </c>
      <c r="B131" s="478" t="s">
        <v>774</v>
      </c>
      <c r="C131" s="479" t="str">
        <f t="shared" ref="C131:O131" si="107">C16</f>
        <v>Sign#</v>
      </c>
      <c r="D131" s="480">
        <f t="shared" si="107"/>
        <v>1</v>
      </c>
      <c r="E131" s="480">
        <f t="shared" si="107"/>
        <v>2</v>
      </c>
      <c r="F131" s="480">
        <f t="shared" si="107"/>
        <v>3</v>
      </c>
      <c r="G131" s="480">
        <f t="shared" si="107"/>
        <v>4</v>
      </c>
      <c r="H131" s="480">
        <f t="shared" si="107"/>
        <v>5</v>
      </c>
      <c r="I131" s="480">
        <f t="shared" si="107"/>
        <v>6</v>
      </c>
      <c r="J131" s="480">
        <f t="shared" si="107"/>
        <v>7</v>
      </c>
      <c r="K131" s="480">
        <f t="shared" si="107"/>
        <v>8</v>
      </c>
      <c r="L131" s="480">
        <f t="shared" si="107"/>
        <v>9</v>
      </c>
      <c r="M131" s="480">
        <f t="shared" si="107"/>
        <v>10</v>
      </c>
      <c r="N131" s="480">
        <f t="shared" si="107"/>
        <v>11</v>
      </c>
      <c r="O131" s="481">
        <f t="shared" si="107"/>
        <v>12</v>
      </c>
      <c r="Q131" s="50" t="str">
        <f t="shared" ref="Q131:Q139" si="108">Q121</f>
        <v>YP</v>
      </c>
      <c r="S131" s="458"/>
      <c r="T131" s="458"/>
      <c r="U131" s="458"/>
      <c r="V131" s="458"/>
    </row>
    <row r="132" spans="1:22">
      <c r="A132" s="457" t="str">
        <f t="shared" si="106"/>
        <v>Pinda Nakshatra-</v>
      </c>
      <c r="B132" s="482" t="str">
        <f t="shared" ref="B132:C139" si="109">B17</f>
        <v>Saturn</v>
      </c>
      <c r="C132" s="479">
        <f t="shared" ca="1" si="109"/>
        <v>2</v>
      </c>
      <c r="D132" s="443">
        <f t="shared" ref="D132:O132" ca="1" si="110">MOD((8-D17)*$Q132,27)</f>
        <v>23</v>
      </c>
      <c r="E132" s="443">
        <f t="shared" ca="1" si="110"/>
        <v>24</v>
      </c>
      <c r="F132" s="443">
        <f t="shared" ca="1" si="110"/>
        <v>22</v>
      </c>
      <c r="G132" s="443">
        <f t="shared" ca="1" si="110"/>
        <v>22</v>
      </c>
      <c r="H132" s="443">
        <f t="shared" ca="1" si="110"/>
        <v>21</v>
      </c>
      <c r="I132" s="443">
        <f t="shared" ca="1" si="110"/>
        <v>21</v>
      </c>
      <c r="J132" s="443">
        <f t="shared" ca="1" si="110"/>
        <v>25</v>
      </c>
      <c r="K132" s="443">
        <f t="shared" ca="1" si="110"/>
        <v>22</v>
      </c>
      <c r="L132" s="443">
        <f t="shared" ca="1" si="110"/>
        <v>21</v>
      </c>
      <c r="M132" s="443">
        <f t="shared" ca="1" si="110"/>
        <v>21</v>
      </c>
      <c r="N132" s="443">
        <f t="shared" ca="1" si="110"/>
        <v>21</v>
      </c>
      <c r="O132" s="483">
        <f t="shared" ca="1" si="110"/>
        <v>24</v>
      </c>
      <c r="Q132" s="50">
        <f t="shared" ca="1" si="108"/>
        <v>134</v>
      </c>
      <c r="S132" s="458"/>
      <c r="T132" s="458"/>
      <c r="U132" s="458"/>
      <c r="V132" s="458"/>
    </row>
    <row r="133" spans="1:22">
      <c r="A133" s="457" t="str">
        <f t="shared" si="106"/>
        <v>Pinda Nakshatra-</v>
      </c>
      <c r="B133" s="482" t="str">
        <f t="shared" si="109"/>
        <v>Venus</v>
      </c>
      <c r="C133" s="479">
        <f t="shared" ca="1" si="109"/>
        <v>3</v>
      </c>
      <c r="D133" s="443">
        <f t="shared" ref="D133:O133" ca="1" si="111">MOD((8-D18)*$Q133,27)</f>
        <v>5</v>
      </c>
      <c r="E133" s="443">
        <f t="shared" ca="1" si="111"/>
        <v>13</v>
      </c>
      <c r="F133" s="443">
        <f t="shared" ca="1" si="111"/>
        <v>16</v>
      </c>
      <c r="G133" s="443">
        <f t="shared" ca="1" si="111"/>
        <v>5</v>
      </c>
      <c r="H133" s="443">
        <f t="shared" ca="1" si="111"/>
        <v>24</v>
      </c>
      <c r="I133" s="443">
        <f t="shared" ca="1" si="111"/>
        <v>8</v>
      </c>
      <c r="J133" s="443">
        <f t="shared" ca="1" si="111"/>
        <v>21</v>
      </c>
      <c r="K133" s="443">
        <f t="shared" ca="1" si="111"/>
        <v>13</v>
      </c>
      <c r="L133" s="443">
        <f t="shared" ca="1" si="111"/>
        <v>24</v>
      </c>
      <c r="M133" s="443">
        <f t="shared" ca="1" si="111"/>
        <v>13</v>
      </c>
      <c r="N133" s="443">
        <f t="shared" ca="1" si="111"/>
        <v>13</v>
      </c>
      <c r="O133" s="483">
        <f t="shared" ca="1" si="111"/>
        <v>8</v>
      </c>
      <c r="Q133" s="50">
        <f t="shared" ca="1" si="108"/>
        <v>116</v>
      </c>
      <c r="S133" s="458"/>
      <c r="T133" s="458"/>
      <c r="U133" s="458"/>
      <c r="V133" s="458"/>
    </row>
    <row r="134" spans="1:22">
      <c r="A134" s="457" t="str">
        <f t="shared" si="106"/>
        <v>Pinda Nakshatra-</v>
      </c>
      <c r="B134" s="482" t="str">
        <f t="shared" si="109"/>
        <v>Jupiter</v>
      </c>
      <c r="C134" s="479">
        <f t="shared" ca="1" si="109"/>
        <v>8</v>
      </c>
      <c r="D134" s="443">
        <f t="shared" ref="D134:O134" ca="1" si="112">MOD((8-D19)*$Q134,27)</f>
        <v>11</v>
      </c>
      <c r="E134" s="443">
        <f t="shared" ca="1" si="112"/>
        <v>22</v>
      </c>
      <c r="F134" s="443">
        <f t="shared" ca="1" si="112"/>
        <v>14</v>
      </c>
      <c r="G134" s="443">
        <f t="shared" ca="1" si="112"/>
        <v>3</v>
      </c>
      <c r="H134" s="443">
        <f t="shared" ca="1" si="112"/>
        <v>3</v>
      </c>
      <c r="I134" s="443">
        <f t="shared" ca="1" si="112"/>
        <v>3</v>
      </c>
      <c r="J134" s="443">
        <f t="shared" ca="1" si="112"/>
        <v>3</v>
      </c>
      <c r="K134" s="443">
        <f t="shared" ca="1" si="112"/>
        <v>11</v>
      </c>
      <c r="L134" s="443">
        <f t="shared" ca="1" si="112"/>
        <v>14</v>
      </c>
      <c r="M134" s="443">
        <f t="shared" ca="1" si="112"/>
        <v>3</v>
      </c>
      <c r="N134" s="443">
        <f t="shared" ca="1" si="112"/>
        <v>3</v>
      </c>
      <c r="O134" s="483">
        <f t="shared" ca="1" si="112"/>
        <v>22</v>
      </c>
      <c r="Q134" s="50">
        <f t="shared" ca="1" si="108"/>
        <v>127</v>
      </c>
      <c r="S134" s="458"/>
      <c r="T134" s="458"/>
      <c r="U134" s="458"/>
      <c r="V134" s="458"/>
    </row>
    <row r="135" spans="1:22">
      <c r="A135" s="457" t="str">
        <f t="shared" si="106"/>
        <v>Pinda Nakshatra-</v>
      </c>
      <c r="B135" s="482" t="str">
        <f t="shared" si="109"/>
        <v>Mercury</v>
      </c>
      <c r="C135" s="479">
        <f t="shared" ca="1" si="109"/>
        <v>4</v>
      </c>
      <c r="D135" s="443">
        <f t="shared" ref="D135:O135" ca="1" si="113">MOD((8-D20)*$Q135,27)</f>
        <v>1</v>
      </c>
      <c r="E135" s="443">
        <f t="shared" ca="1" si="113"/>
        <v>1</v>
      </c>
      <c r="F135" s="443">
        <f t="shared" ca="1" si="113"/>
        <v>7</v>
      </c>
      <c r="G135" s="443">
        <f t="shared" ca="1" si="113"/>
        <v>8</v>
      </c>
      <c r="H135" s="443">
        <f t="shared" ca="1" si="113"/>
        <v>21</v>
      </c>
      <c r="I135" s="443">
        <f t="shared" ca="1" si="113"/>
        <v>21</v>
      </c>
      <c r="J135" s="443">
        <f t="shared" ca="1" si="113"/>
        <v>1</v>
      </c>
      <c r="K135" s="443">
        <f t="shared" ca="1" si="113"/>
        <v>21</v>
      </c>
      <c r="L135" s="443">
        <f t="shared" ca="1" si="113"/>
        <v>1</v>
      </c>
      <c r="M135" s="443">
        <f t="shared" ca="1" si="113"/>
        <v>1</v>
      </c>
      <c r="N135" s="443">
        <f t="shared" ca="1" si="113"/>
        <v>1</v>
      </c>
      <c r="O135" s="483">
        <f t="shared" ca="1" si="113"/>
        <v>21</v>
      </c>
      <c r="Q135" s="50">
        <f t="shared" ca="1" si="108"/>
        <v>115</v>
      </c>
      <c r="S135" s="458"/>
      <c r="T135" s="458"/>
      <c r="U135" s="458"/>
      <c r="V135" s="458"/>
    </row>
    <row r="136" spans="1:22">
      <c r="A136" s="457" t="str">
        <f t="shared" si="106"/>
        <v>Pinda Nakshatra-</v>
      </c>
      <c r="B136" s="482" t="str">
        <f t="shared" si="109"/>
        <v>Mars</v>
      </c>
      <c r="C136" s="479">
        <f t="shared" ca="1" si="109"/>
        <v>10</v>
      </c>
      <c r="D136" s="443">
        <f t="shared" ref="D136:O136" ca="1" si="114">MOD((8-D21)*$Q136,27)</f>
        <v>11</v>
      </c>
      <c r="E136" s="443">
        <f t="shared" ca="1" si="114"/>
        <v>15</v>
      </c>
      <c r="F136" s="443">
        <f t="shared" ca="1" si="114"/>
        <v>26</v>
      </c>
      <c r="G136" s="443">
        <f t="shared" ca="1" si="114"/>
        <v>3</v>
      </c>
      <c r="H136" s="443">
        <f t="shared" ca="1" si="114"/>
        <v>11</v>
      </c>
      <c r="I136" s="443">
        <f t="shared" ca="1" si="114"/>
        <v>7</v>
      </c>
      <c r="J136" s="443">
        <f t="shared" ca="1" si="114"/>
        <v>11</v>
      </c>
      <c r="K136" s="443">
        <f t="shared" ca="1" si="114"/>
        <v>15</v>
      </c>
      <c r="L136" s="443">
        <f t="shared" ca="1" si="114"/>
        <v>7</v>
      </c>
      <c r="M136" s="443">
        <f t="shared" ca="1" si="114"/>
        <v>11</v>
      </c>
      <c r="N136" s="443">
        <f t="shared" ca="1" si="114"/>
        <v>3</v>
      </c>
      <c r="O136" s="483">
        <f t="shared" ca="1" si="114"/>
        <v>3</v>
      </c>
      <c r="Q136" s="50">
        <f t="shared" ca="1" si="108"/>
        <v>131</v>
      </c>
      <c r="S136" s="458"/>
      <c r="T136" s="458"/>
      <c r="U136" s="458"/>
      <c r="V136" s="458"/>
    </row>
    <row r="137" spans="1:22">
      <c r="A137" s="457" t="str">
        <f t="shared" si="106"/>
        <v>Pinda Nakshatra-</v>
      </c>
      <c r="B137" s="482" t="str">
        <f t="shared" si="109"/>
        <v>Moon</v>
      </c>
      <c r="C137" s="479">
        <f t="shared" ca="1" si="109"/>
        <v>2</v>
      </c>
      <c r="D137" s="443">
        <f t="shared" ref="D137:O137" ca="1" si="115">MOD((8-D22)*$Q137,27)</f>
        <v>10</v>
      </c>
      <c r="E137" s="443">
        <f t="shared" ca="1" si="115"/>
        <v>4</v>
      </c>
      <c r="F137" s="443">
        <f t="shared" ca="1" si="115"/>
        <v>10</v>
      </c>
      <c r="G137" s="443">
        <f t="shared" ca="1" si="115"/>
        <v>10</v>
      </c>
      <c r="H137" s="443">
        <f t="shared" ca="1" si="115"/>
        <v>12</v>
      </c>
      <c r="I137" s="443">
        <f t="shared" ca="1" si="115"/>
        <v>6</v>
      </c>
      <c r="J137" s="443">
        <f t="shared" ca="1" si="115"/>
        <v>4</v>
      </c>
      <c r="K137" s="443">
        <f t="shared" ca="1" si="115"/>
        <v>8</v>
      </c>
      <c r="L137" s="443">
        <f t="shared" ca="1" si="115"/>
        <v>10</v>
      </c>
      <c r="M137" s="443">
        <f t="shared" ca="1" si="115"/>
        <v>8</v>
      </c>
      <c r="N137" s="443">
        <f t="shared" ca="1" si="115"/>
        <v>4</v>
      </c>
      <c r="O137" s="483">
        <f t="shared" ca="1" si="115"/>
        <v>8</v>
      </c>
      <c r="Q137" s="50">
        <f t="shared" ca="1" si="108"/>
        <v>110</v>
      </c>
      <c r="S137" s="458"/>
      <c r="T137" s="458"/>
      <c r="U137" s="458"/>
      <c r="V137" s="458"/>
    </row>
    <row r="138" spans="1:22">
      <c r="A138" s="457" t="str">
        <f t="shared" si="106"/>
        <v>Pinda Nakshatra-</v>
      </c>
      <c r="B138" s="482" t="str">
        <f t="shared" si="109"/>
        <v>Sun</v>
      </c>
      <c r="C138" s="479">
        <f t="shared" ca="1" si="109"/>
        <v>4</v>
      </c>
      <c r="D138" s="443">
        <f t="shared" ref="D138:O138" ca="1" si="116">MOD((8-D23)*$Q138,27)</f>
        <v>24</v>
      </c>
      <c r="E138" s="443">
        <f t="shared" ca="1" si="116"/>
        <v>18</v>
      </c>
      <c r="F138" s="443">
        <f t="shared" ca="1" si="116"/>
        <v>3</v>
      </c>
      <c r="G138" s="443">
        <f t="shared" ca="1" si="116"/>
        <v>18</v>
      </c>
      <c r="H138" s="443">
        <f t="shared" ca="1" si="116"/>
        <v>3</v>
      </c>
      <c r="I138" s="443">
        <f t="shared" ca="1" si="116"/>
        <v>3</v>
      </c>
      <c r="J138" s="443">
        <f t="shared" ca="1" si="116"/>
        <v>24</v>
      </c>
      <c r="K138" s="443">
        <f t="shared" ca="1" si="116"/>
        <v>18</v>
      </c>
      <c r="L138" s="443">
        <f t="shared" ca="1" si="116"/>
        <v>3</v>
      </c>
      <c r="M138" s="443">
        <f t="shared" ca="1" si="116"/>
        <v>24</v>
      </c>
      <c r="N138" s="443">
        <f t="shared" ca="1" si="116"/>
        <v>24</v>
      </c>
      <c r="O138" s="483">
        <f t="shared" ca="1" si="116"/>
        <v>18</v>
      </c>
      <c r="Q138" s="50">
        <f t="shared" ca="1" si="108"/>
        <v>60</v>
      </c>
      <c r="S138" s="458"/>
      <c r="T138" s="458"/>
      <c r="U138" s="458"/>
      <c r="V138" s="458"/>
    </row>
    <row r="139" spans="1:22">
      <c r="A139" s="457" t="str">
        <f t="shared" si="106"/>
        <v>Pinda Nakshatra-</v>
      </c>
      <c r="B139" s="484" t="str">
        <f t="shared" si="109"/>
        <v>Lagna</v>
      </c>
      <c r="C139" s="485">
        <f t="shared" ca="1" si="109"/>
        <v>5</v>
      </c>
      <c r="D139" s="486">
        <f t="shared" ref="D139:O139" ca="1" si="117">MOD((8-D24)*$Q139,27)</f>
        <v>25</v>
      </c>
      <c r="E139" s="486">
        <f t="shared" ca="1" si="117"/>
        <v>12</v>
      </c>
      <c r="F139" s="486">
        <f t="shared" ca="1" si="117"/>
        <v>25</v>
      </c>
      <c r="G139" s="486">
        <f t="shared" ca="1" si="117"/>
        <v>12</v>
      </c>
      <c r="H139" s="486">
        <f t="shared" ca="1" si="117"/>
        <v>25</v>
      </c>
      <c r="I139" s="486">
        <f t="shared" ca="1" si="117"/>
        <v>11</v>
      </c>
      <c r="J139" s="486">
        <f t="shared" ca="1" si="117"/>
        <v>13</v>
      </c>
      <c r="K139" s="486">
        <f t="shared" ca="1" si="117"/>
        <v>24</v>
      </c>
      <c r="L139" s="486">
        <f t="shared" ca="1" si="117"/>
        <v>11</v>
      </c>
      <c r="M139" s="486">
        <f t="shared" ca="1" si="117"/>
        <v>11</v>
      </c>
      <c r="N139" s="486">
        <f t="shared" ca="1" si="117"/>
        <v>12</v>
      </c>
      <c r="O139" s="393">
        <f t="shared" ca="1" si="117"/>
        <v>25</v>
      </c>
      <c r="Q139" s="50">
        <f t="shared" ca="1" si="108"/>
        <v>148</v>
      </c>
      <c r="S139" s="458"/>
      <c r="T139" s="458"/>
      <c r="U139" s="458"/>
      <c r="V139" s="458"/>
    </row>
    <row r="140" spans="1:22">
      <c r="A140" s="457" t="str">
        <f t="shared" si="106"/>
        <v>Pinda Nakshatra-</v>
      </c>
      <c r="S140" s="458"/>
      <c r="T140" s="458"/>
      <c r="U140" s="458"/>
      <c r="V140" s="458"/>
    </row>
    <row r="141" spans="1:22">
      <c r="A141" s="457" t="str">
        <f t="shared" si="106"/>
        <v>Pinda Nakshatra-</v>
      </c>
      <c r="B141" s="457"/>
      <c r="C141" s="194"/>
      <c r="S141" s="458"/>
      <c r="T141" s="458"/>
      <c r="U141" s="458"/>
      <c r="V141" s="458"/>
    </row>
    <row r="142" spans="1:22">
      <c r="A142" s="457" t="str">
        <f t="shared" si="106"/>
        <v>Pinda Nakshatra-</v>
      </c>
      <c r="C142" s="194"/>
      <c r="S142" s="458"/>
      <c r="T142" s="458"/>
      <c r="U142" s="458"/>
      <c r="V142" s="458"/>
    </row>
    <row r="143" spans="1:22">
      <c r="A143" s="457" t="str">
        <f t="shared" si="106"/>
        <v>Pinda Nakshatra-</v>
      </c>
      <c r="C143" s="194"/>
      <c r="S143" s="458"/>
      <c r="T143" s="458"/>
      <c r="U143" s="458"/>
      <c r="V143" s="458"/>
    </row>
    <row r="144" spans="1:22">
      <c r="A144" s="457" t="str">
        <f t="shared" si="106"/>
        <v>Pinda Nakshatra-</v>
      </c>
      <c r="C144" s="194"/>
      <c r="S144" s="458"/>
      <c r="T144" s="458"/>
      <c r="U144" s="458"/>
      <c r="V144" s="458"/>
    </row>
    <row r="145" spans="1:51">
      <c r="A145" s="457" t="str">
        <f t="shared" si="106"/>
        <v>Pinda Nakshatra-</v>
      </c>
      <c r="C145" s="194"/>
      <c r="S145" s="458"/>
      <c r="T145" s="458"/>
      <c r="U145" s="458"/>
      <c r="V145" s="458"/>
    </row>
    <row r="146" spans="1:51">
      <c r="A146" s="457" t="str">
        <f t="shared" si="106"/>
        <v>Pinda Nakshatra-</v>
      </c>
      <c r="C146" s="194"/>
      <c r="S146" s="458"/>
      <c r="T146" s="458"/>
      <c r="U146" s="458"/>
      <c r="V146" s="458"/>
    </row>
    <row r="147" spans="1:51">
      <c r="A147" s="457" t="str">
        <f t="shared" si="106"/>
        <v>Pinda Nakshatra-</v>
      </c>
      <c r="C147" s="194"/>
      <c r="S147" s="458"/>
      <c r="T147" s="458"/>
      <c r="U147" s="458"/>
      <c r="V147" s="458"/>
    </row>
    <row r="148" spans="1:51">
      <c r="A148" s="457" t="str">
        <f t="shared" si="106"/>
        <v>Pinda Nakshatra-</v>
      </c>
      <c r="C148" s="194"/>
      <c r="S148" s="458"/>
      <c r="T148" s="458"/>
      <c r="U148" s="458"/>
      <c r="V148" s="458"/>
    </row>
    <row r="149" spans="1:51">
      <c r="A149" s="457" t="str">
        <f t="shared" si="106"/>
        <v>Pinda Nakshatra-</v>
      </c>
      <c r="C149" s="194"/>
      <c r="S149" s="458"/>
      <c r="T149" s="458"/>
      <c r="U149" s="458"/>
      <c r="V149" s="458"/>
    </row>
    <row r="150" spans="1:51">
      <c r="A150" s="457" t="s">
        <v>775</v>
      </c>
      <c r="B150" s="443" t="s">
        <v>776</v>
      </c>
      <c r="Y150" s="443" t="s">
        <v>777</v>
      </c>
    </row>
    <row r="151" spans="1:51" ht="13.5" customHeight="1">
      <c r="A151" s="457" t="str">
        <f>B151</f>
        <v>Saturn</v>
      </c>
      <c r="B151" s="1346" t="str">
        <f>X151</f>
        <v>Saturn</v>
      </c>
      <c r="C151" s="1346"/>
      <c r="D151" s="443">
        <f ca="1">INDIRECT(B151&amp;"house")</f>
        <v>2</v>
      </c>
      <c r="S151" s="458"/>
      <c r="T151" s="458"/>
      <c r="U151" s="458"/>
      <c r="V151" s="458"/>
      <c r="X151" s="181" t="s">
        <v>164</v>
      </c>
      <c r="Y151" s="443" t="str">
        <f>MIN(Y153:Y160)&amp;"-"&amp;MAX(Y153:Y160)</f>
        <v>3-7</v>
      </c>
      <c r="Z151" s="443" t="str">
        <f>$Z$83 &amp;  X151</f>
        <v>From Graha Good and Bad Transit of Saturn</v>
      </c>
      <c r="AL151" s="443"/>
      <c r="AW151" s="443"/>
      <c r="AX151" s="443" t="s">
        <v>777</v>
      </c>
    </row>
    <row r="152" spans="1:51">
      <c r="A152" s="457" t="str">
        <f>A151&amp;"-"&amp;B152</f>
        <v>Saturn-</v>
      </c>
      <c r="B152" s="487"/>
      <c r="C152" s="488" t="s">
        <v>746</v>
      </c>
      <c r="D152" s="489">
        <v>1</v>
      </c>
      <c r="E152" s="489">
        <v>2</v>
      </c>
      <c r="F152" s="489">
        <v>3</v>
      </c>
      <c r="G152" s="489">
        <v>4</v>
      </c>
      <c r="H152" s="489">
        <v>5</v>
      </c>
      <c r="I152" s="489">
        <v>6</v>
      </c>
      <c r="J152" s="489">
        <v>7</v>
      </c>
      <c r="K152" s="489">
        <v>8</v>
      </c>
      <c r="L152" s="489">
        <v>9</v>
      </c>
      <c r="M152" s="489">
        <v>10</v>
      </c>
      <c r="N152" s="489">
        <v>11</v>
      </c>
      <c r="O152" s="489">
        <v>12</v>
      </c>
      <c r="P152" s="490"/>
      <c r="Q152" s="490"/>
      <c r="S152" s="1341">
        <f ca="1">O161</f>
        <v>5</v>
      </c>
      <c r="T152" s="1341">
        <f ca="1">D161</f>
        <v>4</v>
      </c>
      <c r="U152" s="1341">
        <f ca="1">E161</f>
        <v>5</v>
      </c>
      <c r="V152" s="1341">
        <f ca="1">F161</f>
        <v>3</v>
      </c>
      <c r="X152" s="488" t="s">
        <v>778</v>
      </c>
      <c r="Y152" s="491" t="s">
        <v>779</v>
      </c>
      <c r="Z152" s="492">
        <v>1</v>
      </c>
      <c r="AA152" s="492">
        <v>2</v>
      </c>
      <c r="AB152" s="492">
        <v>3</v>
      </c>
      <c r="AC152" s="492">
        <v>4</v>
      </c>
      <c r="AD152" s="492">
        <v>5</v>
      </c>
      <c r="AE152" s="492">
        <v>6</v>
      </c>
      <c r="AF152" s="492">
        <v>7</v>
      </c>
      <c r="AG152" s="492">
        <v>8</v>
      </c>
      <c r="AH152" s="492">
        <v>9</v>
      </c>
      <c r="AI152" s="492">
        <v>10</v>
      </c>
      <c r="AJ152" s="492">
        <v>11</v>
      </c>
      <c r="AK152" s="492">
        <v>12</v>
      </c>
      <c r="AL152" s="493">
        <v>1</v>
      </c>
      <c r="AM152" s="489">
        <v>2</v>
      </c>
      <c r="AN152" s="489">
        <v>3</v>
      </c>
      <c r="AO152" s="489">
        <v>4</v>
      </c>
      <c r="AP152" s="489">
        <v>5</v>
      </c>
      <c r="AQ152" s="489">
        <v>6</v>
      </c>
      <c r="AR152" s="489">
        <v>7</v>
      </c>
      <c r="AS152" s="489">
        <v>8</v>
      </c>
      <c r="AT152" s="489">
        <v>9</v>
      </c>
      <c r="AU152" s="489">
        <v>10</v>
      </c>
      <c r="AV152" s="489">
        <v>11</v>
      </c>
      <c r="AW152" s="494">
        <v>12</v>
      </c>
    </row>
    <row r="153" spans="1:51">
      <c r="A153" s="457" t="str">
        <f>A151&amp;"-"&amp;B153</f>
        <v>Saturn-Saturn</v>
      </c>
      <c r="B153" s="495" t="s">
        <v>164</v>
      </c>
      <c r="C153" s="496">
        <f ca="1">SaturnHouse</f>
        <v>2</v>
      </c>
      <c r="D153" s="497" t="str">
        <f t="shared" ref="D153:O160" ca="1" si="118">INDEX($Z153:$AW153,,12+D$152-$Q153+1)</f>
        <v>*</v>
      </c>
      <c r="E153" s="497" t="str">
        <f t="shared" ca="1" si="118"/>
        <v>*</v>
      </c>
      <c r="F153" s="497" t="str">
        <f t="shared" ca="1" si="118"/>
        <v>*</v>
      </c>
      <c r="G153" s="497">
        <f t="shared" ca="1" si="118"/>
        <v>1</v>
      </c>
      <c r="H153" s="497" t="str">
        <f t="shared" ca="1" si="118"/>
        <v>*</v>
      </c>
      <c r="I153" s="497">
        <f t="shared" ca="1" si="118"/>
        <v>1</v>
      </c>
      <c r="J153" s="497">
        <f t="shared" ca="1" si="118"/>
        <v>1</v>
      </c>
      <c r="K153" s="497" t="str">
        <f t="shared" ca="1" si="118"/>
        <v>*</v>
      </c>
      <c r="L153" s="497" t="str">
        <f t="shared" ca="1" si="118"/>
        <v>*</v>
      </c>
      <c r="M153" s="497" t="str">
        <f t="shared" ca="1" si="118"/>
        <v>*</v>
      </c>
      <c r="N153" s="497" t="str">
        <f t="shared" ca="1" si="118"/>
        <v>*</v>
      </c>
      <c r="O153" s="497">
        <f t="shared" ca="1" si="118"/>
        <v>1</v>
      </c>
      <c r="P153" s="498">
        <f t="shared" ref="P153:P161" ca="1" si="119">SUM(D153:O153)</f>
        <v>4</v>
      </c>
      <c r="Q153" s="496">
        <f ca="1">IF($Y$82,D151,C153)</f>
        <v>2</v>
      </c>
      <c r="S153" s="1341"/>
      <c r="T153" s="1341"/>
      <c r="U153" s="1341"/>
      <c r="V153" s="1341"/>
      <c r="X153" s="495" t="s">
        <v>164</v>
      </c>
      <c r="Y153" s="499">
        <f t="shared" ref="Y153:Y161" si="120">SUM(Z153:AK153)</f>
        <v>4</v>
      </c>
      <c r="Z153" s="497" t="s">
        <v>181</v>
      </c>
      <c r="AA153" s="497" t="s">
        <v>181</v>
      </c>
      <c r="AB153" s="497">
        <v>1</v>
      </c>
      <c r="AC153" s="497" t="s">
        <v>181</v>
      </c>
      <c r="AD153" s="497">
        <v>1</v>
      </c>
      <c r="AE153" s="497">
        <v>1</v>
      </c>
      <c r="AF153" s="497" t="s">
        <v>181</v>
      </c>
      <c r="AG153" s="497" t="s">
        <v>181</v>
      </c>
      <c r="AH153" s="497" t="s">
        <v>181</v>
      </c>
      <c r="AI153" s="497" t="s">
        <v>181</v>
      </c>
      <c r="AJ153" s="497">
        <v>1</v>
      </c>
      <c r="AK153" s="497" t="s">
        <v>181</v>
      </c>
      <c r="AL153" s="500" t="str">
        <f t="shared" ref="AL153:AW160" si="121">Z153</f>
        <v>*</v>
      </c>
      <c r="AM153" s="497" t="str">
        <f t="shared" si="121"/>
        <v>*</v>
      </c>
      <c r="AN153" s="497">
        <f t="shared" si="121"/>
        <v>1</v>
      </c>
      <c r="AO153" s="497" t="str">
        <f t="shared" si="121"/>
        <v>*</v>
      </c>
      <c r="AP153" s="497">
        <f t="shared" si="121"/>
        <v>1</v>
      </c>
      <c r="AQ153" s="497">
        <f t="shared" si="121"/>
        <v>1</v>
      </c>
      <c r="AR153" s="497" t="str">
        <f t="shared" si="121"/>
        <v>*</v>
      </c>
      <c r="AS153" s="497" t="str">
        <f t="shared" si="121"/>
        <v>*</v>
      </c>
      <c r="AT153" s="497" t="str">
        <f t="shared" si="121"/>
        <v>*</v>
      </c>
      <c r="AU153" s="497" t="str">
        <f t="shared" si="121"/>
        <v>*</v>
      </c>
      <c r="AV153" s="497">
        <f t="shared" si="121"/>
        <v>1</v>
      </c>
      <c r="AW153" s="501" t="str">
        <f t="shared" si="121"/>
        <v>*</v>
      </c>
      <c r="AX153" s="443" t="str">
        <f>MIN($Y$153,$Y$167,$Y$181,$Y$195,$Y$209,$Y$223,$Y$237,$Y$251)&amp;"-"&amp;MAX($Y$153,$Y$167,$Y$181,$Y$195,$Y$209,$Y$223,$Y$237,$Y$251)</f>
        <v>4-8</v>
      </c>
      <c r="AY153" s="443" t="s">
        <v>780</v>
      </c>
    </row>
    <row r="154" spans="1:51">
      <c r="A154" s="457" t="str">
        <f>A151&amp;"-"&amp;B154</f>
        <v>Saturn-Jupiter</v>
      </c>
      <c r="B154" s="495" t="s">
        <v>162</v>
      </c>
      <c r="C154" s="496">
        <f ca="1">JupiterHouse</f>
        <v>8</v>
      </c>
      <c r="D154" s="497">
        <f t="shared" ca="1" si="118"/>
        <v>1</v>
      </c>
      <c r="E154" s="497" t="str">
        <f t="shared" ca="1" si="118"/>
        <v>*</v>
      </c>
      <c r="F154" s="497" t="str">
        <f t="shared" ca="1" si="118"/>
        <v>*</v>
      </c>
      <c r="G154" s="497" t="str">
        <f t="shared" ca="1" si="118"/>
        <v>*</v>
      </c>
      <c r="H154" s="497" t="str">
        <f t="shared" ca="1" si="118"/>
        <v>*</v>
      </c>
      <c r="I154" s="497">
        <f t="shared" ca="1" si="118"/>
        <v>1</v>
      </c>
      <c r="J154" s="497">
        <f t="shared" ca="1" si="118"/>
        <v>1</v>
      </c>
      <c r="K154" s="497" t="str">
        <f t="shared" ca="1" si="118"/>
        <v>*</v>
      </c>
      <c r="L154" s="497" t="str">
        <f t="shared" ca="1" si="118"/>
        <v>*</v>
      </c>
      <c r="M154" s="497" t="str">
        <f t="shared" ca="1" si="118"/>
        <v>*</v>
      </c>
      <c r="N154" s="497" t="str">
        <f t="shared" ca="1" si="118"/>
        <v>*</v>
      </c>
      <c r="O154" s="497">
        <f t="shared" ca="1" si="118"/>
        <v>1</v>
      </c>
      <c r="P154" s="498">
        <f t="shared" ca="1" si="119"/>
        <v>4</v>
      </c>
      <c r="Q154" s="496">
        <f ca="1">IF($Y$82,D151,C154)</f>
        <v>8</v>
      </c>
      <c r="S154" s="1341"/>
      <c r="T154" s="1341"/>
      <c r="U154" s="1341"/>
      <c r="V154" s="1341"/>
      <c r="X154" s="495" t="s">
        <v>162</v>
      </c>
      <c r="Y154" s="499">
        <f t="shared" si="120"/>
        <v>4</v>
      </c>
      <c r="Z154" s="497" t="s">
        <v>181</v>
      </c>
      <c r="AA154" s="497" t="s">
        <v>181</v>
      </c>
      <c r="AB154" s="497" t="s">
        <v>181</v>
      </c>
      <c r="AC154" s="497" t="s">
        <v>181</v>
      </c>
      <c r="AD154" s="497">
        <v>1</v>
      </c>
      <c r="AE154" s="497">
        <v>1</v>
      </c>
      <c r="AF154" s="497" t="s">
        <v>181</v>
      </c>
      <c r="AG154" s="497" t="s">
        <v>181</v>
      </c>
      <c r="AH154" s="497" t="s">
        <v>181</v>
      </c>
      <c r="AI154" s="497" t="s">
        <v>181</v>
      </c>
      <c r="AJ154" s="497">
        <v>1</v>
      </c>
      <c r="AK154" s="497">
        <v>1</v>
      </c>
      <c r="AL154" s="500" t="str">
        <f t="shared" si="121"/>
        <v>*</v>
      </c>
      <c r="AM154" s="497" t="str">
        <f t="shared" si="121"/>
        <v>*</v>
      </c>
      <c r="AN154" s="497" t="str">
        <f t="shared" si="121"/>
        <v>*</v>
      </c>
      <c r="AO154" s="497" t="str">
        <f t="shared" si="121"/>
        <v>*</v>
      </c>
      <c r="AP154" s="497">
        <f t="shared" si="121"/>
        <v>1</v>
      </c>
      <c r="AQ154" s="497">
        <f t="shared" si="121"/>
        <v>1</v>
      </c>
      <c r="AR154" s="497" t="str">
        <f t="shared" si="121"/>
        <v>*</v>
      </c>
      <c r="AS154" s="497" t="str">
        <f t="shared" si="121"/>
        <v>*</v>
      </c>
      <c r="AT154" s="497" t="str">
        <f t="shared" si="121"/>
        <v>*</v>
      </c>
      <c r="AU154" s="497" t="str">
        <f t="shared" si="121"/>
        <v>*</v>
      </c>
      <c r="AV154" s="497">
        <f t="shared" si="121"/>
        <v>1</v>
      </c>
      <c r="AW154" s="501">
        <f t="shared" si="121"/>
        <v>1</v>
      </c>
      <c r="AX154" s="443" t="str">
        <f>MIN($Y$154,$Y$168,$Y$182,$Y$196,$Y$210,$Y$224,$Y$238,$Y$252)&amp;"-"&amp;MAX($Y$154,$Y$168,$Y$182,$Y$196,$Y$210,$Y$224,$Y$238,$Y$252)</f>
        <v>4-9</v>
      </c>
      <c r="AY154" s="443" t="s">
        <v>780</v>
      </c>
    </row>
    <row r="155" spans="1:51">
      <c r="A155" s="457" t="str">
        <f>A151&amp;"-"&amp;B155</f>
        <v>Saturn-Mars</v>
      </c>
      <c r="B155" s="495" t="s">
        <v>160</v>
      </c>
      <c r="C155" s="496">
        <f ca="1">MarsHouse</f>
        <v>10</v>
      </c>
      <c r="D155" s="497" t="str">
        <f t="shared" ca="1" si="118"/>
        <v>*</v>
      </c>
      <c r="E155" s="497">
        <f t="shared" ca="1" si="118"/>
        <v>1</v>
      </c>
      <c r="F155" s="497">
        <f t="shared" ca="1" si="118"/>
        <v>1</v>
      </c>
      <c r="G155" s="497" t="str">
        <f t="shared" ca="1" si="118"/>
        <v>*</v>
      </c>
      <c r="H155" s="497" t="str">
        <f t="shared" ca="1" si="118"/>
        <v>*</v>
      </c>
      <c r="I155" s="497" t="str">
        <f t="shared" ca="1" si="118"/>
        <v>*</v>
      </c>
      <c r="J155" s="497">
        <f t="shared" ca="1" si="118"/>
        <v>1</v>
      </c>
      <c r="K155" s="497">
        <f t="shared" ca="1" si="118"/>
        <v>1</v>
      </c>
      <c r="L155" s="497">
        <f t="shared" ca="1" si="118"/>
        <v>1</v>
      </c>
      <c r="M155" s="497" t="str">
        <f t="shared" ca="1" si="118"/>
        <v>*</v>
      </c>
      <c r="N155" s="497" t="str">
        <f t="shared" ca="1" si="118"/>
        <v>*</v>
      </c>
      <c r="O155" s="497">
        <f t="shared" ca="1" si="118"/>
        <v>1</v>
      </c>
      <c r="P155" s="498">
        <f t="shared" ca="1" si="119"/>
        <v>6</v>
      </c>
      <c r="Q155" s="496">
        <f ca="1">IF($Y$82,D151,C155)</f>
        <v>10</v>
      </c>
      <c r="S155" s="1341">
        <f ca="1">N161</f>
        <v>2</v>
      </c>
      <c r="T155" s="1342" t="str">
        <f ca="1">C151&amp;"  Ashtakavarga  "&amp;P161</f>
        <v xml:space="preserve">  Ashtakavarga  39</v>
      </c>
      <c r="U155" s="1342"/>
      <c r="V155" s="1341">
        <f ca="1">G161</f>
        <v>3</v>
      </c>
      <c r="X155" s="495" t="s">
        <v>160</v>
      </c>
      <c r="Y155" s="499">
        <f t="shared" si="120"/>
        <v>6</v>
      </c>
      <c r="Z155" s="497" t="s">
        <v>181</v>
      </c>
      <c r="AA155" s="497" t="s">
        <v>181</v>
      </c>
      <c r="AB155" s="497">
        <v>1</v>
      </c>
      <c r="AC155" s="497" t="s">
        <v>181</v>
      </c>
      <c r="AD155" s="497">
        <v>1</v>
      </c>
      <c r="AE155" s="497">
        <v>1</v>
      </c>
      <c r="AF155" s="497" t="s">
        <v>181</v>
      </c>
      <c r="AG155" s="497" t="s">
        <v>181</v>
      </c>
      <c r="AH155" s="497" t="s">
        <v>181</v>
      </c>
      <c r="AI155" s="497">
        <v>1</v>
      </c>
      <c r="AJ155" s="497">
        <v>1</v>
      </c>
      <c r="AK155" s="497">
        <v>1</v>
      </c>
      <c r="AL155" s="500" t="str">
        <f t="shared" si="121"/>
        <v>*</v>
      </c>
      <c r="AM155" s="497" t="str">
        <f t="shared" si="121"/>
        <v>*</v>
      </c>
      <c r="AN155" s="497">
        <f t="shared" si="121"/>
        <v>1</v>
      </c>
      <c r="AO155" s="497" t="str">
        <f t="shared" si="121"/>
        <v>*</v>
      </c>
      <c r="AP155" s="497">
        <f t="shared" si="121"/>
        <v>1</v>
      </c>
      <c r="AQ155" s="497">
        <f t="shared" si="121"/>
        <v>1</v>
      </c>
      <c r="AR155" s="497" t="str">
        <f t="shared" si="121"/>
        <v>*</v>
      </c>
      <c r="AS155" s="497" t="str">
        <f t="shared" si="121"/>
        <v>*</v>
      </c>
      <c r="AT155" s="497" t="str">
        <f t="shared" si="121"/>
        <v>*</v>
      </c>
      <c r="AU155" s="497">
        <f t="shared" si="121"/>
        <v>1</v>
      </c>
      <c r="AV155" s="497">
        <f t="shared" si="121"/>
        <v>1</v>
      </c>
      <c r="AW155" s="501">
        <f t="shared" si="121"/>
        <v>1</v>
      </c>
      <c r="AX155" s="443" t="str">
        <f>MIN($Y$155,$Y$169,$Y$183,$Y$197,$Y$211,$Y$225,$Y$239,$Y$253)&amp;"-"&amp;MAX($Y$155,$Y$169,$Y$183,$Y$197,$Y$211,$Y$225,$Y$239,$Y$253)</f>
        <v>5-8</v>
      </c>
    </row>
    <row r="156" spans="1:51">
      <c r="A156" s="457" t="str">
        <f>A151&amp;"-"&amp;B156</f>
        <v>Saturn-Sun</v>
      </c>
      <c r="B156" s="495" t="s">
        <v>158</v>
      </c>
      <c r="C156" s="496">
        <f ca="1">SunHouse</f>
        <v>4</v>
      </c>
      <c r="D156" s="497">
        <f t="shared" ca="1" si="118"/>
        <v>1</v>
      </c>
      <c r="E156" s="497">
        <f t="shared" ca="1" si="118"/>
        <v>1</v>
      </c>
      <c r="F156" s="497" t="str">
        <f t="shared" ca="1" si="118"/>
        <v>*</v>
      </c>
      <c r="G156" s="497">
        <f t="shared" ca="1" si="118"/>
        <v>1</v>
      </c>
      <c r="H156" s="497">
        <f t="shared" ca="1" si="118"/>
        <v>1</v>
      </c>
      <c r="I156" s="497" t="str">
        <f t="shared" ca="1" si="118"/>
        <v>*</v>
      </c>
      <c r="J156" s="497">
        <f t="shared" ca="1" si="118"/>
        <v>1</v>
      </c>
      <c r="K156" s="497" t="str">
        <f t="shared" ca="1" si="118"/>
        <v>*</v>
      </c>
      <c r="L156" s="497" t="str">
        <f t="shared" ca="1" si="118"/>
        <v>*</v>
      </c>
      <c r="M156" s="497">
        <f t="shared" ca="1" si="118"/>
        <v>1</v>
      </c>
      <c r="N156" s="497">
        <f t="shared" ca="1" si="118"/>
        <v>1</v>
      </c>
      <c r="O156" s="497" t="str">
        <f t="shared" ca="1" si="118"/>
        <v>*</v>
      </c>
      <c r="P156" s="498">
        <f t="shared" ca="1" si="119"/>
        <v>7</v>
      </c>
      <c r="Q156" s="496">
        <f ca="1">IF($Y$82,D151,C156)</f>
        <v>4</v>
      </c>
      <c r="S156" s="1341"/>
      <c r="T156" s="1341"/>
      <c r="U156" s="1342"/>
      <c r="V156" s="1341"/>
      <c r="X156" s="495" t="s">
        <v>158</v>
      </c>
      <c r="Y156" s="499">
        <f t="shared" si="120"/>
        <v>7</v>
      </c>
      <c r="Z156" s="497">
        <v>1</v>
      </c>
      <c r="AA156" s="497">
        <v>1</v>
      </c>
      <c r="AB156" s="497" t="s">
        <v>181</v>
      </c>
      <c r="AC156" s="497">
        <v>1</v>
      </c>
      <c r="AD156" s="497" t="s">
        <v>181</v>
      </c>
      <c r="AE156" s="497" t="s">
        <v>181</v>
      </c>
      <c r="AF156" s="497">
        <v>1</v>
      </c>
      <c r="AG156" s="497">
        <v>1</v>
      </c>
      <c r="AH156" s="497" t="s">
        <v>181</v>
      </c>
      <c r="AI156" s="497">
        <v>1</v>
      </c>
      <c r="AJ156" s="497">
        <v>1</v>
      </c>
      <c r="AK156" s="497" t="s">
        <v>181</v>
      </c>
      <c r="AL156" s="500">
        <f t="shared" si="121"/>
        <v>1</v>
      </c>
      <c r="AM156" s="497">
        <f t="shared" si="121"/>
        <v>1</v>
      </c>
      <c r="AN156" s="497" t="str">
        <f t="shared" si="121"/>
        <v>*</v>
      </c>
      <c r="AO156" s="497">
        <f t="shared" si="121"/>
        <v>1</v>
      </c>
      <c r="AP156" s="497" t="str">
        <f t="shared" si="121"/>
        <v>*</v>
      </c>
      <c r="AQ156" s="497" t="str">
        <f t="shared" si="121"/>
        <v>*</v>
      </c>
      <c r="AR156" s="497">
        <f t="shared" si="121"/>
        <v>1</v>
      </c>
      <c r="AS156" s="497">
        <f t="shared" si="121"/>
        <v>1</v>
      </c>
      <c r="AT156" s="497" t="str">
        <f t="shared" si="121"/>
        <v>*</v>
      </c>
      <c r="AU156" s="497">
        <f t="shared" si="121"/>
        <v>1</v>
      </c>
      <c r="AV156" s="497">
        <f t="shared" si="121"/>
        <v>1</v>
      </c>
      <c r="AW156" s="501" t="str">
        <f t="shared" si="121"/>
        <v>*</v>
      </c>
      <c r="AX156" s="443" t="str">
        <f>MIN($Y$156,$Y$170,$Y$184,$Y$198,$Y$212,$Y$226,$Y$240,$Y$254)&amp;"-"&amp;MAX($Y$156,$Y$170,$Y$184,$Y$198,$Y$212,$Y$226,$Y$240,$Y$254)</f>
        <v>3-9</v>
      </c>
    </row>
    <row r="157" spans="1:51">
      <c r="A157" s="457" t="str">
        <f>A151&amp;"-"&amp;B157</f>
        <v>Saturn-Venus</v>
      </c>
      <c r="B157" s="495" t="s">
        <v>163</v>
      </c>
      <c r="C157" s="496">
        <f ca="1">VenusHouse</f>
        <v>3</v>
      </c>
      <c r="D157" s="497">
        <f t="shared" ca="1" si="118"/>
        <v>1</v>
      </c>
      <c r="E157" s="497">
        <f t="shared" ca="1" si="118"/>
        <v>1</v>
      </c>
      <c r="F157" s="497" t="str">
        <f t="shared" ca="1" si="118"/>
        <v>*</v>
      </c>
      <c r="G157" s="497" t="str">
        <f t="shared" ca="1" si="118"/>
        <v>*</v>
      </c>
      <c r="H157" s="497" t="str">
        <f t="shared" ca="1" si="118"/>
        <v>*</v>
      </c>
      <c r="I157" s="497" t="str">
        <f t="shared" ca="1" si="118"/>
        <v>*</v>
      </c>
      <c r="J157" s="497" t="str">
        <f t="shared" ca="1" si="118"/>
        <v>*</v>
      </c>
      <c r="K157" s="497">
        <f t="shared" ca="1" si="118"/>
        <v>1</v>
      </c>
      <c r="L157" s="497" t="str">
        <f t="shared" ca="1" si="118"/>
        <v>*</v>
      </c>
      <c r="M157" s="497" t="str">
        <f t="shared" ca="1" si="118"/>
        <v>*</v>
      </c>
      <c r="N157" s="497" t="str">
        <f t="shared" ca="1" si="118"/>
        <v>*</v>
      </c>
      <c r="O157" s="497" t="str">
        <f t="shared" ca="1" si="118"/>
        <v>*</v>
      </c>
      <c r="P157" s="498">
        <f t="shared" ca="1" si="119"/>
        <v>3</v>
      </c>
      <c r="Q157" s="496">
        <f ca="1">IF($Y$82,D151,C157)</f>
        <v>3</v>
      </c>
      <c r="S157" s="1341"/>
      <c r="T157" s="1341"/>
      <c r="U157" s="1342"/>
      <c r="V157" s="1341"/>
      <c r="W157" s="443" t="s">
        <v>780</v>
      </c>
      <c r="X157" s="495" t="s">
        <v>163</v>
      </c>
      <c r="Y157" s="499">
        <f t="shared" si="120"/>
        <v>3</v>
      </c>
      <c r="Z157" s="497" t="s">
        <v>181</v>
      </c>
      <c r="AA157" s="497" t="s">
        <v>181</v>
      </c>
      <c r="AB157" s="497" t="s">
        <v>181</v>
      </c>
      <c r="AC157" s="497" t="s">
        <v>181</v>
      </c>
      <c r="AD157" s="497" t="s">
        <v>181</v>
      </c>
      <c r="AE157" s="497">
        <v>1</v>
      </c>
      <c r="AF157" s="497" t="s">
        <v>181</v>
      </c>
      <c r="AG157" s="497" t="s">
        <v>181</v>
      </c>
      <c r="AH157" s="497" t="s">
        <v>181</v>
      </c>
      <c r="AI157" s="497" t="s">
        <v>181</v>
      </c>
      <c r="AJ157" s="497">
        <v>1</v>
      </c>
      <c r="AK157" s="497">
        <v>1</v>
      </c>
      <c r="AL157" s="500" t="str">
        <f t="shared" si="121"/>
        <v>*</v>
      </c>
      <c r="AM157" s="497" t="str">
        <f t="shared" si="121"/>
        <v>*</v>
      </c>
      <c r="AN157" s="497" t="str">
        <f t="shared" si="121"/>
        <v>*</v>
      </c>
      <c r="AO157" s="497" t="str">
        <f t="shared" si="121"/>
        <v>*</v>
      </c>
      <c r="AP157" s="497" t="str">
        <f t="shared" si="121"/>
        <v>*</v>
      </c>
      <c r="AQ157" s="497">
        <f t="shared" si="121"/>
        <v>1</v>
      </c>
      <c r="AR157" s="497" t="str">
        <f t="shared" si="121"/>
        <v>*</v>
      </c>
      <c r="AS157" s="497" t="str">
        <f t="shared" si="121"/>
        <v>*</v>
      </c>
      <c r="AT157" s="497" t="str">
        <f t="shared" si="121"/>
        <v>*</v>
      </c>
      <c r="AU157" s="497" t="str">
        <f t="shared" si="121"/>
        <v>*</v>
      </c>
      <c r="AV157" s="497">
        <f t="shared" si="121"/>
        <v>1</v>
      </c>
      <c r="AW157" s="501">
        <f t="shared" si="121"/>
        <v>1</v>
      </c>
      <c r="AX157" s="443" t="str">
        <f>MIN($Y$157,$Y$171,$Y$185,$Y$199,$Y$213,$Y$227,$Y$241,$Y$255)&amp;"-"&amp;MAX($Y$157,$Y$171,$Y$185,$Y$199,$Y$213,$Y$227,$Y$241,$Y$255)</f>
        <v>3-9</v>
      </c>
      <c r="AY157" s="443" t="s">
        <v>780</v>
      </c>
    </row>
    <row r="158" spans="1:51">
      <c r="A158" s="457" t="str">
        <f>A151&amp;"-"&amp;B158</f>
        <v>Saturn-Mercury</v>
      </c>
      <c r="B158" s="495" t="s">
        <v>161</v>
      </c>
      <c r="C158" s="496">
        <f ca="1">MercuryHouse</f>
        <v>4</v>
      </c>
      <c r="D158" s="497">
        <f t="shared" ca="1" si="118"/>
        <v>1</v>
      </c>
      <c r="E158" s="497">
        <f t="shared" ca="1" si="118"/>
        <v>1</v>
      </c>
      <c r="F158" s="497">
        <f t="shared" ca="1" si="118"/>
        <v>1</v>
      </c>
      <c r="G158" s="497" t="str">
        <f t="shared" ca="1" si="118"/>
        <v>*</v>
      </c>
      <c r="H158" s="497" t="str">
        <f t="shared" ca="1" si="118"/>
        <v>*</v>
      </c>
      <c r="I158" s="497" t="str">
        <f t="shared" ca="1" si="118"/>
        <v>*</v>
      </c>
      <c r="J158" s="497" t="str">
        <f t="shared" ca="1" si="118"/>
        <v>*</v>
      </c>
      <c r="K158" s="497" t="str">
        <f t="shared" ca="1" si="118"/>
        <v>*</v>
      </c>
      <c r="L158" s="497">
        <f t="shared" ca="1" si="118"/>
        <v>1</v>
      </c>
      <c r="M158" s="497" t="str">
        <f t="shared" ca="1" si="118"/>
        <v>*</v>
      </c>
      <c r="N158" s="497">
        <f t="shared" ca="1" si="118"/>
        <v>1</v>
      </c>
      <c r="O158" s="497">
        <f t="shared" ca="1" si="118"/>
        <v>1</v>
      </c>
      <c r="P158" s="498">
        <f t="shared" ca="1" si="119"/>
        <v>6</v>
      </c>
      <c r="Q158" s="496">
        <f ca="1">IF($Y$82,D151,C158)</f>
        <v>4</v>
      </c>
      <c r="S158" s="1341">
        <f ca="1">M161</f>
        <v>2</v>
      </c>
      <c r="T158" s="1342"/>
      <c r="U158" s="1342"/>
      <c r="V158" s="1341">
        <f ca="1">H161</f>
        <v>2</v>
      </c>
      <c r="W158" s="443" t="s">
        <v>781</v>
      </c>
      <c r="X158" s="495" t="s">
        <v>161</v>
      </c>
      <c r="Y158" s="499">
        <f t="shared" si="120"/>
        <v>6</v>
      </c>
      <c r="Z158" s="497" t="s">
        <v>181</v>
      </c>
      <c r="AA158" s="497" t="s">
        <v>181</v>
      </c>
      <c r="AB158" s="497" t="s">
        <v>181</v>
      </c>
      <c r="AC158" s="497" t="s">
        <v>181</v>
      </c>
      <c r="AD158" s="497" t="s">
        <v>181</v>
      </c>
      <c r="AE158" s="497">
        <v>1</v>
      </c>
      <c r="AF158" s="497" t="s">
        <v>181</v>
      </c>
      <c r="AG158" s="497">
        <v>1</v>
      </c>
      <c r="AH158" s="497">
        <v>1</v>
      </c>
      <c r="AI158" s="497">
        <v>1</v>
      </c>
      <c r="AJ158" s="497">
        <v>1</v>
      </c>
      <c r="AK158" s="497">
        <v>1</v>
      </c>
      <c r="AL158" s="500" t="str">
        <f t="shared" si="121"/>
        <v>*</v>
      </c>
      <c r="AM158" s="497" t="str">
        <f t="shared" si="121"/>
        <v>*</v>
      </c>
      <c r="AN158" s="497" t="str">
        <f t="shared" si="121"/>
        <v>*</v>
      </c>
      <c r="AO158" s="497" t="str">
        <f t="shared" si="121"/>
        <v>*</v>
      </c>
      <c r="AP158" s="497" t="str">
        <f t="shared" si="121"/>
        <v>*</v>
      </c>
      <c r="AQ158" s="497">
        <f t="shared" si="121"/>
        <v>1</v>
      </c>
      <c r="AR158" s="497" t="str">
        <f t="shared" si="121"/>
        <v>*</v>
      </c>
      <c r="AS158" s="497">
        <f t="shared" si="121"/>
        <v>1</v>
      </c>
      <c r="AT158" s="497">
        <f t="shared" si="121"/>
        <v>1</v>
      </c>
      <c r="AU158" s="497">
        <f t="shared" si="121"/>
        <v>1</v>
      </c>
      <c r="AV158" s="497">
        <f t="shared" si="121"/>
        <v>1</v>
      </c>
      <c r="AW158" s="501">
        <f t="shared" si="121"/>
        <v>1</v>
      </c>
      <c r="AX158" s="443" t="str">
        <f>MIN($Y$158,$Y$172,$Y$186,$Y$200,$Y$214,$Y$228,$Y$242,$Y$256)&amp;"-"&amp;MAX($Y$158,$Y$172,$Y$186,$Y$200,$Y$214,$Y$228,$Y$242,$Y$256)</f>
        <v>4-8</v>
      </c>
    </row>
    <row r="159" spans="1:51">
      <c r="A159" s="457" t="str">
        <f>A151&amp;"-"&amp;B159</f>
        <v>Saturn-Moon</v>
      </c>
      <c r="B159" s="495" t="s">
        <v>159</v>
      </c>
      <c r="C159" s="496">
        <f ca="1">MoonHouse</f>
        <v>2</v>
      </c>
      <c r="D159" s="497" t="str">
        <f t="shared" ca="1" si="118"/>
        <v>*</v>
      </c>
      <c r="E159" s="497" t="str">
        <f t="shared" ca="1" si="118"/>
        <v>*</v>
      </c>
      <c r="F159" s="497" t="str">
        <f t="shared" ca="1" si="118"/>
        <v>*</v>
      </c>
      <c r="G159" s="497">
        <f t="shared" ca="1" si="118"/>
        <v>1</v>
      </c>
      <c r="H159" s="497" t="str">
        <f t="shared" ca="1" si="118"/>
        <v>*</v>
      </c>
      <c r="I159" s="497" t="str">
        <f t="shared" ca="1" si="118"/>
        <v>*</v>
      </c>
      <c r="J159" s="497">
        <f t="shared" ca="1" si="118"/>
        <v>1</v>
      </c>
      <c r="K159" s="497" t="str">
        <f t="shared" ca="1" si="118"/>
        <v>*</v>
      </c>
      <c r="L159" s="497" t="str">
        <f t="shared" ca="1" si="118"/>
        <v>*</v>
      </c>
      <c r="M159" s="497" t="str">
        <f t="shared" ca="1" si="118"/>
        <v>*</v>
      </c>
      <c r="N159" s="497" t="str">
        <f t="shared" ca="1" si="118"/>
        <v>*</v>
      </c>
      <c r="O159" s="497">
        <f t="shared" ca="1" si="118"/>
        <v>1</v>
      </c>
      <c r="P159" s="498">
        <f t="shared" ca="1" si="119"/>
        <v>3</v>
      </c>
      <c r="Q159" s="496">
        <f ca="1">IF($Y$82,D151,C159)</f>
        <v>2</v>
      </c>
      <c r="S159" s="1341"/>
      <c r="T159" s="1341"/>
      <c r="U159" s="1342"/>
      <c r="V159" s="1341"/>
      <c r="W159" s="443" t="s">
        <v>780</v>
      </c>
      <c r="X159" s="495" t="s">
        <v>159</v>
      </c>
      <c r="Y159" s="499">
        <f t="shared" si="120"/>
        <v>3</v>
      </c>
      <c r="Z159" s="497" t="s">
        <v>181</v>
      </c>
      <c r="AA159" s="497" t="s">
        <v>181</v>
      </c>
      <c r="AB159" s="497">
        <v>1</v>
      </c>
      <c r="AC159" s="497" t="s">
        <v>181</v>
      </c>
      <c r="AD159" s="497" t="s">
        <v>181</v>
      </c>
      <c r="AE159" s="497">
        <v>1</v>
      </c>
      <c r="AF159" s="497" t="s">
        <v>181</v>
      </c>
      <c r="AG159" s="497" t="s">
        <v>181</v>
      </c>
      <c r="AH159" s="497" t="s">
        <v>181</v>
      </c>
      <c r="AI159" s="497" t="s">
        <v>181</v>
      </c>
      <c r="AJ159" s="497">
        <v>1</v>
      </c>
      <c r="AK159" s="497" t="s">
        <v>181</v>
      </c>
      <c r="AL159" s="500" t="str">
        <f t="shared" si="121"/>
        <v>*</v>
      </c>
      <c r="AM159" s="497" t="str">
        <f t="shared" si="121"/>
        <v>*</v>
      </c>
      <c r="AN159" s="497">
        <f t="shared" si="121"/>
        <v>1</v>
      </c>
      <c r="AO159" s="497" t="str">
        <f t="shared" si="121"/>
        <v>*</v>
      </c>
      <c r="AP159" s="497" t="str">
        <f t="shared" si="121"/>
        <v>*</v>
      </c>
      <c r="AQ159" s="497">
        <f t="shared" si="121"/>
        <v>1</v>
      </c>
      <c r="AR159" s="497" t="str">
        <f t="shared" si="121"/>
        <v>*</v>
      </c>
      <c r="AS159" s="497" t="str">
        <f t="shared" si="121"/>
        <v>*</v>
      </c>
      <c r="AT159" s="497" t="str">
        <f t="shared" si="121"/>
        <v>*</v>
      </c>
      <c r="AU159" s="497" t="str">
        <f t="shared" si="121"/>
        <v>*</v>
      </c>
      <c r="AV159" s="497">
        <f t="shared" si="121"/>
        <v>1</v>
      </c>
      <c r="AW159" s="501" t="str">
        <f t="shared" si="121"/>
        <v>*</v>
      </c>
      <c r="AX159" s="443" t="str">
        <f>MIN($Y$159,$Y$173,$Y$187,$Y$201,$Y$215,$Y$229,$Y$243,$Y$257)&amp;"-"&amp;MAX($Y$159,$Y$173,$Y$187,$Y$201,$Y$215,$Y$229,$Y$243,$Y$257)</f>
        <v>3-9</v>
      </c>
      <c r="AY159" s="443" t="s">
        <v>780</v>
      </c>
    </row>
    <row r="160" spans="1:51">
      <c r="A160" s="457" t="str">
        <f>A151&amp;"-"&amp;B160</f>
        <v>Saturn-Lagna</v>
      </c>
      <c r="B160" s="495" t="s">
        <v>319</v>
      </c>
      <c r="C160" s="496">
        <f ca="1">Lagnahouse</f>
        <v>5</v>
      </c>
      <c r="D160" s="497" t="str">
        <f t="shared" ca="1" si="118"/>
        <v>*</v>
      </c>
      <c r="E160" s="497">
        <f t="shared" ca="1" si="118"/>
        <v>1</v>
      </c>
      <c r="F160" s="497">
        <f t="shared" ca="1" si="118"/>
        <v>1</v>
      </c>
      <c r="G160" s="497" t="str">
        <f t="shared" ca="1" si="118"/>
        <v>*</v>
      </c>
      <c r="H160" s="497">
        <f t="shared" ca="1" si="118"/>
        <v>1</v>
      </c>
      <c r="I160" s="497" t="str">
        <f t="shared" ca="1" si="118"/>
        <v>*</v>
      </c>
      <c r="J160" s="497">
        <f t="shared" ca="1" si="118"/>
        <v>1</v>
      </c>
      <c r="K160" s="497">
        <f t="shared" ca="1" si="118"/>
        <v>1</v>
      </c>
      <c r="L160" s="497" t="str">
        <f t="shared" ca="1" si="118"/>
        <v>*</v>
      </c>
      <c r="M160" s="497">
        <f t="shared" ca="1" si="118"/>
        <v>1</v>
      </c>
      <c r="N160" s="497" t="str">
        <f t="shared" ca="1" si="118"/>
        <v>*</v>
      </c>
      <c r="O160" s="497" t="str">
        <f t="shared" ca="1" si="118"/>
        <v>*</v>
      </c>
      <c r="P160" s="498">
        <f t="shared" ca="1" si="119"/>
        <v>6</v>
      </c>
      <c r="Q160" s="496">
        <f ca="1">IF($Y$82,D151,C160)</f>
        <v>5</v>
      </c>
      <c r="S160" s="1341"/>
      <c r="T160" s="1341"/>
      <c r="U160" s="1342"/>
      <c r="V160" s="1341"/>
      <c r="X160" s="495" t="s">
        <v>319</v>
      </c>
      <c r="Y160" s="499">
        <f t="shared" si="120"/>
        <v>6</v>
      </c>
      <c r="Z160" s="497">
        <v>1</v>
      </c>
      <c r="AA160" s="497" t="s">
        <v>181</v>
      </c>
      <c r="AB160" s="497">
        <v>1</v>
      </c>
      <c r="AC160" s="497">
        <v>1</v>
      </c>
      <c r="AD160" s="497" t="s">
        <v>181</v>
      </c>
      <c r="AE160" s="497">
        <v>1</v>
      </c>
      <c r="AF160" s="497" t="s">
        <v>181</v>
      </c>
      <c r="AG160" s="497" t="s">
        <v>181</v>
      </c>
      <c r="AH160" s="497" t="s">
        <v>181</v>
      </c>
      <c r="AI160" s="497">
        <v>1</v>
      </c>
      <c r="AJ160" s="497">
        <v>1</v>
      </c>
      <c r="AK160" s="497" t="s">
        <v>181</v>
      </c>
      <c r="AL160" s="500">
        <f t="shared" si="121"/>
        <v>1</v>
      </c>
      <c r="AM160" s="497" t="str">
        <f t="shared" si="121"/>
        <v>*</v>
      </c>
      <c r="AN160" s="497">
        <f t="shared" si="121"/>
        <v>1</v>
      </c>
      <c r="AO160" s="497">
        <f t="shared" si="121"/>
        <v>1</v>
      </c>
      <c r="AP160" s="497" t="str">
        <f t="shared" si="121"/>
        <v>*</v>
      </c>
      <c r="AQ160" s="497">
        <f t="shared" si="121"/>
        <v>1</v>
      </c>
      <c r="AR160" s="497" t="str">
        <f t="shared" si="121"/>
        <v>*</v>
      </c>
      <c r="AS160" s="497" t="str">
        <f t="shared" si="121"/>
        <v>*</v>
      </c>
      <c r="AT160" s="497" t="str">
        <f t="shared" si="121"/>
        <v>*</v>
      </c>
      <c r="AU160" s="497">
        <f t="shared" si="121"/>
        <v>1</v>
      </c>
      <c r="AV160" s="497">
        <f t="shared" si="121"/>
        <v>1</v>
      </c>
      <c r="AW160" s="501" t="str">
        <f t="shared" si="121"/>
        <v>*</v>
      </c>
      <c r="AX160" s="443" t="str">
        <f>MIN($Y$160,$Y$174,$Y$188,$Y$202,$Y$216,$Y$230,$Y$244,$Y$258)&amp;"-"&amp;MAX($Y$160,$Y$174,$Y$188,$Y$202,$Y$216,$Y$230,$Y$244,$Y$258)</f>
        <v>4-9</v>
      </c>
    </row>
    <row r="161" spans="1:51">
      <c r="A161" s="457" t="str">
        <f>A151&amp;"-"&amp;B161</f>
        <v>Saturn-Saturn</v>
      </c>
      <c r="B161" s="502" t="str">
        <f>B151</f>
        <v>Saturn</v>
      </c>
      <c r="C161" s="503"/>
      <c r="D161" s="503">
        <f t="shared" ref="D161:O161" ca="1" si="122">SUM(D153:D160)</f>
        <v>4</v>
      </c>
      <c r="E161" s="503">
        <f t="shared" ca="1" si="122"/>
        <v>5</v>
      </c>
      <c r="F161" s="503">
        <f t="shared" ca="1" si="122"/>
        <v>3</v>
      </c>
      <c r="G161" s="503">
        <f t="shared" ca="1" si="122"/>
        <v>3</v>
      </c>
      <c r="H161" s="503">
        <f t="shared" ca="1" si="122"/>
        <v>2</v>
      </c>
      <c r="I161" s="503">
        <f t="shared" ca="1" si="122"/>
        <v>2</v>
      </c>
      <c r="J161" s="503">
        <f t="shared" ca="1" si="122"/>
        <v>6</v>
      </c>
      <c r="K161" s="503">
        <f t="shared" ca="1" si="122"/>
        <v>3</v>
      </c>
      <c r="L161" s="503">
        <f t="shared" ca="1" si="122"/>
        <v>2</v>
      </c>
      <c r="M161" s="503">
        <f t="shared" ca="1" si="122"/>
        <v>2</v>
      </c>
      <c r="N161" s="503">
        <f t="shared" ca="1" si="122"/>
        <v>2</v>
      </c>
      <c r="O161" s="503">
        <f t="shared" ca="1" si="122"/>
        <v>5</v>
      </c>
      <c r="P161" s="504">
        <f t="shared" ca="1" si="119"/>
        <v>39</v>
      </c>
      <c r="Q161" s="504"/>
      <c r="S161" s="1341">
        <f ca="1">L161</f>
        <v>2</v>
      </c>
      <c r="T161" s="1341">
        <f ca="1">K161</f>
        <v>3</v>
      </c>
      <c r="U161" s="1341">
        <f ca="1">J161</f>
        <v>6</v>
      </c>
      <c r="V161" s="1341">
        <f ca="1">I161</f>
        <v>2</v>
      </c>
      <c r="X161" s="502"/>
      <c r="Y161" s="505">
        <f t="shared" si="120"/>
        <v>39</v>
      </c>
      <c r="Z161" s="506">
        <f t="shared" ref="Z161:AW161" si="123">SUM(Z153:Z160)</f>
        <v>2</v>
      </c>
      <c r="AA161" s="506">
        <f t="shared" si="123"/>
        <v>1</v>
      </c>
      <c r="AB161" s="506">
        <f t="shared" si="123"/>
        <v>4</v>
      </c>
      <c r="AC161" s="506">
        <f t="shared" si="123"/>
        <v>2</v>
      </c>
      <c r="AD161" s="506">
        <f t="shared" si="123"/>
        <v>3</v>
      </c>
      <c r="AE161" s="506">
        <f t="shared" si="123"/>
        <v>7</v>
      </c>
      <c r="AF161" s="506">
        <f t="shared" si="123"/>
        <v>1</v>
      </c>
      <c r="AG161" s="506">
        <f t="shared" si="123"/>
        <v>2</v>
      </c>
      <c r="AH161" s="506">
        <f t="shared" si="123"/>
        <v>1</v>
      </c>
      <c r="AI161" s="506">
        <f t="shared" si="123"/>
        <v>4</v>
      </c>
      <c r="AJ161" s="506">
        <f t="shared" si="123"/>
        <v>8</v>
      </c>
      <c r="AK161" s="506">
        <f t="shared" si="123"/>
        <v>4</v>
      </c>
      <c r="AL161" s="507">
        <f t="shared" si="123"/>
        <v>2</v>
      </c>
      <c r="AM161" s="508">
        <f t="shared" si="123"/>
        <v>1</v>
      </c>
      <c r="AN161" s="508">
        <f t="shared" si="123"/>
        <v>4</v>
      </c>
      <c r="AO161" s="508">
        <f t="shared" si="123"/>
        <v>2</v>
      </c>
      <c r="AP161" s="508">
        <f t="shared" si="123"/>
        <v>3</v>
      </c>
      <c r="AQ161" s="508">
        <f t="shared" si="123"/>
        <v>7</v>
      </c>
      <c r="AR161" s="508">
        <f t="shared" si="123"/>
        <v>1</v>
      </c>
      <c r="AS161" s="508">
        <f t="shared" si="123"/>
        <v>2</v>
      </c>
      <c r="AT161" s="508">
        <f t="shared" si="123"/>
        <v>1</v>
      </c>
      <c r="AU161" s="508">
        <f t="shared" si="123"/>
        <v>4</v>
      </c>
      <c r="AV161" s="508">
        <f t="shared" si="123"/>
        <v>8</v>
      </c>
      <c r="AW161" s="509">
        <f t="shared" si="123"/>
        <v>4</v>
      </c>
    </row>
    <row r="162" spans="1:51">
      <c r="A162" s="457" t="str">
        <f>A151&amp;"-"&amp;B162</f>
        <v>Saturn-</v>
      </c>
      <c r="S162" s="1341"/>
      <c r="T162" s="1341"/>
      <c r="U162" s="1341"/>
      <c r="V162" s="1341"/>
      <c r="X162" s="443" t="s">
        <v>782</v>
      </c>
      <c r="AL162" s="443"/>
      <c r="AW162" s="443"/>
    </row>
    <row r="163" spans="1:51">
      <c r="A163" s="457" t="str">
        <f>A151&amp;"-"&amp;B163</f>
        <v>Saturn-</v>
      </c>
      <c r="S163" s="1341"/>
      <c r="T163" s="1341"/>
      <c r="U163" s="1341"/>
      <c r="V163" s="1341"/>
    </row>
    <row r="164" spans="1:51">
      <c r="A164" s="457" t="str">
        <f>A151&amp;"-"&amp;B164</f>
        <v>Saturn------</v>
      </c>
      <c r="B164" s="443" t="s">
        <v>776</v>
      </c>
      <c r="Y164" s="443" t="s">
        <v>777</v>
      </c>
    </row>
    <row r="165" spans="1:51">
      <c r="A165" s="457" t="str">
        <f>B165</f>
        <v>Venus</v>
      </c>
      <c r="B165" s="1346" t="str">
        <f>X165</f>
        <v>Venus</v>
      </c>
      <c r="C165" s="1346"/>
      <c r="D165" s="443">
        <f ca="1">INDIRECT(B165&amp;"house")</f>
        <v>3</v>
      </c>
      <c r="S165" s="458"/>
      <c r="T165" s="458"/>
      <c r="U165" s="458"/>
      <c r="V165" s="458"/>
      <c r="X165" s="181" t="s">
        <v>163</v>
      </c>
      <c r="Y165" s="443" t="str">
        <f>MIN(Y167:Y174)&amp;"-"&amp;MAX(Y167:Y174)</f>
        <v>3-9</v>
      </c>
      <c r="Z165" s="443" t="str">
        <f>$Z$83 &amp;  X165</f>
        <v>From Graha Good and Bad Transit of Venus</v>
      </c>
      <c r="AL165" s="443"/>
      <c r="AW165" s="443"/>
      <c r="AX165" s="443" t="s">
        <v>777</v>
      </c>
    </row>
    <row r="166" spans="1:51">
      <c r="A166" s="457" t="str">
        <f>A165&amp;"-"&amp;B166</f>
        <v>Venus-</v>
      </c>
      <c r="B166" s="487"/>
      <c r="C166" s="488" t="s">
        <v>746</v>
      </c>
      <c r="D166" s="489">
        <v>1</v>
      </c>
      <c r="E166" s="489">
        <v>2</v>
      </c>
      <c r="F166" s="489">
        <v>3</v>
      </c>
      <c r="G166" s="489">
        <v>4</v>
      </c>
      <c r="H166" s="489">
        <v>5</v>
      </c>
      <c r="I166" s="489">
        <v>6</v>
      </c>
      <c r="J166" s="489">
        <v>7</v>
      </c>
      <c r="K166" s="489">
        <v>8</v>
      </c>
      <c r="L166" s="489">
        <v>9</v>
      </c>
      <c r="M166" s="489">
        <v>10</v>
      </c>
      <c r="N166" s="489">
        <v>11</v>
      </c>
      <c r="O166" s="489">
        <v>12</v>
      </c>
      <c r="P166" s="490"/>
      <c r="Q166" s="490"/>
      <c r="S166" s="1341">
        <f ca="1">O175</f>
        <v>7</v>
      </c>
      <c r="T166" s="1341">
        <f ca="1">D175</f>
        <v>4</v>
      </c>
      <c r="U166" s="1341">
        <f ca="1">E175</f>
        <v>3</v>
      </c>
      <c r="V166" s="1341">
        <f ca="1">F175</f>
        <v>6</v>
      </c>
      <c r="X166" s="488" t="s">
        <v>778</v>
      </c>
      <c r="Y166" s="491" t="s">
        <v>779</v>
      </c>
      <c r="Z166" s="492">
        <v>1</v>
      </c>
      <c r="AA166" s="492">
        <v>2</v>
      </c>
      <c r="AB166" s="492">
        <v>3</v>
      </c>
      <c r="AC166" s="492">
        <v>4</v>
      </c>
      <c r="AD166" s="492">
        <v>5</v>
      </c>
      <c r="AE166" s="492">
        <v>6</v>
      </c>
      <c r="AF166" s="492">
        <v>7</v>
      </c>
      <c r="AG166" s="492">
        <v>8</v>
      </c>
      <c r="AH166" s="492">
        <v>9</v>
      </c>
      <c r="AI166" s="492">
        <v>10</v>
      </c>
      <c r="AJ166" s="492">
        <v>11</v>
      </c>
      <c r="AK166" s="492">
        <v>12</v>
      </c>
      <c r="AL166" s="493">
        <v>1</v>
      </c>
      <c r="AM166" s="489">
        <v>2</v>
      </c>
      <c r="AN166" s="489">
        <v>3</v>
      </c>
      <c r="AO166" s="489">
        <v>4</v>
      </c>
      <c r="AP166" s="489">
        <v>5</v>
      </c>
      <c r="AQ166" s="489">
        <v>6</v>
      </c>
      <c r="AR166" s="489">
        <v>7</v>
      </c>
      <c r="AS166" s="489">
        <v>8</v>
      </c>
      <c r="AT166" s="489">
        <v>9</v>
      </c>
      <c r="AU166" s="489">
        <v>10</v>
      </c>
      <c r="AV166" s="489">
        <v>11</v>
      </c>
      <c r="AW166" s="494">
        <v>12</v>
      </c>
    </row>
    <row r="167" spans="1:51">
      <c r="A167" s="457" t="str">
        <f>A165&amp;"-"&amp;B167</f>
        <v>Venus-Saturn</v>
      </c>
      <c r="B167" s="495" t="s">
        <v>164</v>
      </c>
      <c r="C167" s="496">
        <f ca="1">SaturnHouse</f>
        <v>2</v>
      </c>
      <c r="D167" s="497" t="str">
        <f t="shared" ref="D167:O174" ca="1" si="124">INDEX($Z167:$AW167,,12+D$152-$Q167+1)</f>
        <v>*</v>
      </c>
      <c r="E167" s="497" t="str">
        <f t="shared" ca="1" si="124"/>
        <v>*</v>
      </c>
      <c r="F167" s="497" t="str">
        <f t="shared" ca="1" si="124"/>
        <v>*</v>
      </c>
      <c r="G167" s="497">
        <f t="shared" ca="1" si="124"/>
        <v>1</v>
      </c>
      <c r="H167" s="497">
        <f t="shared" ca="1" si="124"/>
        <v>1</v>
      </c>
      <c r="I167" s="497">
        <f t="shared" ca="1" si="124"/>
        <v>1</v>
      </c>
      <c r="J167" s="497" t="str">
        <f t="shared" ca="1" si="124"/>
        <v>*</v>
      </c>
      <c r="K167" s="497" t="str">
        <f t="shared" ca="1" si="124"/>
        <v>*</v>
      </c>
      <c r="L167" s="497">
        <f t="shared" ca="1" si="124"/>
        <v>1</v>
      </c>
      <c r="M167" s="497">
        <f t="shared" ca="1" si="124"/>
        <v>1</v>
      </c>
      <c r="N167" s="497">
        <f t="shared" ca="1" si="124"/>
        <v>1</v>
      </c>
      <c r="O167" s="497">
        <f t="shared" ca="1" si="124"/>
        <v>1</v>
      </c>
      <c r="P167" s="498">
        <f t="shared" ref="P167:P175" ca="1" si="125">SUM(D167:O167)</f>
        <v>7</v>
      </c>
      <c r="Q167" s="496">
        <f ca="1">IF($Y$82,D165,C167)</f>
        <v>2</v>
      </c>
      <c r="S167" s="1341"/>
      <c r="T167" s="1341"/>
      <c r="U167" s="1341"/>
      <c r="V167" s="1341"/>
      <c r="X167" s="495" t="s">
        <v>164</v>
      </c>
      <c r="Y167" s="499">
        <f t="shared" ref="Y167:Y175" si="126">SUM(Z167:AK167)</f>
        <v>7</v>
      </c>
      <c r="Z167" s="497" t="s">
        <v>181</v>
      </c>
      <c r="AA167" s="497" t="s">
        <v>181</v>
      </c>
      <c r="AB167" s="497">
        <v>1</v>
      </c>
      <c r="AC167" s="497">
        <v>1</v>
      </c>
      <c r="AD167" s="497">
        <v>1</v>
      </c>
      <c r="AE167" s="497" t="s">
        <v>181</v>
      </c>
      <c r="AF167" s="497" t="s">
        <v>181</v>
      </c>
      <c r="AG167" s="497">
        <v>1</v>
      </c>
      <c r="AH167" s="497">
        <v>1</v>
      </c>
      <c r="AI167" s="497">
        <v>1</v>
      </c>
      <c r="AJ167" s="497">
        <v>1</v>
      </c>
      <c r="AK167" s="497" t="s">
        <v>181</v>
      </c>
      <c r="AL167" s="500" t="str">
        <f t="shared" ref="AL167:AW174" si="127">Z167</f>
        <v>*</v>
      </c>
      <c r="AM167" s="497" t="str">
        <f t="shared" si="127"/>
        <v>*</v>
      </c>
      <c r="AN167" s="497">
        <f t="shared" si="127"/>
        <v>1</v>
      </c>
      <c r="AO167" s="497">
        <f t="shared" si="127"/>
        <v>1</v>
      </c>
      <c r="AP167" s="497">
        <f t="shared" si="127"/>
        <v>1</v>
      </c>
      <c r="AQ167" s="497" t="str">
        <f t="shared" si="127"/>
        <v>*</v>
      </c>
      <c r="AR167" s="497" t="str">
        <f t="shared" si="127"/>
        <v>*</v>
      </c>
      <c r="AS167" s="497">
        <f t="shared" si="127"/>
        <v>1</v>
      </c>
      <c r="AT167" s="497">
        <f t="shared" si="127"/>
        <v>1</v>
      </c>
      <c r="AU167" s="497">
        <f t="shared" si="127"/>
        <v>1</v>
      </c>
      <c r="AV167" s="497">
        <f t="shared" si="127"/>
        <v>1</v>
      </c>
      <c r="AW167" s="501" t="str">
        <f t="shared" si="127"/>
        <v>*</v>
      </c>
      <c r="AX167" s="443" t="str">
        <f>MIN($Y$153,$Y$167,$Y$181,$Y$195,$Y$209,$Y$223,$Y$237,$Y$251)&amp;"-"&amp;MAX($Y$153,$Y$167,$Y$181,$Y$195,$Y$209,$Y$223,$Y$237,$Y$251)</f>
        <v>4-8</v>
      </c>
    </row>
    <row r="168" spans="1:51">
      <c r="A168" s="457" t="str">
        <f>A165&amp;"-"&amp;B168</f>
        <v>Venus-Jupiter</v>
      </c>
      <c r="B168" s="495" t="s">
        <v>162</v>
      </c>
      <c r="C168" s="496">
        <f ca="1">JupiterHouse</f>
        <v>8</v>
      </c>
      <c r="D168" s="497" t="str">
        <f t="shared" ca="1" si="124"/>
        <v>*</v>
      </c>
      <c r="E168" s="497" t="str">
        <f t="shared" ca="1" si="124"/>
        <v>*</v>
      </c>
      <c r="F168" s="497">
        <f t="shared" ca="1" si="124"/>
        <v>1</v>
      </c>
      <c r="G168" s="497">
        <f t="shared" ca="1" si="124"/>
        <v>1</v>
      </c>
      <c r="H168" s="497">
        <f t="shared" ca="1" si="124"/>
        <v>1</v>
      </c>
      <c r="I168" s="497">
        <f t="shared" ca="1" si="124"/>
        <v>1</v>
      </c>
      <c r="J168" s="497" t="str">
        <f t="shared" ca="1" si="124"/>
        <v>*</v>
      </c>
      <c r="K168" s="497" t="str">
        <f t="shared" ca="1" si="124"/>
        <v>*</v>
      </c>
      <c r="L168" s="497" t="str">
        <f t="shared" ca="1" si="124"/>
        <v>*</v>
      </c>
      <c r="M168" s="497" t="str">
        <f t="shared" ca="1" si="124"/>
        <v>*</v>
      </c>
      <c r="N168" s="497" t="str">
        <f t="shared" ca="1" si="124"/>
        <v>*</v>
      </c>
      <c r="O168" s="497">
        <f t="shared" ca="1" si="124"/>
        <v>1</v>
      </c>
      <c r="P168" s="498">
        <f t="shared" ca="1" si="125"/>
        <v>5</v>
      </c>
      <c r="Q168" s="496">
        <f ca="1">IF($Y$82,D165,C168)</f>
        <v>8</v>
      </c>
      <c r="S168" s="1341"/>
      <c r="T168" s="1341"/>
      <c r="U168" s="1341"/>
      <c r="V168" s="1341"/>
      <c r="X168" s="495" t="s">
        <v>162</v>
      </c>
      <c r="Y168" s="499">
        <f t="shared" si="126"/>
        <v>5</v>
      </c>
      <c r="Z168" s="497" t="s">
        <v>181</v>
      </c>
      <c r="AA168" s="497" t="s">
        <v>181</v>
      </c>
      <c r="AB168" s="497" t="s">
        <v>181</v>
      </c>
      <c r="AC168" s="497" t="s">
        <v>181</v>
      </c>
      <c r="AD168" s="497">
        <v>1</v>
      </c>
      <c r="AE168" s="497" t="s">
        <v>181</v>
      </c>
      <c r="AF168" s="497" t="s">
        <v>181</v>
      </c>
      <c r="AG168" s="497">
        <v>1</v>
      </c>
      <c r="AH168" s="497">
        <v>1</v>
      </c>
      <c r="AI168" s="497">
        <v>1</v>
      </c>
      <c r="AJ168" s="497">
        <v>1</v>
      </c>
      <c r="AK168" s="497" t="s">
        <v>181</v>
      </c>
      <c r="AL168" s="500" t="str">
        <f t="shared" si="127"/>
        <v>*</v>
      </c>
      <c r="AM168" s="497" t="str">
        <f t="shared" si="127"/>
        <v>*</v>
      </c>
      <c r="AN168" s="497" t="str">
        <f t="shared" si="127"/>
        <v>*</v>
      </c>
      <c r="AO168" s="497" t="str">
        <f t="shared" si="127"/>
        <v>*</v>
      </c>
      <c r="AP168" s="497">
        <f t="shared" si="127"/>
        <v>1</v>
      </c>
      <c r="AQ168" s="497" t="str">
        <f t="shared" si="127"/>
        <v>*</v>
      </c>
      <c r="AR168" s="497" t="str">
        <f t="shared" si="127"/>
        <v>*</v>
      </c>
      <c r="AS168" s="497">
        <f t="shared" si="127"/>
        <v>1</v>
      </c>
      <c r="AT168" s="497">
        <f t="shared" si="127"/>
        <v>1</v>
      </c>
      <c r="AU168" s="497">
        <f t="shared" si="127"/>
        <v>1</v>
      </c>
      <c r="AV168" s="497">
        <f t="shared" si="127"/>
        <v>1</v>
      </c>
      <c r="AW168" s="501" t="str">
        <f t="shared" si="127"/>
        <v>*</v>
      </c>
      <c r="AX168" s="443" t="str">
        <f>MIN($Y$154,$Y$168,$Y$182,$Y$196,$Y$210,$Y$224,$Y$238,$Y$252)&amp;"-"&amp;MAX($Y$154,$Y$168,$Y$182,$Y$196,$Y$210,$Y$224,$Y$238,$Y$252)</f>
        <v>4-9</v>
      </c>
    </row>
    <row r="169" spans="1:51">
      <c r="A169" s="457" t="str">
        <f>A165&amp;"-"&amp;B169</f>
        <v>Venus-Mars</v>
      </c>
      <c r="B169" s="495" t="s">
        <v>160</v>
      </c>
      <c r="C169" s="496">
        <f ca="1">MarsHouse</f>
        <v>10</v>
      </c>
      <c r="D169" s="497">
        <f t="shared" ca="1" si="124"/>
        <v>1</v>
      </c>
      <c r="E169" s="497" t="str">
        <f t="shared" ca="1" si="124"/>
        <v>*</v>
      </c>
      <c r="F169" s="497">
        <f t="shared" ca="1" si="124"/>
        <v>1</v>
      </c>
      <c r="G169" s="497" t="str">
        <f t="shared" ca="1" si="124"/>
        <v>*</v>
      </c>
      <c r="H169" s="497" t="str">
        <f t="shared" ca="1" si="124"/>
        <v>*</v>
      </c>
      <c r="I169" s="497">
        <f t="shared" ca="1" si="124"/>
        <v>1</v>
      </c>
      <c r="J169" s="497" t="str">
        <f t="shared" ca="1" si="124"/>
        <v>*</v>
      </c>
      <c r="K169" s="497">
        <f t="shared" ca="1" si="124"/>
        <v>1</v>
      </c>
      <c r="L169" s="497">
        <f t="shared" ca="1" si="124"/>
        <v>1</v>
      </c>
      <c r="M169" s="497" t="str">
        <f t="shared" ca="1" si="124"/>
        <v>*</v>
      </c>
      <c r="N169" s="497" t="str">
        <f t="shared" ca="1" si="124"/>
        <v>*</v>
      </c>
      <c r="O169" s="497">
        <f t="shared" ca="1" si="124"/>
        <v>1</v>
      </c>
      <c r="P169" s="498">
        <f t="shared" ca="1" si="125"/>
        <v>6</v>
      </c>
      <c r="Q169" s="496">
        <f ca="1">IF($Y$82,D165,C169)</f>
        <v>10</v>
      </c>
      <c r="S169" s="1341">
        <f ca="1">N175</f>
        <v>3</v>
      </c>
      <c r="T169" s="1342" t="str">
        <f ca="1">C165&amp;"  Ashtakavarga  "&amp;P175</f>
        <v xml:space="preserve">  Ashtakavarga  52</v>
      </c>
      <c r="U169" s="1342"/>
      <c r="V169" s="1341">
        <f ca="1">G175</f>
        <v>4</v>
      </c>
      <c r="X169" s="495" t="s">
        <v>160</v>
      </c>
      <c r="Y169" s="499">
        <f t="shared" si="126"/>
        <v>6</v>
      </c>
      <c r="Z169" s="497" t="s">
        <v>181</v>
      </c>
      <c r="AA169" s="497" t="s">
        <v>181</v>
      </c>
      <c r="AB169" s="497">
        <v>1</v>
      </c>
      <c r="AC169" s="497">
        <v>1</v>
      </c>
      <c r="AD169" s="497" t="s">
        <v>181</v>
      </c>
      <c r="AE169" s="497">
        <v>1</v>
      </c>
      <c r="AF169" s="497" t="s">
        <v>181</v>
      </c>
      <c r="AG169" s="497" t="s">
        <v>181</v>
      </c>
      <c r="AH169" s="497">
        <v>1</v>
      </c>
      <c r="AI169" s="497" t="s">
        <v>181</v>
      </c>
      <c r="AJ169" s="497">
        <v>1</v>
      </c>
      <c r="AK169" s="497">
        <v>1</v>
      </c>
      <c r="AL169" s="500" t="str">
        <f t="shared" si="127"/>
        <v>*</v>
      </c>
      <c r="AM169" s="497" t="str">
        <f t="shared" si="127"/>
        <v>*</v>
      </c>
      <c r="AN169" s="497">
        <f t="shared" si="127"/>
        <v>1</v>
      </c>
      <c r="AO169" s="497">
        <f t="shared" si="127"/>
        <v>1</v>
      </c>
      <c r="AP169" s="497" t="str">
        <f t="shared" si="127"/>
        <v>*</v>
      </c>
      <c r="AQ169" s="497">
        <f t="shared" si="127"/>
        <v>1</v>
      </c>
      <c r="AR169" s="497" t="str">
        <f t="shared" si="127"/>
        <v>*</v>
      </c>
      <c r="AS169" s="497" t="str">
        <f t="shared" si="127"/>
        <v>*</v>
      </c>
      <c r="AT169" s="497">
        <f t="shared" si="127"/>
        <v>1</v>
      </c>
      <c r="AU169" s="497" t="str">
        <f t="shared" si="127"/>
        <v>*</v>
      </c>
      <c r="AV169" s="497">
        <f t="shared" si="127"/>
        <v>1</v>
      </c>
      <c r="AW169" s="501">
        <f t="shared" si="127"/>
        <v>1</v>
      </c>
      <c r="AX169" s="443" t="str">
        <f>MIN($Y$155,$Y$169,$Y$183,$Y$197,$Y$211,$Y$225,$Y$239,$Y$253)&amp;"-"&amp;MAX($Y$155,$Y$169,$Y$183,$Y$197,$Y$211,$Y$225,$Y$239,$Y$253)</f>
        <v>5-8</v>
      </c>
    </row>
    <row r="170" spans="1:51">
      <c r="A170" s="457" t="str">
        <f>A165&amp;"-"&amp;B170</f>
        <v>Venus-Sun</v>
      </c>
      <c r="B170" s="495" t="s">
        <v>158</v>
      </c>
      <c r="C170" s="496">
        <f ca="1">SunHouse</f>
        <v>4</v>
      </c>
      <c r="D170" s="497" t="str">
        <f t="shared" ca="1" si="124"/>
        <v>*</v>
      </c>
      <c r="E170" s="497">
        <f t="shared" ca="1" si="124"/>
        <v>1</v>
      </c>
      <c r="F170" s="497">
        <f t="shared" ca="1" si="124"/>
        <v>1</v>
      </c>
      <c r="G170" s="497" t="str">
        <f t="shared" ca="1" si="124"/>
        <v>*</v>
      </c>
      <c r="H170" s="497" t="str">
        <f t="shared" ca="1" si="124"/>
        <v>*</v>
      </c>
      <c r="I170" s="497" t="str">
        <f t="shared" ca="1" si="124"/>
        <v>*</v>
      </c>
      <c r="J170" s="497" t="str">
        <f t="shared" ca="1" si="124"/>
        <v>*</v>
      </c>
      <c r="K170" s="497" t="str">
        <f t="shared" ca="1" si="124"/>
        <v>*</v>
      </c>
      <c r="L170" s="497" t="str">
        <f t="shared" ca="1" si="124"/>
        <v>*</v>
      </c>
      <c r="M170" s="497" t="str">
        <f t="shared" ca="1" si="124"/>
        <v>*</v>
      </c>
      <c r="N170" s="497">
        <f t="shared" ca="1" si="124"/>
        <v>1</v>
      </c>
      <c r="O170" s="497" t="str">
        <f t="shared" ca="1" si="124"/>
        <v>*</v>
      </c>
      <c r="P170" s="498">
        <f t="shared" ca="1" si="125"/>
        <v>3</v>
      </c>
      <c r="Q170" s="496">
        <f ca="1">IF($Y$82,D165,C170)</f>
        <v>4</v>
      </c>
      <c r="S170" s="1341"/>
      <c r="T170" s="1341"/>
      <c r="U170" s="1342"/>
      <c r="V170" s="1341"/>
      <c r="W170" s="443" t="s">
        <v>780</v>
      </c>
      <c r="X170" s="495" t="s">
        <v>158</v>
      </c>
      <c r="Y170" s="499">
        <f t="shared" si="126"/>
        <v>3</v>
      </c>
      <c r="Z170" s="497" t="s">
        <v>181</v>
      </c>
      <c r="AA170" s="497" t="s">
        <v>181</v>
      </c>
      <c r="AB170" s="497" t="s">
        <v>181</v>
      </c>
      <c r="AC170" s="497" t="s">
        <v>181</v>
      </c>
      <c r="AD170" s="497" t="s">
        <v>181</v>
      </c>
      <c r="AE170" s="497" t="s">
        <v>181</v>
      </c>
      <c r="AF170" s="497" t="s">
        <v>181</v>
      </c>
      <c r="AG170" s="497">
        <v>1</v>
      </c>
      <c r="AH170" s="497" t="s">
        <v>181</v>
      </c>
      <c r="AI170" s="497" t="s">
        <v>181</v>
      </c>
      <c r="AJ170" s="497">
        <v>1</v>
      </c>
      <c r="AK170" s="497">
        <v>1</v>
      </c>
      <c r="AL170" s="500" t="str">
        <f t="shared" si="127"/>
        <v>*</v>
      </c>
      <c r="AM170" s="497" t="str">
        <f t="shared" si="127"/>
        <v>*</v>
      </c>
      <c r="AN170" s="497" t="str">
        <f t="shared" si="127"/>
        <v>*</v>
      </c>
      <c r="AO170" s="497" t="str">
        <f t="shared" si="127"/>
        <v>*</v>
      </c>
      <c r="AP170" s="497" t="str">
        <f t="shared" si="127"/>
        <v>*</v>
      </c>
      <c r="AQ170" s="497" t="str">
        <f t="shared" si="127"/>
        <v>*</v>
      </c>
      <c r="AR170" s="497" t="str">
        <f t="shared" si="127"/>
        <v>*</v>
      </c>
      <c r="AS170" s="497">
        <f t="shared" si="127"/>
        <v>1</v>
      </c>
      <c r="AT170" s="497" t="str">
        <f t="shared" si="127"/>
        <v>*</v>
      </c>
      <c r="AU170" s="497" t="str">
        <f t="shared" si="127"/>
        <v>*</v>
      </c>
      <c r="AV170" s="497">
        <f t="shared" si="127"/>
        <v>1</v>
      </c>
      <c r="AW170" s="501">
        <f t="shared" si="127"/>
        <v>1</v>
      </c>
      <c r="AX170" s="443" t="str">
        <f>MIN($Y$156,$Y$170,$Y$184,$Y$198,$Y$212,$Y$226,$Y$240,$Y$254)&amp;"-"&amp;MAX($Y$156,$Y$170,$Y$184,$Y$198,$Y$212,$Y$226,$Y$240,$Y$254)</f>
        <v>3-9</v>
      </c>
      <c r="AY170" s="443" t="s">
        <v>780</v>
      </c>
    </row>
    <row r="171" spans="1:51">
      <c r="A171" s="457" t="str">
        <f>A165&amp;"-"&amp;B171</f>
        <v>Venus-Venus</v>
      </c>
      <c r="B171" s="495" t="s">
        <v>163</v>
      </c>
      <c r="C171" s="496">
        <f ca="1">VenusHouse</f>
        <v>3</v>
      </c>
      <c r="D171" s="497">
        <f t="shared" ca="1" si="124"/>
        <v>1</v>
      </c>
      <c r="E171" s="497" t="str">
        <f t="shared" ca="1" si="124"/>
        <v>*</v>
      </c>
      <c r="F171" s="497">
        <f t="shared" ca="1" si="124"/>
        <v>1</v>
      </c>
      <c r="G171" s="497">
        <f t="shared" ca="1" si="124"/>
        <v>1</v>
      </c>
      <c r="H171" s="497">
        <f t="shared" ca="1" si="124"/>
        <v>1</v>
      </c>
      <c r="I171" s="497">
        <f t="shared" ca="1" si="124"/>
        <v>1</v>
      </c>
      <c r="J171" s="497">
        <f t="shared" ca="1" si="124"/>
        <v>1</v>
      </c>
      <c r="K171" s="497" t="str">
        <f t="shared" ca="1" si="124"/>
        <v>*</v>
      </c>
      <c r="L171" s="497" t="str">
        <f t="shared" ca="1" si="124"/>
        <v>*</v>
      </c>
      <c r="M171" s="497">
        <f t="shared" ca="1" si="124"/>
        <v>1</v>
      </c>
      <c r="N171" s="497">
        <f t="shared" ca="1" si="124"/>
        <v>1</v>
      </c>
      <c r="O171" s="497">
        <f t="shared" ca="1" si="124"/>
        <v>1</v>
      </c>
      <c r="P171" s="498">
        <f t="shared" ca="1" si="125"/>
        <v>9</v>
      </c>
      <c r="Q171" s="496">
        <f ca="1">IF($Y$82,D165,C171)</f>
        <v>3</v>
      </c>
      <c r="S171" s="1341"/>
      <c r="T171" s="1341"/>
      <c r="U171" s="1342"/>
      <c r="V171" s="1341"/>
      <c r="W171" s="443" t="s">
        <v>781</v>
      </c>
      <c r="X171" s="495" t="s">
        <v>163</v>
      </c>
      <c r="Y171" s="499">
        <f t="shared" si="126"/>
        <v>9</v>
      </c>
      <c r="Z171" s="497">
        <v>1</v>
      </c>
      <c r="AA171" s="497">
        <v>1</v>
      </c>
      <c r="AB171" s="497">
        <v>1</v>
      </c>
      <c r="AC171" s="497">
        <v>1</v>
      </c>
      <c r="AD171" s="497">
        <v>1</v>
      </c>
      <c r="AE171" s="497" t="s">
        <v>181</v>
      </c>
      <c r="AF171" s="497" t="s">
        <v>181</v>
      </c>
      <c r="AG171" s="497">
        <v>1</v>
      </c>
      <c r="AH171" s="497">
        <v>1</v>
      </c>
      <c r="AI171" s="497">
        <v>1</v>
      </c>
      <c r="AJ171" s="497">
        <v>1</v>
      </c>
      <c r="AK171" s="497" t="s">
        <v>181</v>
      </c>
      <c r="AL171" s="500">
        <f t="shared" si="127"/>
        <v>1</v>
      </c>
      <c r="AM171" s="497">
        <f t="shared" si="127"/>
        <v>1</v>
      </c>
      <c r="AN171" s="497">
        <f t="shared" si="127"/>
        <v>1</v>
      </c>
      <c r="AO171" s="497">
        <f t="shared" si="127"/>
        <v>1</v>
      </c>
      <c r="AP171" s="497">
        <f t="shared" si="127"/>
        <v>1</v>
      </c>
      <c r="AQ171" s="497" t="str">
        <f t="shared" si="127"/>
        <v>*</v>
      </c>
      <c r="AR171" s="497" t="str">
        <f t="shared" si="127"/>
        <v>*</v>
      </c>
      <c r="AS171" s="497">
        <f t="shared" si="127"/>
        <v>1</v>
      </c>
      <c r="AT171" s="497">
        <f t="shared" si="127"/>
        <v>1</v>
      </c>
      <c r="AU171" s="497">
        <f t="shared" si="127"/>
        <v>1</v>
      </c>
      <c r="AV171" s="497">
        <f t="shared" si="127"/>
        <v>1</v>
      </c>
      <c r="AW171" s="501" t="str">
        <f t="shared" si="127"/>
        <v>*</v>
      </c>
      <c r="AX171" s="443" t="str">
        <f>MIN($Y$157,$Y$171,$Y$185,$Y$199,$Y$213,$Y$227,$Y$241,$Y$255)&amp;"-"&amp;MAX($Y$157,$Y$171,$Y$185,$Y$199,$Y$213,$Y$227,$Y$241,$Y$255)</f>
        <v>3-9</v>
      </c>
      <c r="AY171" s="443" t="s">
        <v>781</v>
      </c>
    </row>
    <row r="172" spans="1:51">
      <c r="A172" s="457" t="str">
        <f>A165&amp;"-"&amp;B172</f>
        <v>Venus-Mercury</v>
      </c>
      <c r="B172" s="495" t="s">
        <v>161</v>
      </c>
      <c r="C172" s="496">
        <f ca="1">MercuryHouse</f>
        <v>4</v>
      </c>
      <c r="D172" s="497" t="str">
        <f t="shared" ca="1" si="124"/>
        <v>*</v>
      </c>
      <c r="E172" s="497">
        <f t="shared" ca="1" si="124"/>
        <v>1</v>
      </c>
      <c r="F172" s="497" t="str">
        <f t="shared" ca="1" si="124"/>
        <v>*</v>
      </c>
      <c r="G172" s="497" t="str">
        <f t="shared" ca="1" si="124"/>
        <v>*</v>
      </c>
      <c r="H172" s="497" t="str">
        <f t="shared" ca="1" si="124"/>
        <v>*</v>
      </c>
      <c r="I172" s="497">
        <f t="shared" ca="1" si="124"/>
        <v>1</v>
      </c>
      <c r="J172" s="497" t="str">
        <f t="shared" ca="1" si="124"/>
        <v>*</v>
      </c>
      <c r="K172" s="497">
        <f t="shared" ca="1" si="124"/>
        <v>1</v>
      </c>
      <c r="L172" s="497">
        <f t="shared" ca="1" si="124"/>
        <v>1</v>
      </c>
      <c r="M172" s="497" t="str">
        <f t="shared" ca="1" si="124"/>
        <v>*</v>
      </c>
      <c r="N172" s="497" t="str">
        <f t="shared" ca="1" si="124"/>
        <v>*</v>
      </c>
      <c r="O172" s="497">
        <f t="shared" ca="1" si="124"/>
        <v>1</v>
      </c>
      <c r="P172" s="498">
        <f t="shared" ca="1" si="125"/>
        <v>5</v>
      </c>
      <c r="Q172" s="496">
        <f ca="1">IF($Y$82,D165,C172)</f>
        <v>4</v>
      </c>
      <c r="S172" s="1341">
        <f ca="1">M175</f>
        <v>3</v>
      </c>
      <c r="T172" s="1342"/>
      <c r="U172" s="1342"/>
      <c r="V172" s="1341">
        <f ca="1">H175</f>
        <v>5</v>
      </c>
      <c r="X172" s="495" t="s">
        <v>161</v>
      </c>
      <c r="Y172" s="499">
        <f t="shared" si="126"/>
        <v>5</v>
      </c>
      <c r="Z172" s="497" t="s">
        <v>181</v>
      </c>
      <c r="AA172" s="497" t="s">
        <v>181</v>
      </c>
      <c r="AB172" s="497">
        <v>1</v>
      </c>
      <c r="AC172" s="497" t="s">
        <v>181</v>
      </c>
      <c r="AD172" s="497">
        <v>1</v>
      </c>
      <c r="AE172" s="497">
        <v>1</v>
      </c>
      <c r="AF172" s="497" t="s">
        <v>181</v>
      </c>
      <c r="AG172" s="497" t="s">
        <v>181</v>
      </c>
      <c r="AH172" s="497">
        <v>1</v>
      </c>
      <c r="AI172" s="497" t="s">
        <v>181</v>
      </c>
      <c r="AJ172" s="497">
        <v>1</v>
      </c>
      <c r="AK172" s="497" t="s">
        <v>181</v>
      </c>
      <c r="AL172" s="500" t="str">
        <f t="shared" si="127"/>
        <v>*</v>
      </c>
      <c r="AM172" s="497" t="str">
        <f t="shared" si="127"/>
        <v>*</v>
      </c>
      <c r="AN172" s="497">
        <f t="shared" si="127"/>
        <v>1</v>
      </c>
      <c r="AO172" s="497" t="str">
        <f t="shared" si="127"/>
        <v>*</v>
      </c>
      <c r="AP172" s="497">
        <f t="shared" si="127"/>
        <v>1</v>
      </c>
      <c r="AQ172" s="497">
        <f t="shared" si="127"/>
        <v>1</v>
      </c>
      <c r="AR172" s="497" t="str">
        <f t="shared" si="127"/>
        <v>*</v>
      </c>
      <c r="AS172" s="497" t="str">
        <f t="shared" si="127"/>
        <v>*</v>
      </c>
      <c r="AT172" s="497">
        <f t="shared" si="127"/>
        <v>1</v>
      </c>
      <c r="AU172" s="497" t="str">
        <f t="shared" si="127"/>
        <v>*</v>
      </c>
      <c r="AV172" s="497">
        <f t="shared" si="127"/>
        <v>1</v>
      </c>
      <c r="AW172" s="501" t="str">
        <f t="shared" si="127"/>
        <v>*</v>
      </c>
      <c r="AX172" s="443" t="str">
        <f>MIN($Y$158,$Y$172,$Y$186,$Y$200,$Y$214,$Y$228,$Y$242,$Y$256)&amp;"-"&amp;MAX($Y$158,$Y$172,$Y$186,$Y$200,$Y$214,$Y$228,$Y$242,$Y$256)</f>
        <v>4-8</v>
      </c>
    </row>
    <row r="173" spans="1:51">
      <c r="A173" s="457" t="str">
        <f>A165&amp;"-"&amp;B173</f>
        <v>Venus-Moon</v>
      </c>
      <c r="B173" s="495" t="s">
        <v>159</v>
      </c>
      <c r="C173" s="496">
        <f ca="1">MoonHouse</f>
        <v>2</v>
      </c>
      <c r="D173" s="497">
        <f t="shared" ca="1" si="124"/>
        <v>1</v>
      </c>
      <c r="E173" s="497">
        <f t="shared" ca="1" si="124"/>
        <v>1</v>
      </c>
      <c r="F173" s="497">
        <f t="shared" ca="1" si="124"/>
        <v>1</v>
      </c>
      <c r="G173" s="497">
        <f t="shared" ca="1" si="124"/>
        <v>1</v>
      </c>
      <c r="H173" s="497">
        <f t="shared" ca="1" si="124"/>
        <v>1</v>
      </c>
      <c r="I173" s="497">
        <f t="shared" ca="1" si="124"/>
        <v>1</v>
      </c>
      <c r="J173" s="497" t="str">
        <f t="shared" ca="1" si="124"/>
        <v>*</v>
      </c>
      <c r="K173" s="497" t="str">
        <f t="shared" ca="1" si="124"/>
        <v>*</v>
      </c>
      <c r="L173" s="497">
        <f t="shared" ca="1" si="124"/>
        <v>1</v>
      </c>
      <c r="M173" s="497">
        <f t="shared" ca="1" si="124"/>
        <v>1</v>
      </c>
      <c r="N173" s="497" t="str">
        <f t="shared" ca="1" si="124"/>
        <v>*</v>
      </c>
      <c r="O173" s="497">
        <f t="shared" ca="1" si="124"/>
        <v>1</v>
      </c>
      <c r="P173" s="498">
        <f t="shared" ca="1" si="125"/>
        <v>9</v>
      </c>
      <c r="Q173" s="496">
        <f ca="1">IF($Y$82,D165,C173)</f>
        <v>2</v>
      </c>
      <c r="S173" s="1341"/>
      <c r="T173" s="1341"/>
      <c r="U173" s="1342"/>
      <c r="V173" s="1341"/>
      <c r="W173" s="443" t="s">
        <v>781</v>
      </c>
      <c r="X173" s="495" t="s">
        <v>159</v>
      </c>
      <c r="Y173" s="499">
        <f t="shared" si="126"/>
        <v>9</v>
      </c>
      <c r="Z173" s="497">
        <v>1</v>
      </c>
      <c r="AA173" s="497">
        <v>1</v>
      </c>
      <c r="AB173" s="497">
        <v>1</v>
      </c>
      <c r="AC173" s="497">
        <v>1</v>
      </c>
      <c r="AD173" s="497">
        <v>1</v>
      </c>
      <c r="AE173" s="497" t="s">
        <v>181</v>
      </c>
      <c r="AF173" s="497" t="s">
        <v>181</v>
      </c>
      <c r="AG173" s="497">
        <v>1</v>
      </c>
      <c r="AH173" s="497">
        <v>1</v>
      </c>
      <c r="AI173" s="497" t="s">
        <v>181</v>
      </c>
      <c r="AJ173" s="497">
        <v>1</v>
      </c>
      <c r="AK173" s="497">
        <v>1</v>
      </c>
      <c r="AL173" s="500">
        <f t="shared" si="127"/>
        <v>1</v>
      </c>
      <c r="AM173" s="497">
        <f t="shared" si="127"/>
        <v>1</v>
      </c>
      <c r="AN173" s="497">
        <f t="shared" si="127"/>
        <v>1</v>
      </c>
      <c r="AO173" s="497">
        <f t="shared" si="127"/>
        <v>1</v>
      </c>
      <c r="AP173" s="497">
        <f t="shared" si="127"/>
        <v>1</v>
      </c>
      <c r="AQ173" s="497" t="str">
        <f t="shared" si="127"/>
        <v>*</v>
      </c>
      <c r="AR173" s="497" t="str">
        <f t="shared" si="127"/>
        <v>*</v>
      </c>
      <c r="AS173" s="497">
        <f t="shared" si="127"/>
        <v>1</v>
      </c>
      <c r="AT173" s="497">
        <f t="shared" si="127"/>
        <v>1</v>
      </c>
      <c r="AU173" s="497" t="str">
        <f t="shared" si="127"/>
        <v>*</v>
      </c>
      <c r="AV173" s="497">
        <f t="shared" si="127"/>
        <v>1</v>
      </c>
      <c r="AW173" s="501">
        <f t="shared" si="127"/>
        <v>1</v>
      </c>
      <c r="AX173" s="443" t="str">
        <f>MIN($Y$159,$Y$173,$Y$187,$Y$201,$Y$215,$Y$229,$Y$243,$Y$257)&amp;"-"&amp;MAX($Y$159,$Y$173,$Y$187,$Y$201,$Y$215,$Y$229,$Y$243,$Y$257)</f>
        <v>3-9</v>
      </c>
      <c r="AY173" s="443" t="s">
        <v>781</v>
      </c>
    </row>
    <row r="174" spans="1:51">
      <c r="A174" s="457" t="str">
        <f>A165&amp;"-"&amp;B174</f>
        <v>Venus-Lagna</v>
      </c>
      <c r="B174" s="495" t="s">
        <v>319</v>
      </c>
      <c r="C174" s="496">
        <f ca="1">Lagnahouse</f>
        <v>5</v>
      </c>
      <c r="D174" s="497">
        <f t="shared" ca="1" si="124"/>
        <v>1</v>
      </c>
      <c r="E174" s="497" t="str">
        <f t="shared" ca="1" si="124"/>
        <v>*</v>
      </c>
      <c r="F174" s="497">
        <f t="shared" ca="1" si="124"/>
        <v>1</v>
      </c>
      <c r="G174" s="497" t="str">
        <f t="shared" ca="1" si="124"/>
        <v>*</v>
      </c>
      <c r="H174" s="497">
        <f t="shared" ca="1" si="124"/>
        <v>1</v>
      </c>
      <c r="I174" s="497">
        <f t="shared" ca="1" si="124"/>
        <v>1</v>
      </c>
      <c r="J174" s="497">
        <f t="shared" ca="1" si="124"/>
        <v>1</v>
      </c>
      <c r="K174" s="497">
        <f t="shared" ca="1" si="124"/>
        <v>1</v>
      </c>
      <c r="L174" s="497">
        <f t="shared" ca="1" si="124"/>
        <v>1</v>
      </c>
      <c r="M174" s="497" t="str">
        <f t="shared" ca="1" si="124"/>
        <v>*</v>
      </c>
      <c r="N174" s="497" t="str">
        <f t="shared" ca="1" si="124"/>
        <v>*</v>
      </c>
      <c r="O174" s="497">
        <f t="shared" ca="1" si="124"/>
        <v>1</v>
      </c>
      <c r="P174" s="498">
        <f t="shared" ca="1" si="125"/>
        <v>8</v>
      </c>
      <c r="Q174" s="496">
        <f ca="1">IF($Y$82,D165,C174)</f>
        <v>5</v>
      </c>
      <c r="S174" s="1341"/>
      <c r="T174" s="1341"/>
      <c r="U174" s="1342"/>
      <c r="V174" s="1341"/>
      <c r="X174" s="495" t="s">
        <v>319</v>
      </c>
      <c r="Y174" s="499">
        <f t="shared" si="126"/>
        <v>8</v>
      </c>
      <c r="Z174" s="497">
        <v>1</v>
      </c>
      <c r="AA174" s="497">
        <v>1</v>
      </c>
      <c r="AB174" s="497">
        <v>1</v>
      </c>
      <c r="AC174" s="497">
        <v>1</v>
      </c>
      <c r="AD174" s="497">
        <v>1</v>
      </c>
      <c r="AE174" s="497" t="s">
        <v>181</v>
      </c>
      <c r="AF174" s="497" t="s">
        <v>181</v>
      </c>
      <c r="AG174" s="497">
        <v>1</v>
      </c>
      <c r="AH174" s="497">
        <v>1</v>
      </c>
      <c r="AI174" s="497" t="s">
        <v>181</v>
      </c>
      <c r="AJ174" s="497">
        <v>1</v>
      </c>
      <c r="AK174" s="510" t="s">
        <v>181</v>
      </c>
      <c r="AL174" s="500">
        <f t="shared" si="127"/>
        <v>1</v>
      </c>
      <c r="AM174" s="497">
        <f t="shared" si="127"/>
        <v>1</v>
      </c>
      <c r="AN174" s="497">
        <f t="shared" si="127"/>
        <v>1</v>
      </c>
      <c r="AO174" s="497">
        <f t="shared" si="127"/>
        <v>1</v>
      </c>
      <c r="AP174" s="497">
        <f t="shared" si="127"/>
        <v>1</v>
      </c>
      <c r="AQ174" s="497" t="str">
        <f t="shared" si="127"/>
        <v>*</v>
      </c>
      <c r="AR174" s="497" t="str">
        <f t="shared" si="127"/>
        <v>*</v>
      </c>
      <c r="AS174" s="497">
        <f t="shared" si="127"/>
        <v>1</v>
      </c>
      <c r="AT174" s="497">
        <f t="shared" si="127"/>
        <v>1</v>
      </c>
      <c r="AU174" s="497" t="str">
        <f t="shared" si="127"/>
        <v>*</v>
      </c>
      <c r="AV174" s="497">
        <f t="shared" si="127"/>
        <v>1</v>
      </c>
      <c r="AW174" s="501" t="str">
        <f t="shared" si="127"/>
        <v>*</v>
      </c>
      <c r="AX174" s="443" t="str">
        <f>MIN($Y$160,$Y$174,$Y$188,$Y$202,$Y$216,$Y$230,$Y$244,$Y$258)&amp;"-"&amp;MAX($Y$160,$Y$174,$Y$188,$Y$202,$Y$216,$Y$230,$Y$244,$Y$258)</f>
        <v>4-9</v>
      </c>
    </row>
    <row r="175" spans="1:51">
      <c r="A175" s="457" t="str">
        <f>A165&amp;"-"&amp;B175</f>
        <v>Venus-Venus</v>
      </c>
      <c r="B175" s="502" t="str">
        <f>B165</f>
        <v>Venus</v>
      </c>
      <c r="C175" s="503"/>
      <c r="D175" s="503">
        <f t="shared" ref="D175:O175" ca="1" si="128">SUM(D167:D174)</f>
        <v>4</v>
      </c>
      <c r="E175" s="503">
        <f t="shared" ca="1" si="128"/>
        <v>3</v>
      </c>
      <c r="F175" s="503">
        <f t="shared" ca="1" si="128"/>
        <v>6</v>
      </c>
      <c r="G175" s="503">
        <f t="shared" ca="1" si="128"/>
        <v>4</v>
      </c>
      <c r="H175" s="503">
        <f t="shared" ca="1" si="128"/>
        <v>5</v>
      </c>
      <c r="I175" s="503">
        <f t="shared" ca="1" si="128"/>
        <v>7</v>
      </c>
      <c r="J175" s="503">
        <f t="shared" ca="1" si="128"/>
        <v>2</v>
      </c>
      <c r="K175" s="503">
        <f t="shared" ca="1" si="128"/>
        <v>3</v>
      </c>
      <c r="L175" s="503">
        <f t="shared" ca="1" si="128"/>
        <v>5</v>
      </c>
      <c r="M175" s="503">
        <f t="shared" ca="1" si="128"/>
        <v>3</v>
      </c>
      <c r="N175" s="503">
        <f t="shared" ca="1" si="128"/>
        <v>3</v>
      </c>
      <c r="O175" s="503">
        <f t="shared" ca="1" si="128"/>
        <v>7</v>
      </c>
      <c r="P175" s="504">
        <f t="shared" ca="1" si="125"/>
        <v>52</v>
      </c>
      <c r="Q175" s="504"/>
      <c r="S175" s="1341">
        <f ca="1">L175</f>
        <v>5</v>
      </c>
      <c r="T175" s="1341">
        <f ca="1">K175</f>
        <v>3</v>
      </c>
      <c r="U175" s="1341">
        <f ca="1">J175</f>
        <v>2</v>
      </c>
      <c r="V175" s="1341">
        <f ca="1">I175</f>
        <v>7</v>
      </c>
      <c r="X175" s="502"/>
      <c r="Y175" s="505">
        <f t="shared" si="126"/>
        <v>52</v>
      </c>
      <c r="Z175" s="506">
        <f t="shared" ref="Z175:AW175" si="129">SUM(Z167:Z174)</f>
        <v>3</v>
      </c>
      <c r="AA175" s="506">
        <f t="shared" si="129"/>
        <v>3</v>
      </c>
      <c r="AB175" s="506">
        <f t="shared" si="129"/>
        <v>6</v>
      </c>
      <c r="AC175" s="506">
        <f t="shared" si="129"/>
        <v>5</v>
      </c>
      <c r="AD175" s="506">
        <f t="shared" si="129"/>
        <v>6</v>
      </c>
      <c r="AE175" s="506">
        <f t="shared" si="129"/>
        <v>2</v>
      </c>
      <c r="AF175" s="506">
        <f t="shared" si="129"/>
        <v>0</v>
      </c>
      <c r="AG175" s="506">
        <f t="shared" si="129"/>
        <v>6</v>
      </c>
      <c r="AH175" s="506">
        <f t="shared" si="129"/>
        <v>7</v>
      </c>
      <c r="AI175" s="506">
        <f t="shared" si="129"/>
        <v>3</v>
      </c>
      <c r="AJ175" s="506">
        <f t="shared" si="129"/>
        <v>8</v>
      </c>
      <c r="AK175" s="506">
        <f t="shared" si="129"/>
        <v>3</v>
      </c>
      <c r="AL175" s="507">
        <f t="shared" si="129"/>
        <v>3</v>
      </c>
      <c r="AM175" s="508">
        <f t="shared" si="129"/>
        <v>3</v>
      </c>
      <c r="AN175" s="508">
        <f t="shared" si="129"/>
        <v>6</v>
      </c>
      <c r="AO175" s="508">
        <f t="shared" si="129"/>
        <v>5</v>
      </c>
      <c r="AP175" s="508">
        <f t="shared" si="129"/>
        <v>6</v>
      </c>
      <c r="AQ175" s="508">
        <f t="shared" si="129"/>
        <v>2</v>
      </c>
      <c r="AR175" s="508">
        <f t="shared" si="129"/>
        <v>0</v>
      </c>
      <c r="AS175" s="508">
        <f t="shared" si="129"/>
        <v>6</v>
      </c>
      <c r="AT175" s="508">
        <f t="shared" si="129"/>
        <v>7</v>
      </c>
      <c r="AU175" s="508">
        <f t="shared" si="129"/>
        <v>3</v>
      </c>
      <c r="AV175" s="508">
        <f t="shared" si="129"/>
        <v>8</v>
      </c>
      <c r="AW175" s="509">
        <f t="shared" si="129"/>
        <v>3</v>
      </c>
    </row>
    <row r="176" spans="1:51">
      <c r="A176" s="457" t="str">
        <f>A165&amp;"-"&amp;B176</f>
        <v>Venus-</v>
      </c>
      <c r="S176" s="1341"/>
      <c r="T176" s="1341"/>
      <c r="U176" s="1341"/>
      <c r="V176" s="1341"/>
      <c r="X176" s="443" t="s">
        <v>782</v>
      </c>
      <c r="AL176" s="443"/>
    </row>
    <row r="177" spans="1:51">
      <c r="A177" s="457" t="str">
        <f>A165&amp;"-"&amp;B177</f>
        <v>Venus-</v>
      </c>
      <c r="S177" s="1341"/>
      <c r="T177" s="1341"/>
      <c r="U177" s="1341"/>
      <c r="V177" s="1341"/>
    </row>
    <row r="178" spans="1:51">
      <c r="A178" s="457" t="str">
        <f>A165&amp;"-"&amp;B178</f>
        <v>Venus------</v>
      </c>
      <c r="B178" s="443" t="s">
        <v>776</v>
      </c>
    </row>
    <row r="179" spans="1:51">
      <c r="A179" s="457" t="str">
        <f>B179</f>
        <v>Jupiter</v>
      </c>
      <c r="B179" s="1346" t="str">
        <f>X179</f>
        <v>Jupiter</v>
      </c>
      <c r="C179" s="1346"/>
      <c r="D179" s="443">
        <f ca="1">INDIRECT(B179&amp;"house")</f>
        <v>8</v>
      </c>
      <c r="S179" s="458"/>
      <c r="T179" s="458"/>
      <c r="U179" s="458"/>
      <c r="V179" s="458"/>
      <c r="X179" s="181" t="s">
        <v>162</v>
      </c>
      <c r="Y179" s="443" t="str">
        <f>MIN(Y181:Y188)&amp;"-"&amp;MAX(Y181:Y188)</f>
        <v>4-9</v>
      </c>
      <c r="Z179" s="443" t="str">
        <f>$Z$83 &amp;  X179</f>
        <v>From Graha Good and Bad Transit of Jupiter</v>
      </c>
      <c r="AL179" s="443"/>
      <c r="AW179" s="443"/>
      <c r="AX179" s="443" t="s">
        <v>777</v>
      </c>
    </row>
    <row r="180" spans="1:51">
      <c r="A180" s="457" t="str">
        <f>A179&amp;"-"&amp;B180</f>
        <v>Jupiter-</v>
      </c>
      <c r="B180" s="487"/>
      <c r="C180" s="488" t="s">
        <v>746</v>
      </c>
      <c r="D180" s="489">
        <v>1</v>
      </c>
      <c r="E180" s="489">
        <v>2</v>
      </c>
      <c r="F180" s="489">
        <v>3</v>
      </c>
      <c r="G180" s="489">
        <v>4</v>
      </c>
      <c r="H180" s="489">
        <v>5</v>
      </c>
      <c r="I180" s="489">
        <v>6</v>
      </c>
      <c r="J180" s="489">
        <v>7</v>
      </c>
      <c r="K180" s="489">
        <v>8</v>
      </c>
      <c r="L180" s="489">
        <v>9</v>
      </c>
      <c r="M180" s="489">
        <v>10</v>
      </c>
      <c r="N180" s="489">
        <v>11</v>
      </c>
      <c r="O180" s="489">
        <v>12</v>
      </c>
      <c r="P180" s="490"/>
      <c r="Q180" s="490"/>
      <c r="S180" s="1341">
        <f ca="1">O189</f>
        <v>4</v>
      </c>
      <c r="T180" s="1341">
        <f ca="1">D189</f>
        <v>6</v>
      </c>
      <c r="U180" s="1341">
        <f ca="1">E189</f>
        <v>4</v>
      </c>
      <c r="V180" s="1341">
        <f ca="1">F189</f>
        <v>3</v>
      </c>
      <c r="X180" s="488" t="s">
        <v>778</v>
      </c>
      <c r="Y180" s="491" t="s">
        <v>779</v>
      </c>
      <c r="Z180" s="492">
        <v>1</v>
      </c>
      <c r="AA180" s="492">
        <v>2</v>
      </c>
      <c r="AB180" s="492">
        <v>3</v>
      </c>
      <c r="AC180" s="492">
        <v>4</v>
      </c>
      <c r="AD180" s="492">
        <v>5</v>
      </c>
      <c r="AE180" s="492">
        <v>6</v>
      </c>
      <c r="AF180" s="492">
        <v>7</v>
      </c>
      <c r="AG180" s="492">
        <v>8</v>
      </c>
      <c r="AH180" s="492">
        <v>9</v>
      </c>
      <c r="AI180" s="492">
        <v>10</v>
      </c>
      <c r="AJ180" s="492">
        <v>11</v>
      </c>
      <c r="AK180" s="492">
        <v>12</v>
      </c>
      <c r="AL180" s="493">
        <v>1</v>
      </c>
      <c r="AM180" s="489">
        <v>2</v>
      </c>
      <c r="AN180" s="489">
        <v>3</v>
      </c>
      <c r="AO180" s="489">
        <v>4</v>
      </c>
      <c r="AP180" s="489">
        <v>5</v>
      </c>
      <c r="AQ180" s="489">
        <v>6</v>
      </c>
      <c r="AR180" s="489">
        <v>7</v>
      </c>
      <c r="AS180" s="489">
        <v>8</v>
      </c>
      <c r="AT180" s="489">
        <v>9</v>
      </c>
      <c r="AU180" s="489">
        <v>10</v>
      </c>
      <c r="AV180" s="489">
        <v>11</v>
      </c>
      <c r="AW180" s="494">
        <v>12</v>
      </c>
    </row>
    <row r="181" spans="1:51">
      <c r="A181" s="457" t="str">
        <f>A179&amp;"-"&amp;B181</f>
        <v>Jupiter-Saturn</v>
      </c>
      <c r="B181" s="495" t="s">
        <v>164</v>
      </c>
      <c r="C181" s="496">
        <f ca="1">SaturnHouse</f>
        <v>2</v>
      </c>
      <c r="D181" s="497">
        <f t="shared" ref="D181:O188" ca="1" si="130">INDEX($Z181:$AW181,,12+D$152-$Q181+1)</f>
        <v>1</v>
      </c>
      <c r="E181" s="497" t="str">
        <f t="shared" ca="1" si="130"/>
        <v>*</v>
      </c>
      <c r="F181" s="497" t="str">
        <f t="shared" ca="1" si="130"/>
        <v>*</v>
      </c>
      <c r="G181" s="497">
        <f t="shared" ca="1" si="130"/>
        <v>1</v>
      </c>
      <c r="H181" s="497" t="str">
        <f t="shared" ca="1" si="130"/>
        <v>*</v>
      </c>
      <c r="I181" s="497">
        <f t="shared" ca="1" si="130"/>
        <v>1</v>
      </c>
      <c r="J181" s="497">
        <f t="shared" ca="1" si="130"/>
        <v>1</v>
      </c>
      <c r="K181" s="497" t="str">
        <f t="shared" ca="1" si="130"/>
        <v>*</v>
      </c>
      <c r="L181" s="497" t="str">
        <f t="shared" ca="1" si="130"/>
        <v>*</v>
      </c>
      <c r="M181" s="497" t="str">
        <f t="shared" ca="1" si="130"/>
        <v>*</v>
      </c>
      <c r="N181" s="497" t="str">
        <f t="shared" ca="1" si="130"/>
        <v>*</v>
      </c>
      <c r="O181" s="497" t="str">
        <f t="shared" ca="1" si="130"/>
        <v>*</v>
      </c>
      <c r="P181" s="498">
        <f t="shared" ref="P181:P189" ca="1" si="131">SUM(D181:O181)</f>
        <v>4</v>
      </c>
      <c r="Q181" s="496">
        <f ca="1">IF($Y$82,D179,C181)</f>
        <v>2</v>
      </c>
      <c r="S181" s="1341"/>
      <c r="T181" s="1341"/>
      <c r="U181" s="1341"/>
      <c r="V181" s="1341"/>
      <c r="W181" s="443" t="s">
        <v>780</v>
      </c>
      <c r="X181" s="495" t="s">
        <v>164</v>
      </c>
      <c r="Y181" s="499">
        <f t="shared" ref="Y181:Y189" si="132">SUM(Z181:AK181)</f>
        <v>4</v>
      </c>
      <c r="Z181" s="497" t="s">
        <v>181</v>
      </c>
      <c r="AA181" s="497" t="s">
        <v>181</v>
      </c>
      <c r="AB181" s="497">
        <v>1</v>
      </c>
      <c r="AC181" s="497" t="s">
        <v>181</v>
      </c>
      <c r="AD181" s="497">
        <v>1</v>
      </c>
      <c r="AE181" s="497">
        <v>1</v>
      </c>
      <c r="AF181" s="497" t="s">
        <v>181</v>
      </c>
      <c r="AG181" s="497" t="s">
        <v>181</v>
      </c>
      <c r="AH181" s="497" t="s">
        <v>181</v>
      </c>
      <c r="AI181" s="497" t="s">
        <v>181</v>
      </c>
      <c r="AJ181" s="497" t="s">
        <v>181</v>
      </c>
      <c r="AK181" s="497">
        <v>1</v>
      </c>
      <c r="AL181" s="500" t="str">
        <f t="shared" ref="AL181:AW188" si="133">Z181</f>
        <v>*</v>
      </c>
      <c r="AM181" s="497" t="str">
        <f t="shared" si="133"/>
        <v>*</v>
      </c>
      <c r="AN181" s="497">
        <f t="shared" si="133"/>
        <v>1</v>
      </c>
      <c r="AO181" s="497" t="str">
        <f t="shared" si="133"/>
        <v>*</v>
      </c>
      <c r="AP181" s="497">
        <f t="shared" si="133"/>
        <v>1</v>
      </c>
      <c r="AQ181" s="497">
        <f t="shared" si="133"/>
        <v>1</v>
      </c>
      <c r="AR181" s="497" t="str">
        <f t="shared" si="133"/>
        <v>*</v>
      </c>
      <c r="AS181" s="497" t="str">
        <f t="shared" si="133"/>
        <v>*</v>
      </c>
      <c r="AT181" s="497" t="str">
        <f t="shared" si="133"/>
        <v>*</v>
      </c>
      <c r="AU181" s="497" t="str">
        <f t="shared" si="133"/>
        <v>*</v>
      </c>
      <c r="AV181" s="497" t="str">
        <f t="shared" si="133"/>
        <v>*</v>
      </c>
      <c r="AW181" s="501">
        <f t="shared" si="133"/>
        <v>1</v>
      </c>
      <c r="AX181" s="443" t="str">
        <f>MIN($Y$153,$Y$167,$Y$181,$Y$195,$Y$209,$Y$223,$Y$237,$Y$251)&amp;"-"&amp;MAX($Y$153,$Y$167,$Y$181,$Y$195,$Y$209,$Y$223,$Y$237,$Y$251)</f>
        <v>4-8</v>
      </c>
      <c r="AY181" s="443" t="s">
        <v>780</v>
      </c>
    </row>
    <row r="182" spans="1:51">
      <c r="A182" s="457" t="str">
        <f>A179&amp;"-"&amp;B182</f>
        <v>Jupiter-Jupiter</v>
      </c>
      <c r="B182" s="495" t="s">
        <v>162</v>
      </c>
      <c r="C182" s="496">
        <f ca="1">JupiterHouse</f>
        <v>8</v>
      </c>
      <c r="D182" s="497" t="str">
        <f t="shared" ca="1" si="130"/>
        <v>*</v>
      </c>
      <c r="E182" s="497">
        <f t="shared" ca="1" si="130"/>
        <v>1</v>
      </c>
      <c r="F182" s="497">
        <f t="shared" ca="1" si="130"/>
        <v>1</v>
      </c>
      <c r="G182" s="497" t="str">
        <f t="shared" ca="1" si="130"/>
        <v>*</v>
      </c>
      <c r="H182" s="497">
        <f t="shared" ca="1" si="130"/>
        <v>1</v>
      </c>
      <c r="I182" s="497">
        <f t="shared" ca="1" si="130"/>
        <v>1</v>
      </c>
      <c r="J182" s="497" t="str">
        <f t="shared" ca="1" si="130"/>
        <v>*</v>
      </c>
      <c r="K182" s="497">
        <f t="shared" ca="1" si="130"/>
        <v>1</v>
      </c>
      <c r="L182" s="497">
        <f t="shared" ca="1" si="130"/>
        <v>1</v>
      </c>
      <c r="M182" s="497">
        <f t="shared" ca="1" si="130"/>
        <v>1</v>
      </c>
      <c r="N182" s="497">
        <f t="shared" ca="1" si="130"/>
        <v>1</v>
      </c>
      <c r="O182" s="497" t="str">
        <f t="shared" ca="1" si="130"/>
        <v>*</v>
      </c>
      <c r="P182" s="498">
        <f t="shared" ca="1" si="131"/>
        <v>8</v>
      </c>
      <c r="Q182" s="496">
        <f ca="1">IF($Y$82,D179,C182)</f>
        <v>8</v>
      </c>
      <c r="S182" s="1341"/>
      <c r="T182" s="1341"/>
      <c r="U182" s="1341"/>
      <c r="V182" s="1341"/>
      <c r="X182" s="495" t="s">
        <v>162</v>
      </c>
      <c r="Y182" s="499">
        <f t="shared" si="132"/>
        <v>8</v>
      </c>
      <c r="Z182" s="497">
        <v>1</v>
      </c>
      <c r="AA182" s="497">
        <v>1</v>
      </c>
      <c r="AB182" s="497">
        <v>1</v>
      </c>
      <c r="AC182" s="497">
        <v>1</v>
      </c>
      <c r="AD182" s="497" t="s">
        <v>181</v>
      </c>
      <c r="AE182" s="497" t="s">
        <v>181</v>
      </c>
      <c r="AF182" s="497">
        <v>1</v>
      </c>
      <c r="AG182" s="497">
        <v>1</v>
      </c>
      <c r="AH182" s="497" t="s">
        <v>181</v>
      </c>
      <c r="AI182" s="497">
        <v>1</v>
      </c>
      <c r="AJ182" s="497">
        <v>1</v>
      </c>
      <c r="AK182" s="497" t="s">
        <v>181</v>
      </c>
      <c r="AL182" s="500">
        <f t="shared" si="133"/>
        <v>1</v>
      </c>
      <c r="AM182" s="497">
        <f t="shared" si="133"/>
        <v>1</v>
      </c>
      <c r="AN182" s="497">
        <f t="shared" si="133"/>
        <v>1</v>
      </c>
      <c r="AO182" s="497">
        <f t="shared" si="133"/>
        <v>1</v>
      </c>
      <c r="AP182" s="497" t="str">
        <f t="shared" si="133"/>
        <v>*</v>
      </c>
      <c r="AQ182" s="497" t="str">
        <f t="shared" si="133"/>
        <v>*</v>
      </c>
      <c r="AR182" s="497">
        <f t="shared" si="133"/>
        <v>1</v>
      </c>
      <c r="AS182" s="497">
        <f t="shared" si="133"/>
        <v>1</v>
      </c>
      <c r="AT182" s="497" t="str">
        <f t="shared" si="133"/>
        <v>*</v>
      </c>
      <c r="AU182" s="497">
        <f t="shared" si="133"/>
        <v>1</v>
      </c>
      <c r="AV182" s="497">
        <f t="shared" si="133"/>
        <v>1</v>
      </c>
      <c r="AW182" s="501" t="str">
        <f t="shared" si="133"/>
        <v>*</v>
      </c>
      <c r="AX182" s="443" t="str">
        <f>MIN($Y$154,$Y$168,$Y$182,$Y$196,$Y$210,$Y$224,$Y$238,$Y$252)&amp;"-"&amp;MAX($Y$154,$Y$168,$Y$182,$Y$196,$Y$210,$Y$224,$Y$238,$Y$252)</f>
        <v>4-9</v>
      </c>
    </row>
    <row r="183" spans="1:51">
      <c r="A183" s="457" t="str">
        <f>A179&amp;"-"&amp;B183</f>
        <v>Jupiter-Mars</v>
      </c>
      <c r="B183" s="495" t="s">
        <v>160</v>
      </c>
      <c r="C183" s="496">
        <f ca="1">MarsHouse</f>
        <v>10</v>
      </c>
      <c r="D183" s="497">
        <f t="shared" ca="1" si="130"/>
        <v>1</v>
      </c>
      <c r="E183" s="497" t="str">
        <f t="shared" ca="1" si="130"/>
        <v>*</v>
      </c>
      <c r="F183" s="497" t="str">
        <f t="shared" ca="1" si="130"/>
        <v>*</v>
      </c>
      <c r="G183" s="497">
        <f t="shared" ca="1" si="130"/>
        <v>1</v>
      </c>
      <c r="H183" s="497">
        <f t="shared" ca="1" si="130"/>
        <v>1</v>
      </c>
      <c r="I183" s="497" t="str">
        <f t="shared" ca="1" si="130"/>
        <v>*</v>
      </c>
      <c r="J183" s="497">
        <f t="shared" ca="1" si="130"/>
        <v>1</v>
      </c>
      <c r="K183" s="497">
        <f t="shared" ca="1" si="130"/>
        <v>1</v>
      </c>
      <c r="L183" s="497" t="str">
        <f t="shared" ca="1" si="130"/>
        <v>*</v>
      </c>
      <c r="M183" s="497">
        <f t="shared" ca="1" si="130"/>
        <v>1</v>
      </c>
      <c r="N183" s="497">
        <f t="shared" ca="1" si="130"/>
        <v>1</v>
      </c>
      <c r="O183" s="497" t="str">
        <f t="shared" ca="1" si="130"/>
        <v>*</v>
      </c>
      <c r="P183" s="498">
        <f t="shared" ca="1" si="131"/>
        <v>7</v>
      </c>
      <c r="Q183" s="496">
        <f ca="1">IF($Y$82,D179,C183)</f>
        <v>10</v>
      </c>
      <c r="S183" s="1341">
        <f ca="1">N189</f>
        <v>5</v>
      </c>
      <c r="T183" s="1342" t="str">
        <f ca="1">C179&amp;"  Ashtakavarga  "&amp;P189</f>
        <v xml:space="preserve">  Ashtakavarga  56</v>
      </c>
      <c r="U183" s="1342"/>
      <c r="V183" s="1341">
        <f ca="1">G189</f>
        <v>5</v>
      </c>
      <c r="X183" s="495" t="s">
        <v>160</v>
      </c>
      <c r="Y183" s="499">
        <f t="shared" si="132"/>
        <v>7</v>
      </c>
      <c r="Z183" s="497">
        <v>1</v>
      </c>
      <c r="AA183" s="497">
        <v>1</v>
      </c>
      <c r="AB183" s="497" t="s">
        <v>181</v>
      </c>
      <c r="AC183" s="497">
        <v>1</v>
      </c>
      <c r="AD183" s="497" t="s">
        <v>181</v>
      </c>
      <c r="AE183" s="497" t="s">
        <v>181</v>
      </c>
      <c r="AF183" s="497">
        <v>1</v>
      </c>
      <c r="AG183" s="497">
        <v>1</v>
      </c>
      <c r="AH183" s="497" t="s">
        <v>181</v>
      </c>
      <c r="AI183" s="497">
        <v>1</v>
      </c>
      <c r="AJ183" s="497">
        <v>1</v>
      </c>
      <c r="AK183" s="497" t="s">
        <v>181</v>
      </c>
      <c r="AL183" s="500">
        <f t="shared" si="133"/>
        <v>1</v>
      </c>
      <c r="AM183" s="497">
        <f t="shared" si="133"/>
        <v>1</v>
      </c>
      <c r="AN183" s="497" t="str">
        <f t="shared" si="133"/>
        <v>*</v>
      </c>
      <c r="AO183" s="497">
        <f t="shared" si="133"/>
        <v>1</v>
      </c>
      <c r="AP183" s="497" t="str">
        <f t="shared" si="133"/>
        <v>*</v>
      </c>
      <c r="AQ183" s="497" t="str">
        <f t="shared" si="133"/>
        <v>*</v>
      </c>
      <c r="AR183" s="497">
        <f t="shared" si="133"/>
        <v>1</v>
      </c>
      <c r="AS183" s="497">
        <f t="shared" si="133"/>
        <v>1</v>
      </c>
      <c r="AT183" s="497" t="str">
        <f t="shared" si="133"/>
        <v>*</v>
      </c>
      <c r="AU183" s="497">
        <f t="shared" si="133"/>
        <v>1</v>
      </c>
      <c r="AV183" s="497">
        <f t="shared" si="133"/>
        <v>1</v>
      </c>
      <c r="AW183" s="501" t="str">
        <f t="shared" si="133"/>
        <v>*</v>
      </c>
      <c r="AX183" s="443" t="str">
        <f>MIN($Y$155,$Y$169,$Y$183,$Y$197,$Y$211,$Y$225,$Y$239,$Y$253)&amp;"-"&amp;MAX($Y$155,$Y$169,$Y$183,$Y$197,$Y$211,$Y$225,$Y$239,$Y$253)</f>
        <v>5-8</v>
      </c>
    </row>
    <row r="184" spans="1:51">
      <c r="A184" s="457" t="str">
        <f>A179&amp;"-"&amp;B184</f>
        <v>Jupiter-Sun</v>
      </c>
      <c r="B184" s="495" t="s">
        <v>158</v>
      </c>
      <c r="C184" s="496">
        <f ca="1">SunHouse</f>
        <v>4</v>
      </c>
      <c r="D184" s="497">
        <f t="shared" ca="1" si="130"/>
        <v>1</v>
      </c>
      <c r="E184" s="497">
        <f t="shared" ca="1" si="130"/>
        <v>1</v>
      </c>
      <c r="F184" s="497" t="str">
        <f t="shared" ca="1" si="130"/>
        <v>*</v>
      </c>
      <c r="G184" s="497">
        <f t="shared" ca="1" si="130"/>
        <v>1</v>
      </c>
      <c r="H184" s="497">
        <f t="shared" ca="1" si="130"/>
        <v>1</v>
      </c>
      <c r="I184" s="497">
        <f t="shared" ca="1" si="130"/>
        <v>1</v>
      </c>
      <c r="J184" s="497">
        <f t="shared" ca="1" si="130"/>
        <v>1</v>
      </c>
      <c r="K184" s="497" t="str">
        <f t="shared" ca="1" si="130"/>
        <v>*</v>
      </c>
      <c r="L184" s="497" t="str">
        <f t="shared" ca="1" si="130"/>
        <v>*</v>
      </c>
      <c r="M184" s="497">
        <f t="shared" ca="1" si="130"/>
        <v>1</v>
      </c>
      <c r="N184" s="497">
        <f t="shared" ca="1" si="130"/>
        <v>1</v>
      </c>
      <c r="O184" s="497">
        <f t="shared" ca="1" si="130"/>
        <v>1</v>
      </c>
      <c r="P184" s="498">
        <f t="shared" ca="1" si="131"/>
        <v>9</v>
      </c>
      <c r="Q184" s="496">
        <f ca="1">IF($Y$82,D179,C184)</f>
        <v>4</v>
      </c>
      <c r="S184" s="1341"/>
      <c r="T184" s="1341"/>
      <c r="U184" s="1342"/>
      <c r="V184" s="1341"/>
      <c r="W184" s="443" t="s">
        <v>781</v>
      </c>
      <c r="X184" s="495" t="s">
        <v>158</v>
      </c>
      <c r="Y184" s="499">
        <f t="shared" si="132"/>
        <v>9</v>
      </c>
      <c r="Z184" s="497">
        <v>1</v>
      </c>
      <c r="AA184" s="497">
        <v>1</v>
      </c>
      <c r="AB184" s="497">
        <v>1</v>
      </c>
      <c r="AC184" s="497">
        <v>1</v>
      </c>
      <c r="AD184" s="497" t="s">
        <v>181</v>
      </c>
      <c r="AE184" s="497" t="s">
        <v>181</v>
      </c>
      <c r="AF184" s="497">
        <v>1</v>
      </c>
      <c r="AG184" s="497">
        <v>1</v>
      </c>
      <c r="AH184" s="497">
        <v>1</v>
      </c>
      <c r="AI184" s="497">
        <v>1</v>
      </c>
      <c r="AJ184" s="497">
        <v>1</v>
      </c>
      <c r="AK184" s="497" t="s">
        <v>181</v>
      </c>
      <c r="AL184" s="500">
        <f t="shared" si="133"/>
        <v>1</v>
      </c>
      <c r="AM184" s="497">
        <f t="shared" si="133"/>
        <v>1</v>
      </c>
      <c r="AN184" s="497">
        <f t="shared" si="133"/>
        <v>1</v>
      </c>
      <c r="AO184" s="497">
        <f t="shared" si="133"/>
        <v>1</v>
      </c>
      <c r="AP184" s="497" t="str">
        <f t="shared" si="133"/>
        <v>*</v>
      </c>
      <c r="AQ184" s="497" t="str">
        <f t="shared" si="133"/>
        <v>*</v>
      </c>
      <c r="AR184" s="497">
        <f t="shared" si="133"/>
        <v>1</v>
      </c>
      <c r="AS184" s="497">
        <f t="shared" si="133"/>
        <v>1</v>
      </c>
      <c r="AT184" s="497">
        <f t="shared" si="133"/>
        <v>1</v>
      </c>
      <c r="AU184" s="497">
        <f t="shared" si="133"/>
        <v>1</v>
      </c>
      <c r="AV184" s="497">
        <f t="shared" si="133"/>
        <v>1</v>
      </c>
      <c r="AW184" s="501" t="str">
        <f t="shared" si="133"/>
        <v>*</v>
      </c>
      <c r="AX184" s="443" t="str">
        <f>MIN($Y$156,$Y$170,$Y$184,$Y$198,$Y$212,$Y$226,$Y$240,$Y$254)&amp;"-"&amp;MAX($Y$156,$Y$170,$Y$184,$Y$198,$Y$212,$Y$226,$Y$240,$Y$254)</f>
        <v>3-9</v>
      </c>
      <c r="AY184" s="443" t="s">
        <v>781</v>
      </c>
    </row>
    <row r="185" spans="1:51">
      <c r="A185" s="457" t="str">
        <f>A179&amp;"-"&amp;B185</f>
        <v>Jupiter-Venus</v>
      </c>
      <c r="B185" s="495" t="s">
        <v>163</v>
      </c>
      <c r="C185" s="496">
        <f ca="1">VenusHouse</f>
        <v>3</v>
      </c>
      <c r="D185" s="497">
        <f t="shared" ca="1" si="130"/>
        <v>1</v>
      </c>
      <c r="E185" s="497" t="str">
        <f t="shared" ca="1" si="130"/>
        <v>*</v>
      </c>
      <c r="F185" s="497" t="str">
        <f t="shared" ca="1" si="130"/>
        <v>*</v>
      </c>
      <c r="G185" s="497">
        <f t="shared" ca="1" si="130"/>
        <v>1</v>
      </c>
      <c r="H185" s="497" t="str">
        <f t="shared" ca="1" si="130"/>
        <v>*</v>
      </c>
      <c r="I185" s="497" t="str">
        <f t="shared" ca="1" si="130"/>
        <v>*</v>
      </c>
      <c r="J185" s="497">
        <f t="shared" ca="1" si="130"/>
        <v>1</v>
      </c>
      <c r="K185" s="497">
        <f t="shared" ca="1" si="130"/>
        <v>1</v>
      </c>
      <c r="L185" s="497" t="str">
        <f t="shared" ca="1" si="130"/>
        <v>*</v>
      </c>
      <c r="M185" s="497" t="str">
        <f t="shared" ca="1" si="130"/>
        <v>*</v>
      </c>
      <c r="N185" s="497">
        <f t="shared" ca="1" si="130"/>
        <v>1</v>
      </c>
      <c r="O185" s="497">
        <f t="shared" ca="1" si="130"/>
        <v>1</v>
      </c>
      <c r="P185" s="498">
        <f t="shared" ca="1" si="131"/>
        <v>6</v>
      </c>
      <c r="Q185" s="496">
        <f ca="1">IF($Y$82,D179,C185)</f>
        <v>3</v>
      </c>
      <c r="S185" s="1341"/>
      <c r="T185" s="1341"/>
      <c r="U185" s="1342"/>
      <c r="V185" s="1341"/>
      <c r="X185" s="495" t="s">
        <v>163</v>
      </c>
      <c r="Y185" s="499">
        <f t="shared" si="132"/>
        <v>6</v>
      </c>
      <c r="Z185" s="497" t="s">
        <v>181</v>
      </c>
      <c r="AA185" s="497">
        <v>1</v>
      </c>
      <c r="AB185" s="497" t="s">
        <v>181</v>
      </c>
      <c r="AC185" s="497" t="s">
        <v>181</v>
      </c>
      <c r="AD185" s="497">
        <v>1</v>
      </c>
      <c r="AE185" s="497">
        <v>1</v>
      </c>
      <c r="AF185" s="497" t="s">
        <v>181</v>
      </c>
      <c r="AG185" s="497" t="s">
        <v>181</v>
      </c>
      <c r="AH185" s="497">
        <v>1</v>
      </c>
      <c r="AI185" s="497">
        <v>1</v>
      </c>
      <c r="AJ185" s="497">
        <v>1</v>
      </c>
      <c r="AK185" s="497" t="s">
        <v>181</v>
      </c>
      <c r="AL185" s="500" t="str">
        <f t="shared" si="133"/>
        <v>*</v>
      </c>
      <c r="AM185" s="497">
        <f t="shared" si="133"/>
        <v>1</v>
      </c>
      <c r="AN185" s="497" t="str">
        <f t="shared" si="133"/>
        <v>*</v>
      </c>
      <c r="AO185" s="497" t="str">
        <f t="shared" si="133"/>
        <v>*</v>
      </c>
      <c r="AP185" s="497">
        <f t="shared" si="133"/>
        <v>1</v>
      </c>
      <c r="AQ185" s="497">
        <f t="shared" si="133"/>
        <v>1</v>
      </c>
      <c r="AR185" s="497" t="str">
        <f t="shared" si="133"/>
        <v>*</v>
      </c>
      <c r="AS185" s="497" t="str">
        <f t="shared" si="133"/>
        <v>*</v>
      </c>
      <c r="AT185" s="497">
        <f t="shared" si="133"/>
        <v>1</v>
      </c>
      <c r="AU185" s="497">
        <f t="shared" si="133"/>
        <v>1</v>
      </c>
      <c r="AV185" s="497">
        <f t="shared" si="133"/>
        <v>1</v>
      </c>
      <c r="AW185" s="501" t="str">
        <f t="shared" si="133"/>
        <v>*</v>
      </c>
      <c r="AX185" s="443" t="str">
        <f>MIN($Y$157,$Y$171,$Y$185,$Y$199,$Y$213,$Y$227,$Y$241,$Y$255)&amp;"-"&amp;MAX($Y$157,$Y$171,$Y$185,$Y$199,$Y$213,$Y$227,$Y$241,$Y$255)</f>
        <v>3-9</v>
      </c>
    </row>
    <row r="186" spans="1:51">
      <c r="A186" s="457" t="str">
        <f>A179&amp;"-"&amp;B186</f>
        <v>Jupiter-Mercury</v>
      </c>
      <c r="B186" s="495" t="s">
        <v>161</v>
      </c>
      <c r="C186" s="496">
        <f ca="1">MercuryHouse</f>
        <v>4</v>
      </c>
      <c r="D186" s="497">
        <f t="shared" ca="1" si="130"/>
        <v>1</v>
      </c>
      <c r="E186" s="497">
        <f t="shared" ca="1" si="130"/>
        <v>1</v>
      </c>
      <c r="F186" s="497" t="str">
        <f t="shared" ca="1" si="130"/>
        <v>*</v>
      </c>
      <c r="G186" s="497">
        <f t="shared" ca="1" si="130"/>
        <v>1</v>
      </c>
      <c r="H186" s="497">
        <f t="shared" ca="1" si="130"/>
        <v>1</v>
      </c>
      <c r="I186" s="497" t="str">
        <f t="shared" ca="1" si="130"/>
        <v>*</v>
      </c>
      <c r="J186" s="497">
        <f t="shared" ca="1" si="130"/>
        <v>1</v>
      </c>
      <c r="K186" s="497">
        <f t="shared" ca="1" si="130"/>
        <v>1</v>
      </c>
      <c r="L186" s="497">
        <f t="shared" ca="1" si="130"/>
        <v>1</v>
      </c>
      <c r="M186" s="497" t="str">
        <f t="shared" ca="1" si="130"/>
        <v>*</v>
      </c>
      <c r="N186" s="497" t="str">
        <f t="shared" ca="1" si="130"/>
        <v>*</v>
      </c>
      <c r="O186" s="497">
        <f t="shared" ca="1" si="130"/>
        <v>1</v>
      </c>
      <c r="P186" s="498">
        <f t="shared" ca="1" si="131"/>
        <v>8</v>
      </c>
      <c r="Q186" s="496">
        <f ca="1">IF($Y$82,D179,C186)</f>
        <v>4</v>
      </c>
      <c r="S186" s="1341">
        <f ca="1">M189</f>
        <v>5</v>
      </c>
      <c r="T186" s="1342"/>
      <c r="U186" s="1342"/>
      <c r="V186" s="1341">
        <f ca="1">H189</f>
        <v>5</v>
      </c>
      <c r="X186" s="495" t="s">
        <v>161</v>
      </c>
      <c r="Y186" s="499">
        <f t="shared" si="132"/>
        <v>8</v>
      </c>
      <c r="Z186" s="497">
        <v>1</v>
      </c>
      <c r="AA186" s="497">
        <v>1</v>
      </c>
      <c r="AB186" s="497" t="s">
        <v>181</v>
      </c>
      <c r="AC186" s="497">
        <v>1</v>
      </c>
      <c r="AD186" s="497">
        <v>1</v>
      </c>
      <c r="AE186" s="497">
        <v>1</v>
      </c>
      <c r="AF186" s="497" t="s">
        <v>181</v>
      </c>
      <c r="AG186" s="497" t="s">
        <v>181</v>
      </c>
      <c r="AH186" s="497">
        <v>1</v>
      </c>
      <c r="AI186" s="497">
        <v>1</v>
      </c>
      <c r="AJ186" s="497">
        <v>1</v>
      </c>
      <c r="AK186" s="497" t="s">
        <v>181</v>
      </c>
      <c r="AL186" s="500">
        <f t="shared" si="133"/>
        <v>1</v>
      </c>
      <c r="AM186" s="497">
        <f t="shared" si="133"/>
        <v>1</v>
      </c>
      <c r="AN186" s="497" t="str">
        <f t="shared" si="133"/>
        <v>*</v>
      </c>
      <c r="AO186" s="497">
        <f t="shared" si="133"/>
        <v>1</v>
      </c>
      <c r="AP186" s="497">
        <f t="shared" si="133"/>
        <v>1</v>
      </c>
      <c r="AQ186" s="497">
        <f t="shared" si="133"/>
        <v>1</v>
      </c>
      <c r="AR186" s="497" t="str">
        <f t="shared" si="133"/>
        <v>*</v>
      </c>
      <c r="AS186" s="497" t="str">
        <f t="shared" si="133"/>
        <v>*</v>
      </c>
      <c r="AT186" s="497">
        <f t="shared" si="133"/>
        <v>1</v>
      </c>
      <c r="AU186" s="497">
        <f t="shared" si="133"/>
        <v>1</v>
      </c>
      <c r="AV186" s="497">
        <f t="shared" si="133"/>
        <v>1</v>
      </c>
      <c r="AW186" s="501" t="str">
        <f t="shared" si="133"/>
        <v>*</v>
      </c>
      <c r="AX186" s="443" t="str">
        <f>MIN($Y$158,$Y$172,$Y$186,$Y$200,$Y$214,$Y$228,$Y$242,$Y$256)&amp;"-"&amp;MAX($Y$158,$Y$172,$Y$186,$Y$200,$Y$214,$Y$228,$Y$242,$Y$256)</f>
        <v>4-8</v>
      </c>
      <c r="AY186" s="443" t="s">
        <v>781</v>
      </c>
    </row>
    <row r="187" spans="1:51">
      <c r="A187" s="457" t="str">
        <f>A179&amp;"-"&amp;B187</f>
        <v>Jupiter-Moon</v>
      </c>
      <c r="B187" s="495" t="s">
        <v>159</v>
      </c>
      <c r="C187" s="496">
        <f ca="1">MoonHouse</f>
        <v>2</v>
      </c>
      <c r="D187" s="497" t="str">
        <f t="shared" ca="1" si="130"/>
        <v>*</v>
      </c>
      <c r="E187" s="497" t="str">
        <f t="shared" ca="1" si="130"/>
        <v>*</v>
      </c>
      <c r="F187" s="497">
        <f t="shared" ca="1" si="130"/>
        <v>1</v>
      </c>
      <c r="G187" s="497" t="str">
        <f t="shared" ca="1" si="130"/>
        <v>*</v>
      </c>
      <c r="H187" s="497" t="str">
        <f t="shared" ca="1" si="130"/>
        <v>*</v>
      </c>
      <c r="I187" s="497">
        <f t="shared" ca="1" si="130"/>
        <v>1</v>
      </c>
      <c r="J187" s="497" t="str">
        <f t="shared" ca="1" si="130"/>
        <v>*</v>
      </c>
      <c r="K187" s="497">
        <f t="shared" ca="1" si="130"/>
        <v>1</v>
      </c>
      <c r="L187" s="497" t="str">
        <f t="shared" ca="1" si="130"/>
        <v>*</v>
      </c>
      <c r="M187" s="497">
        <f t="shared" ca="1" si="130"/>
        <v>1</v>
      </c>
      <c r="N187" s="497" t="str">
        <f t="shared" ca="1" si="130"/>
        <v>*</v>
      </c>
      <c r="O187" s="497">
        <f t="shared" ca="1" si="130"/>
        <v>1</v>
      </c>
      <c r="P187" s="498">
        <f t="shared" ca="1" si="131"/>
        <v>5</v>
      </c>
      <c r="Q187" s="496">
        <f ca="1">IF($Y$82,D179,C187)</f>
        <v>2</v>
      </c>
      <c r="S187" s="1341"/>
      <c r="T187" s="1341"/>
      <c r="U187" s="1342"/>
      <c r="V187" s="1341"/>
      <c r="X187" s="495" t="s">
        <v>159</v>
      </c>
      <c r="Y187" s="499">
        <f t="shared" si="132"/>
        <v>5</v>
      </c>
      <c r="Z187" s="497" t="s">
        <v>181</v>
      </c>
      <c r="AA187" s="497">
        <v>1</v>
      </c>
      <c r="AB187" s="497" t="s">
        <v>181</v>
      </c>
      <c r="AC187" s="497" t="s">
        <v>181</v>
      </c>
      <c r="AD187" s="497">
        <v>1</v>
      </c>
      <c r="AE187" s="497" t="s">
        <v>181</v>
      </c>
      <c r="AF187" s="497">
        <v>1</v>
      </c>
      <c r="AG187" s="497" t="s">
        <v>181</v>
      </c>
      <c r="AH187" s="497">
        <v>1</v>
      </c>
      <c r="AI187" s="497" t="s">
        <v>181</v>
      </c>
      <c r="AJ187" s="497">
        <v>1</v>
      </c>
      <c r="AK187" s="497" t="s">
        <v>181</v>
      </c>
      <c r="AL187" s="500" t="str">
        <f t="shared" si="133"/>
        <v>*</v>
      </c>
      <c r="AM187" s="497">
        <f t="shared" si="133"/>
        <v>1</v>
      </c>
      <c r="AN187" s="497" t="str">
        <f t="shared" si="133"/>
        <v>*</v>
      </c>
      <c r="AO187" s="497" t="str">
        <f t="shared" si="133"/>
        <v>*</v>
      </c>
      <c r="AP187" s="497">
        <f t="shared" si="133"/>
        <v>1</v>
      </c>
      <c r="AQ187" s="497" t="str">
        <f t="shared" si="133"/>
        <v>*</v>
      </c>
      <c r="AR187" s="497">
        <f t="shared" si="133"/>
        <v>1</v>
      </c>
      <c r="AS187" s="497" t="str">
        <f t="shared" si="133"/>
        <v>*</v>
      </c>
      <c r="AT187" s="497">
        <f t="shared" si="133"/>
        <v>1</v>
      </c>
      <c r="AU187" s="497" t="str">
        <f t="shared" si="133"/>
        <v>*</v>
      </c>
      <c r="AV187" s="497">
        <f t="shared" si="133"/>
        <v>1</v>
      </c>
      <c r="AW187" s="501" t="str">
        <f t="shared" si="133"/>
        <v>*</v>
      </c>
      <c r="AX187" s="443" t="str">
        <f>MIN($Y$159,$Y$173,$Y$187,$Y$201,$Y$215,$Y$229,$Y$243,$Y$257)&amp;"-"&amp;MAX($Y$159,$Y$173,$Y$187,$Y$201,$Y$215,$Y$229,$Y$243,$Y$257)</f>
        <v>3-9</v>
      </c>
    </row>
    <row r="188" spans="1:51">
      <c r="A188" s="457" t="str">
        <f>A179&amp;"-"&amp;B188</f>
        <v>Jupiter-Lagna</v>
      </c>
      <c r="B188" s="495" t="s">
        <v>319</v>
      </c>
      <c r="C188" s="496">
        <f ca="1">Lagnahouse</f>
        <v>5</v>
      </c>
      <c r="D188" s="497">
        <f t="shared" ca="1" si="130"/>
        <v>1</v>
      </c>
      <c r="E188" s="497">
        <f t="shared" ca="1" si="130"/>
        <v>1</v>
      </c>
      <c r="F188" s="497">
        <f t="shared" ca="1" si="130"/>
        <v>1</v>
      </c>
      <c r="G188" s="497" t="str">
        <f t="shared" ca="1" si="130"/>
        <v>*</v>
      </c>
      <c r="H188" s="497">
        <f t="shared" ca="1" si="130"/>
        <v>1</v>
      </c>
      <c r="I188" s="497">
        <f t="shared" ca="1" si="130"/>
        <v>1</v>
      </c>
      <c r="J188" s="497" t="str">
        <f t="shared" ca="1" si="130"/>
        <v>*</v>
      </c>
      <c r="K188" s="497">
        <f t="shared" ca="1" si="130"/>
        <v>1</v>
      </c>
      <c r="L188" s="497">
        <f t="shared" ca="1" si="130"/>
        <v>1</v>
      </c>
      <c r="M188" s="497">
        <f t="shared" ca="1" si="130"/>
        <v>1</v>
      </c>
      <c r="N188" s="497">
        <f t="shared" ca="1" si="130"/>
        <v>1</v>
      </c>
      <c r="O188" s="497" t="str">
        <f t="shared" ca="1" si="130"/>
        <v>*</v>
      </c>
      <c r="P188" s="498">
        <f t="shared" ca="1" si="131"/>
        <v>9</v>
      </c>
      <c r="Q188" s="496">
        <f ca="1">IF($Y$82,D179,C188)</f>
        <v>5</v>
      </c>
      <c r="S188" s="1341"/>
      <c r="T188" s="1341"/>
      <c r="U188" s="1342"/>
      <c r="V188" s="1341"/>
      <c r="W188" s="443" t="s">
        <v>781</v>
      </c>
      <c r="X188" s="495" t="s">
        <v>319</v>
      </c>
      <c r="Y188" s="499">
        <f t="shared" si="132"/>
        <v>9</v>
      </c>
      <c r="Z188" s="497">
        <v>1</v>
      </c>
      <c r="AA188" s="497">
        <v>1</v>
      </c>
      <c r="AB188" s="497" t="s">
        <v>181</v>
      </c>
      <c r="AC188" s="497">
        <v>1</v>
      </c>
      <c r="AD188" s="497">
        <v>1</v>
      </c>
      <c r="AE188" s="497">
        <v>1</v>
      </c>
      <c r="AF188" s="497">
        <v>1</v>
      </c>
      <c r="AG188" s="497" t="s">
        <v>181</v>
      </c>
      <c r="AH188" s="497">
        <v>1</v>
      </c>
      <c r="AI188" s="497">
        <v>1</v>
      </c>
      <c r="AJ188" s="497">
        <v>1</v>
      </c>
      <c r="AK188" s="497" t="s">
        <v>181</v>
      </c>
      <c r="AL188" s="500">
        <f t="shared" si="133"/>
        <v>1</v>
      </c>
      <c r="AM188" s="497">
        <f t="shared" si="133"/>
        <v>1</v>
      </c>
      <c r="AN188" s="497" t="str">
        <f t="shared" si="133"/>
        <v>*</v>
      </c>
      <c r="AO188" s="497">
        <f t="shared" si="133"/>
        <v>1</v>
      </c>
      <c r="AP188" s="497">
        <f t="shared" si="133"/>
        <v>1</v>
      </c>
      <c r="AQ188" s="497">
        <f t="shared" si="133"/>
        <v>1</v>
      </c>
      <c r="AR188" s="497">
        <f t="shared" si="133"/>
        <v>1</v>
      </c>
      <c r="AS188" s="497" t="str">
        <f t="shared" si="133"/>
        <v>*</v>
      </c>
      <c r="AT188" s="497">
        <f t="shared" si="133"/>
        <v>1</v>
      </c>
      <c r="AU188" s="497">
        <f t="shared" si="133"/>
        <v>1</v>
      </c>
      <c r="AV188" s="497">
        <f t="shared" si="133"/>
        <v>1</v>
      </c>
      <c r="AW188" s="501" t="str">
        <f t="shared" si="133"/>
        <v>*</v>
      </c>
      <c r="AX188" s="443" t="str">
        <f>MIN($Y$160,$Y$174,$Y$188,$Y$202,$Y$216,$Y$230,$Y$244,$Y$258)&amp;"-"&amp;MAX($Y$160,$Y$174,$Y$188,$Y$202,$Y$216,$Y$230,$Y$244,$Y$258)</f>
        <v>4-9</v>
      </c>
      <c r="AY188" s="443" t="s">
        <v>781</v>
      </c>
    </row>
    <row r="189" spans="1:51">
      <c r="A189" s="457" t="str">
        <f>A179&amp;"-"&amp;B189</f>
        <v>Jupiter-Jupiter</v>
      </c>
      <c r="B189" s="502" t="str">
        <f>B179</f>
        <v>Jupiter</v>
      </c>
      <c r="C189" s="503"/>
      <c r="D189" s="503">
        <f t="shared" ref="D189:O189" ca="1" si="134">SUM(D181:D188)</f>
        <v>6</v>
      </c>
      <c r="E189" s="503">
        <f t="shared" ca="1" si="134"/>
        <v>4</v>
      </c>
      <c r="F189" s="503">
        <f t="shared" ca="1" si="134"/>
        <v>3</v>
      </c>
      <c r="G189" s="503">
        <f t="shared" ca="1" si="134"/>
        <v>5</v>
      </c>
      <c r="H189" s="503">
        <f t="shared" ca="1" si="134"/>
        <v>5</v>
      </c>
      <c r="I189" s="503">
        <f t="shared" ca="1" si="134"/>
        <v>5</v>
      </c>
      <c r="J189" s="503">
        <f t="shared" ca="1" si="134"/>
        <v>5</v>
      </c>
      <c r="K189" s="503">
        <f t="shared" ca="1" si="134"/>
        <v>6</v>
      </c>
      <c r="L189" s="503">
        <f t="shared" ca="1" si="134"/>
        <v>3</v>
      </c>
      <c r="M189" s="503">
        <f t="shared" ca="1" si="134"/>
        <v>5</v>
      </c>
      <c r="N189" s="503">
        <f t="shared" ca="1" si="134"/>
        <v>5</v>
      </c>
      <c r="O189" s="503">
        <f t="shared" ca="1" si="134"/>
        <v>4</v>
      </c>
      <c r="P189" s="504">
        <f t="shared" ca="1" si="131"/>
        <v>56</v>
      </c>
      <c r="Q189" s="504"/>
      <c r="S189" s="1341">
        <f ca="1">L189</f>
        <v>3</v>
      </c>
      <c r="T189" s="1341">
        <f ca="1">K189</f>
        <v>6</v>
      </c>
      <c r="U189" s="1341">
        <f ca="1">J189</f>
        <v>5</v>
      </c>
      <c r="V189" s="1341">
        <f ca="1">I189</f>
        <v>5</v>
      </c>
      <c r="X189" s="502"/>
      <c r="Y189" s="505">
        <f t="shared" si="132"/>
        <v>56</v>
      </c>
      <c r="Z189" s="506">
        <f t="shared" ref="Z189:AW189" si="135">SUM(Z181:Z188)</f>
        <v>5</v>
      </c>
      <c r="AA189" s="506">
        <f t="shared" si="135"/>
        <v>7</v>
      </c>
      <c r="AB189" s="506">
        <f t="shared" si="135"/>
        <v>3</v>
      </c>
      <c r="AC189" s="506">
        <f t="shared" si="135"/>
        <v>5</v>
      </c>
      <c r="AD189" s="506">
        <f t="shared" si="135"/>
        <v>5</v>
      </c>
      <c r="AE189" s="506">
        <f t="shared" si="135"/>
        <v>4</v>
      </c>
      <c r="AF189" s="506">
        <f t="shared" si="135"/>
        <v>5</v>
      </c>
      <c r="AG189" s="506">
        <f t="shared" si="135"/>
        <v>3</v>
      </c>
      <c r="AH189" s="506">
        <f t="shared" si="135"/>
        <v>5</v>
      </c>
      <c r="AI189" s="506">
        <f t="shared" si="135"/>
        <v>6</v>
      </c>
      <c r="AJ189" s="506">
        <f t="shared" si="135"/>
        <v>7</v>
      </c>
      <c r="AK189" s="506">
        <f t="shared" si="135"/>
        <v>1</v>
      </c>
      <c r="AL189" s="511">
        <f t="shared" si="135"/>
        <v>5</v>
      </c>
      <c r="AM189" s="506">
        <f t="shared" si="135"/>
        <v>7</v>
      </c>
      <c r="AN189" s="506">
        <f t="shared" si="135"/>
        <v>3</v>
      </c>
      <c r="AO189" s="506">
        <f t="shared" si="135"/>
        <v>5</v>
      </c>
      <c r="AP189" s="506">
        <f t="shared" si="135"/>
        <v>5</v>
      </c>
      <c r="AQ189" s="506">
        <f t="shared" si="135"/>
        <v>4</v>
      </c>
      <c r="AR189" s="506">
        <f t="shared" si="135"/>
        <v>5</v>
      </c>
      <c r="AS189" s="506">
        <f t="shared" si="135"/>
        <v>3</v>
      </c>
      <c r="AT189" s="506">
        <f t="shared" si="135"/>
        <v>5</v>
      </c>
      <c r="AU189" s="506">
        <f t="shared" si="135"/>
        <v>6</v>
      </c>
      <c r="AV189" s="506">
        <f t="shared" si="135"/>
        <v>7</v>
      </c>
      <c r="AW189" s="512">
        <f t="shared" si="135"/>
        <v>1</v>
      </c>
    </row>
    <row r="190" spans="1:51">
      <c r="A190" s="457" t="str">
        <f>A179&amp;"-"&amp;B190</f>
        <v>Jupiter-</v>
      </c>
      <c r="S190" s="1341"/>
      <c r="T190" s="1341"/>
      <c r="U190" s="1341"/>
      <c r="V190" s="1341"/>
      <c r="X190" s="443" t="s">
        <v>782</v>
      </c>
      <c r="AL190" s="443"/>
    </row>
    <row r="191" spans="1:51">
      <c r="A191" s="457" t="str">
        <f>A179&amp;"-"&amp;B191</f>
        <v>Jupiter-</v>
      </c>
      <c r="S191" s="1341"/>
      <c r="T191" s="1341"/>
      <c r="U191" s="1341"/>
      <c r="V191" s="1341"/>
    </row>
    <row r="192" spans="1:51">
      <c r="A192" s="457" t="str">
        <f>A179&amp;"-"&amp;B192</f>
        <v>Jupiter------</v>
      </c>
      <c r="B192" s="443" t="s">
        <v>776</v>
      </c>
    </row>
    <row r="193" spans="1:51">
      <c r="A193" s="457" t="str">
        <f>B193</f>
        <v>Mercury</v>
      </c>
      <c r="B193" s="1346" t="str">
        <f>X193</f>
        <v>Mercury</v>
      </c>
      <c r="C193" s="1346"/>
      <c r="D193" s="443">
        <f ca="1">INDIRECT(B193&amp;"house")</f>
        <v>4</v>
      </c>
      <c r="S193" s="458"/>
      <c r="T193" s="458"/>
      <c r="U193" s="458"/>
      <c r="V193" s="458"/>
      <c r="X193" s="181" t="s">
        <v>161</v>
      </c>
      <c r="Y193" s="443" t="str">
        <f>MIN(Y195:Y202)&amp;"-"&amp;MAX(Y195:Y202)</f>
        <v>4-8</v>
      </c>
      <c r="Z193" s="443" t="str">
        <f>$Z$83 &amp;  X193</f>
        <v>From Graha Good and Bad Transit of Mercury</v>
      </c>
      <c r="AL193" s="443"/>
      <c r="AW193" s="443"/>
      <c r="AX193" s="443" t="s">
        <v>777</v>
      </c>
    </row>
    <row r="194" spans="1:51">
      <c r="A194" s="457" t="str">
        <f>A193&amp;"-"&amp;B194</f>
        <v>Mercury-</v>
      </c>
      <c r="B194" s="487"/>
      <c r="C194" s="488" t="s">
        <v>746</v>
      </c>
      <c r="D194" s="489">
        <v>1</v>
      </c>
      <c r="E194" s="489">
        <v>2</v>
      </c>
      <c r="F194" s="489">
        <v>3</v>
      </c>
      <c r="G194" s="489">
        <v>4</v>
      </c>
      <c r="H194" s="489">
        <v>5</v>
      </c>
      <c r="I194" s="489">
        <v>6</v>
      </c>
      <c r="J194" s="489">
        <v>7</v>
      </c>
      <c r="K194" s="489">
        <v>8</v>
      </c>
      <c r="L194" s="489">
        <v>9</v>
      </c>
      <c r="M194" s="489">
        <v>10</v>
      </c>
      <c r="N194" s="489">
        <v>11</v>
      </c>
      <c r="O194" s="489">
        <v>12</v>
      </c>
      <c r="P194" s="490"/>
      <c r="Q194" s="490"/>
      <c r="S194" s="1341">
        <f ca="1">O203</f>
        <v>5</v>
      </c>
      <c r="T194" s="1341">
        <f ca="1">D203</f>
        <v>4</v>
      </c>
      <c r="U194" s="1341">
        <f ca="1">E203</f>
        <v>4</v>
      </c>
      <c r="V194" s="1341">
        <f ca="1">F203</f>
        <v>7</v>
      </c>
      <c r="X194" s="488" t="s">
        <v>778</v>
      </c>
      <c r="Y194" s="491" t="s">
        <v>779</v>
      </c>
      <c r="Z194" s="492">
        <v>1</v>
      </c>
      <c r="AA194" s="492">
        <v>2</v>
      </c>
      <c r="AB194" s="492">
        <v>3</v>
      </c>
      <c r="AC194" s="492">
        <v>4</v>
      </c>
      <c r="AD194" s="492">
        <v>5</v>
      </c>
      <c r="AE194" s="492">
        <v>6</v>
      </c>
      <c r="AF194" s="492">
        <v>7</v>
      </c>
      <c r="AG194" s="492">
        <v>8</v>
      </c>
      <c r="AH194" s="492">
        <v>9</v>
      </c>
      <c r="AI194" s="492">
        <v>10</v>
      </c>
      <c r="AJ194" s="492">
        <v>11</v>
      </c>
      <c r="AK194" s="492">
        <v>12</v>
      </c>
      <c r="AL194" s="493">
        <v>1</v>
      </c>
      <c r="AM194" s="489">
        <v>2</v>
      </c>
      <c r="AN194" s="489">
        <v>3</v>
      </c>
      <c r="AO194" s="489">
        <v>4</v>
      </c>
      <c r="AP194" s="489">
        <v>5</v>
      </c>
      <c r="AQ194" s="489">
        <v>6</v>
      </c>
      <c r="AR194" s="489">
        <v>7</v>
      </c>
      <c r="AS194" s="489">
        <v>8</v>
      </c>
      <c r="AT194" s="489">
        <v>9</v>
      </c>
      <c r="AU194" s="489">
        <v>10</v>
      </c>
      <c r="AV194" s="489">
        <v>11</v>
      </c>
      <c r="AW194" s="494">
        <v>12</v>
      </c>
    </row>
    <row r="195" spans="1:51">
      <c r="A195" s="457" t="str">
        <f>A193&amp;"-"&amp;B195</f>
        <v>Mercury-Saturn</v>
      </c>
      <c r="B195" s="495" t="s">
        <v>164</v>
      </c>
      <c r="C195" s="496">
        <f ca="1">SaturnHouse</f>
        <v>2</v>
      </c>
      <c r="D195" s="497" t="str">
        <f t="shared" ref="D195:O202" ca="1" si="136">INDEX($Z195:$AW195,,12+D$152-$Q195+1)</f>
        <v>*</v>
      </c>
      <c r="E195" s="497">
        <f t="shared" ca="1" si="136"/>
        <v>1</v>
      </c>
      <c r="F195" s="497">
        <f t="shared" ca="1" si="136"/>
        <v>1</v>
      </c>
      <c r="G195" s="497" t="str">
        <f t="shared" ca="1" si="136"/>
        <v>*</v>
      </c>
      <c r="H195" s="497">
        <f t="shared" ca="1" si="136"/>
        <v>1</v>
      </c>
      <c r="I195" s="497" t="str">
        <f t="shared" ca="1" si="136"/>
        <v>*</v>
      </c>
      <c r="J195" s="497" t="str">
        <f t="shared" ca="1" si="136"/>
        <v>*</v>
      </c>
      <c r="K195" s="497">
        <f t="shared" ca="1" si="136"/>
        <v>1</v>
      </c>
      <c r="L195" s="497">
        <f t="shared" ca="1" si="136"/>
        <v>1</v>
      </c>
      <c r="M195" s="497">
        <f t="shared" ca="1" si="136"/>
        <v>1</v>
      </c>
      <c r="N195" s="497">
        <f t="shared" ca="1" si="136"/>
        <v>1</v>
      </c>
      <c r="O195" s="497">
        <f t="shared" ca="1" si="136"/>
        <v>1</v>
      </c>
      <c r="P195" s="498">
        <f t="shared" ref="P195:P203" ca="1" si="137">SUM(D195:O195)</f>
        <v>8</v>
      </c>
      <c r="Q195" s="496">
        <f ca="1">IF($Y$82,D193,C195)</f>
        <v>2</v>
      </c>
      <c r="S195" s="1341"/>
      <c r="T195" s="1341"/>
      <c r="U195" s="1341"/>
      <c r="V195" s="1341"/>
      <c r="W195" s="443" t="s">
        <v>781</v>
      </c>
      <c r="X195" s="495" t="s">
        <v>164</v>
      </c>
      <c r="Y195" s="499">
        <f t="shared" ref="Y195:Y203" si="138">SUM(Z195:AK195)</f>
        <v>8</v>
      </c>
      <c r="Z195" s="497">
        <v>1</v>
      </c>
      <c r="AA195" s="497">
        <v>1</v>
      </c>
      <c r="AB195" s="497" t="s">
        <v>181</v>
      </c>
      <c r="AC195" s="497">
        <v>1</v>
      </c>
      <c r="AD195" s="497" t="s">
        <v>181</v>
      </c>
      <c r="AE195" s="497" t="s">
        <v>181</v>
      </c>
      <c r="AF195" s="497">
        <v>1</v>
      </c>
      <c r="AG195" s="497">
        <v>1</v>
      </c>
      <c r="AH195" s="497">
        <v>1</v>
      </c>
      <c r="AI195" s="497">
        <v>1</v>
      </c>
      <c r="AJ195" s="497">
        <v>1</v>
      </c>
      <c r="AK195" s="497" t="s">
        <v>181</v>
      </c>
      <c r="AL195" s="500">
        <f t="shared" ref="AL195:AW202" si="139">Z195</f>
        <v>1</v>
      </c>
      <c r="AM195" s="497">
        <f t="shared" si="139"/>
        <v>1</v>
      </c>
      <c r="AN195" s="497" t="str">
        <f t="shared" si="139"/>
        <v>*</v>
      </c>
      <c r="AO195" s="497">
        <f t="shared" si="139"/>
        <v>1</v>
      </c>
      <c r="AP195" s="497" t="str">
        <f t="shared" si="139"/>
        <v>*</v>
      </c>
      <c r="AQ195" s="497" t="str">
        <f t="shared" si="139"/>
        <v>*</v>
      </c>
      <c r="AR195" s="497">
        <f t="shared" si="139"/>
        <v>1</v>
      </c>
      <c r="AS195" s="497">
        <f t="shared" si="139"/>
        <v>1</v>
      </c>
      <c r="AT195" s="497">
        <f t="shared" si="139"/>
        <v>1</v>
      </c>
      <c r="AU195" s="497">
        <f t="shared" si="139"/>
        <v>1</v>
      </c>
      <c r="AV195" s="497">
        <f t="shared" si="139"/>
        <v>1</v>
      </c>
      <c r="AW195" s="501" t="str">
        <f t="shared" si="139"/>
        <v>*</v>
      </c>
      <c r="AX195" s="443" t="str">
        <f>MIN($Y$153,$Y$167,$Y$181,$Y$195,$Y$209,$Y$223,$Y$237,$Y$251)&amp;"-"&amp;MAX($Y$153,$Y$167,$Y$181,$Y$195,$Y$209,$Y$223,$Y$237,$Y$251)</f>
        <v>4-8</v>
      </c>
      <c r="AY195" s="443" t="s">
        <v>781</v>
      </c>
    </row>
    <row r="196" spans="1:51">
      <c r="A196" s="457" t="str">
        <f>A193&amp;"-"&amp;B196</f>
        <v>Mercury-Jupiter</v>
      </c>
      <c r="B196" s="495" t="s">
        <v>162</v>
      </c>
      <c r="C196" s="496">
        <f ca="1">JupiterHouse</f>
        <v>8</v>
      </c>
      <c r="D196" s="497">
        <f t="shared" ca="1" si="136"/>
        <v>1</v>
      </c>
      <c r="E196" s="497" t="str">
        <f t="shared" ca="1" si="136"/>
        <v>*</v>
      </c>
      <c r="F196" s="497">
        <f t="shared" ca="1" si="136"/>
        <v>1</v>
      </c>
      <c r="G196" s="497" t="str">
        <f t="shared" ca="1" si="136"/>
        <v>*</v>
      </c>
      <c r="H196" s="497" t="str">
        <f t="shared" ca="1" si="136"/>
        <v>*</v>
      </c>
      <c r="I196" s="497">
        <f t="shared" ca="1" si="136"/>
        <v>1</v>
      </c>
      <c r="J196" s="497">
        <f t="shared" ca="1" si="136"/>
        <v>1</v>
      </c>
      <c r="K196" s="497" t="str">
        <f t="shared" ca="1" si="136"/>
        <v>*</v>
      </c>
      <c r="L196" s="497" t="str">
        <f t="shared" ca="1" si="136"/>
        <v>*</v>
      </c>
      <c r="M196" s="497" t="str">
        <f t="shared" ca="1" si="136"/>
        <v>*</v>
      </c>
      <c r="N196" s="497" t="str">
        <f t="shared" ca="1" si="136"/>
        <v>*</v>
      </c>
      <c r="O196" s="497" t="str">
        <f t="shared" ca="1" si="136"/>
        <v>*</v>
      </c>
      <c r="P196" s="498">
        <f t="shared" ca="1" si="137"/>
        <v>4</v>
      </c>
      <c r="Q196" s="496">
        <f ca="1">IF($Y$82,D193,C196)</f>
        <v>8</v>
      </c>
      <c r="S196" s="1341"/>
      <c r="T196" s="1341"/>
      <c r="U196" s="1341"/>
      <c r="V196" s="1341"/>
      <c r="W196" s="443" t="s">
        <v>780</v>
      </c>
      <c r="X196" s="495" t="s">
        <v>162</v>
      </c>
      <c r="Y196" s="499">
        <f t="shared" si="138"/>
        <v>4</v>
      </c>
      <c r="Z196" s="497" t="s">
        <v>181</v>
      </c>
      <c r="AA196" s="497" t="s">
        <v>181</v>
      </c>
      <c r="AB196" s="497" t="s">
        <v>181</v>
      </c>
      <c r="AC196" s="497" t="s">
        <v>181</v>
      </c>
      <c r="AD196" s="497" t="s">
        <v>181</v>
      </c>
      <c r="AE196" s="497">
        <v>1</v>
      </c>
      <c r="AF196" s="497" t="s">
        <v>181</v>
      </c>
      <c r="AG196" s="497">
        <v>1</v>
      </c>
      <c r="AH196" s="497" t="s">
        <v>181</v>
      </c>
      <c r="AI196" s="497" t="s">
        <v>181</v>
      </c>
      <c r="AJ196" s="497">
        <v>1</v>
      </c>
      <c r="AK196" s="497">
        <v>1</v>
      </c>
      <c r="AL196" s="500" t="str">
        <f t="shared" si="139"/>
        <v>*</v>
      </c>
      <c r="AM196" s="497" t="str">
        <f t="shared" si="139"/>
        <v>*</v>
      </c>
      <c r="AN196" s="497" t="str">
        <f t="shared" si="139"/>
        <v>*</v>
      </c>
      <c r="AO196" s="497" t="str">
        <f t="shared" si="139"/>
        <v>*</v>
      </c>
      <c r="AP196" s="497" t="str">
        <f t="shared" si="139"/>
        <v>*</v>
      </c>
      <c r="AQ196" s="497">
        <f t="shared" si="139"/>
        <v>1</v>
      </c>
      <c r="AR196" s="497" t="str">
        <f t="shared" si="139"/>
        <v>*</v>
      </c>
      <c r="AS196" s="497">
        <f t="shared" si="139"/>
        <v>1</v>
      </c>
      <c r="AT196" s="497" t="str">
        <f t="shared" si="139"/>
        <v>*</v>
      </c>
      <c r="AU196" s="497" t="str">
        <f t="shared" si="139"/>
        <v>*</v>
      </c>
      <c r="AV196" s="497">
        <f t="shared" si="139"/>
        <v>1</v>
      </c>
      <c r="AW196" s="501">
        <f t="shared" si="139"/>
        <v>1</v>
      </c>
      <c r="AX196" s="443" t="str">
        <f>MIN($Y$154,$Y$168,$Y$182,$Y$196,$Y$210,$Y$224,$Y$238,$Y$252)&amp;"-"&amp;MAX($Y$154,$Y$168,$Y$182,$Y$196,$Y$210,$Y$224,$Y$238,$Y$252)</f>
        <v>4-9</v>
      </c>
      <c r="AY196" s="443" t="s">
        <v>780</v>
      </c>
    </row>
    <row r="197" spans="1:51">
      <c r="A197" s="457" t="str">
        <f>A193&amp;"-"&amp;B197</f>
        <v>Mercury-Mars</v>
      </c>
      <c r="B197" s="495" t="s">
        <v>160</v>
      </c>
      <c r="C197" s="496">
        <f ca="1">MarsHouse</f>
        <v>10</v>
      </c>
      <c r="D197" s="497">
        <f t="shared" ca="1" si="136"/>
        <v>1</v>
      </c>
      <c r="E197" s="497" t="str">
        <f t="shared" ca="1" si="136"/>
        <v>*</v>
      </c>
      <c r="F197" s="497" t="str">
        <f t="shared" ca="1" si="136"/>
        <v>*</v>
      </c>
      <c r="G197" s="497">
        <f t="shared" ca="1" si="136"/>
        <v>1</v>
      </c>
      <c r="H197" s="497">
        <f t="shared" ca="1" si="136"/>
        <v>1</v>
      </c>
      <c r="I197" s="497">
        <f t="shared" ca="1" si="136"/>
        <v>1</v>
      </c>
      <c r="J197" s="497">
        <f t="shared" ca="1" si="136"/>
        <v>1</v>
      </c>
      <c r="K197" s="497">
        <f t="shared" ca="1" si="136"/>
        <v>1</v>
      </c>
      <c r="L197" s="497" t="str">
        <f t="shared" ca="1" si="136"/>
        <v>*</v>
      </c>
      <c r="M197" s="497">
        <f t="shared" ca="1" si="136"/>
        <v>1</v>
      </c>
      <c r="N197" s="497">
        <f t="shared" ca="1" si="136"/>
        <v>1</v>
      </c>
      <c r="O197" s="497" t="str">
        <f t="shared" ca="1" si="136"/>
        <v>*</v>
      </c>
      <c r="P197" s="498">
        <f t="shared" ca="1" si="137"/>
        <v>8</v>
      </c>
      <c r="Q197" s="496">
        <f ca="1">IF($Y$82,D193,C197)</f>
        <v>10</v>
      </c>
      <c r="S197" s="1341">
        <f ca="1">N203</f>
        <v>4</v>
      </c>
      <c r="T197" s="1342" t="str">
        <f ca="1">C193&amp;"  Ashtakavarga  "&amp;P203</f>
        <v xml:space="preserve">  Ashtakavarga  54</v>
      </c>
      <c r="U197" s="1342"/>
      <c r="V197" s="1341">
        <f ca="1">G203</f>
        <v>3</v>
      </c>
      <c r="X197" s="495" t="s">
        <v>160</v>
      </c>
      <c r="Y197" s="499">
        <f t="shared" si="138"/>
        <v>8</v>
      </c>
      <c r="Z197" s="497">
        <v>1</v>
      </c>
      <c r="AA197" s="497">
        <v>1</v>
      </c>
      <c r="AB197" s="497" t="s">
        <v>181</v>
      </c>
      <c r="AC197" s="497">
        <v>1</v>
      </c>
      <c r="AD197" s="497" t="s">
        <v>181</v>
      </c>
      <c r="AE197" s="497" t="s">
        <v>181</v>
      </c>
      <c r="AF197" s="497">
        <v>1</v>
      </c>
      <c r="AG197" s="497">
        <v>1</v>
      </c>
      <c r="AH197" s="497">
        <v>1</v>
      </c>
      <c r="AI197" s="497">
        <v>1</v>
      </c>
      <c r="AJ197" s="497">
        <v>1</v>
      </c>
      <c r="AK197" s="497" t="s">
        <v>181</v>
      </c>
      <c r="AL197" s="500">
        <f t="shared" si="139"/>
        <v>1</v>
      </c>
      <c r="AM197" s="497">
        <f t="shared" si="139"/>
        <v>1</v>
      </c>
      <c r="AN197" s="497" t="str">
        <f t="shared" si="139"/>
        <v>*</v>
      </c>
      <c r="AO197" s="497">
        <f t="shared" si="139"/>
        <v>1</v>
      </c>
      <c r="AP197" s="497" t="str">
        <f t="shared" si="139"/>
        <v>*</v>
      </c>
      <c r="AQ197" s="497" t="str">
        <f t="shared" si="139"/>
        <v>*</v>
      </c>
      <c r="AR197" s="497">
        <f t="shared" si="139"/>
        <v>1</v>
      </c>
      <c r="AS197" s="497">
        <f t="shared" si="139"/>
        <v>1</v>
      </c>
      <c r="AT197" s="497">
        <f t="shared" si="139"/>
        <v>1</v>
      </c>
      <c r="AU197" s="497">
        <f t="shared" si="139"/>
        <v>1</v>
      </c>
      <c r="AV197" s="497">
        <f t="shared" si="139"/>
        <v>1</v>
      </c>
      <c r="AW197" s="501" t="str">
        <f t="shared" si="139"/>
        <v>*</v>
      </c>
      <c r="AX197" s="443" t="str">
        <f>MIN($Y$155,$Y$169,$Y$183,$Y$197,$Y$211,$Y$225,$Y$239,$Y$253)&amp;"-"&amp;MAX($Y$155,$Y$169,$Y$183,$Y$197,$Y$211,$Y$225,$Y$239,$Y$253)</f>
        <v>5-8</v>
      </c>
      <c r="AY197" s="443" t="s">
        <v>781</v>
      </c>
    </row>
    <row r="198" spans="1:51">
      <c r="A198" s="457" t="str">
        <f>A193&amp;"-"&amp;B198</f>
        <v>Mercury-Sun</v>
      </c>
      <c r="B198" s="495" t="s">
        <v>158</v>
      </c>
      <c r="C198" s="496">
        <f ca="1">SunHouse</f>
        <v>4</v>
      </c>
      <c r="D198" s="497" t="str">
        <f t="shared" ca="1" si="136"/>
        <v>*</v>
      </c>
      <c r="E198" s="497">
        <f t="shared" ca="1" si="136"/>
        <v>1</v>
      </c>
      <c r="F198" s="497">
        <f t="shared" ca="1" si="136"/>
        <v>1</v>
      </c>
      <c r="G198" s="497" t="str">
        <f t="shared" ca="1" si="136"/>
        <v>*</v>
      </c>
      <c r="H198" s="497" t="str">
        <f t="shared" ca="1" si="136"/>
        <v>*</v>
      </c>
      <c r="I198" s="497" t="str">
        <f t="shared" ca="1" si="136"/>
        <v>*</v>
      </c>
      <c r="J198" s="497" t="str">
        <f t="shared" ca="1" si="136"/>
        <v>*</v>
      </c>
      <c r="K198" s="497">
        <f t="shared" ca="1" si="136"/>
        <v>1</v>
      </c>
      <c r="L198" s="497">
        <f t="shared" ca="1" si="136"/>
        <v>1</v>
      </c>
      <c r="M198" s="497" t="str">
        <f t="shared" ca="1" si="136"/>
        <v>*</v>
      </c>
      <c r="N198" s="497" t="str">
        <f t="shared" ca="1" si="136"/>
        <v>*</v>
      </c>
      <c r="O198" s="497">
        <f t="shared" ca="1" si="136"/>
        <v>1</v>
      </c>
      <c r="P198" s="498">
        <f t="shared" ca="1" si="137"/>
        <v>5</v>
      </c>
      <c r="Q198" s="496">
        <f ca="1">IF($Y$82,D193,C198)</f>
        <v>4</v>
      </c>
      <c r="S198" s="1341"/>
      <c r="T198" s="1341"/>
      <c r="U198" s="1342"/>
      <c r="V198" s="1341"/>
      <c r="X198" s="495" t="s">
        <v>158</v>
      </c>
      <c r="Y198" s="499">
        <f t="shared" si="138"/>
        <v>5</v>
      </c>
      <c r="Z198" s="497" t="s">
        <v>181</v>
      </c>
      <c r="AA198" s="497" t="s">
        <v>181</v>
      </c>
      <c r="AB198" s="497" t="s">
        <v>181</v>
      </c>
      <c r="AC198" s="497" t="s">
        <v>181</v>
      </c>
      <c r="AD198" s="497">
        <v>1</v>
      </c>
      <c r="AE198" s="497">
        <v>1</v>
      </c>
      <c r="AF198" s="497" t="s">
        <v>181</v>
      </c>
      <c r="AG198" s="497" t="s">
        <v>181</v>
      </c>
      <c r="AH198" s="497">
        <v>1</v>
      </c>
      <c r="AI198" s="497" t="s">
        <v>181</v>
      </c>
      <c r="AJ198" s="497">
        <v>1</v>
      </c>
      <c r="AK198" s="497">
        <v>1</v>
      </c>
      <c r="AL198" s="500" t="str">
        <f t="shared" si="139"/>
        <v>*</v>
      </c>
      <c r="AM198" s="497" t="str">
        <f t="shared" si="139"/>
        <v>*</v>
      </c>
      <c r="AN198" s="497" t="str">
        <f t="shared" si="139"/>
        <v>*</v>
      </c>
      <c r="AO198" s="497" t="str">
        <f t="shared" si="139"/>
        <v>*</v>
      </c>
      <c r="AP198" s="497">
        <f t="shared" si="139"/>
        <v>1</v>
      </c>
      <c r="AQ198" s="497">
        <f t="shared" si="139"/>
        <v>1</v>
      </c>
      <c r="AR198" s="497" t="str">
        <f t="shared" si="139"/>
        <v>*</v>
      </c>
      <c r="AS198" s="497" t="str">
        <f t="shared" si="139"/>
        <v>*</v>
      </c>
      <c r="AT198" s="497">
        <f t="shared" si="139"/>
        <v>1</v>
      </c>
      <c r="AU198" s="497" t="str">
        <f t="shared" si="139"/>
        <v>*</v>
      </c>
      <c r="AV198" s="497">
        <f t="shared" si="139"/>
        <v>1</v>
      </c>
      <c r="AW198" s="501">
        <f t="shared" si="139"/>
        <v>1</v>
      </c>
      <c r="AX198" s="443" t="str">
        <f>MIN($Y$156,$Y$170,$Y$184,$Y$198,$Y$212,$Y$226,$Y$240,$Y$254)&amp;"-"&amp;MAX($Y$156,$Y$170,$Y$184,$Y$198,$Y$212,$Y$226,$Y$240,$Y$254)</f>
        <v>3-9</v>
      </c>
    </row>
    <row r="199" spans="1:51">
      <c r="A199" s="457" t="str">
        <f>A193&amp;"-"&amp;B199</f>
        <v>Mercury-Venus</v>
      </c>
      <c r="B199" s="495" t="s">
        <v>163</v>
      </c>
      <c r="C199" s="496">
        <f ca="1">VenusHouse</f>
        <v>3</v>
      </c>
      <c r="D199" s="497">
        <f t="shared" ca="1" si="136"/>
        <v>1</v>
      </c>
      <c r="E199" s="497" t="str">
        <f t="shared" ca="1" si="136"/>
        <v>*</v>
      </c>
      <c r="F199" s="497">
        <f t="shared" ca="1" si="136"/>
        <v>1</v>
      </c>
      <c r="G199" s="497">
        <f t="shared" ca="1" si="136"/>
        <v>1</v>
      </c>
      <c r="H199" s="497">
        <f t="shared" ca="1" si="136"/>
        <v>1</v>
      </c>
      <c r="I199" s="497">
        <f t="shared" ca="1" si="136"/>
        <v>1</v>
      </c>
      <c r="J199" s="497">
        <f t="shared" ca="1" si="136"/>
        <v>1</v>
      </c>
      <c r="K199" s="497" t="str">
        <f t="shared" ca="1" si="136"/>
        <v>*</v>
      </c>
      <c r="L199" s="497" t="str">
        <f t="shared" ca="1" si="136"/>
        <v>*</v>
      </c>
      <c r="M199" s="497">
        <f t="shared" ca="1" si="136"/>
        <v>1</v>
      </c>
      <c r="N199" s="497">
        <f t="shared" ca="1" si="136"/>
        <v>1</v>
      </c>
      <c r="O199" s="497" t="str">
        <f t="shared" ca="1" si="136"/>
        <v>*</v>
      </c>
      <c r="P199" s="498">
        <f t="shared" ca="1" si="137"/>
        <v>8</v>
      </c>
      <c r="Q199" s="496">
        <f ca="1">IF($Y$82,D193,C199)</f>
        <v>3</v>
      </c>
      <c r="S199" s="1341"/>
      <c r="T199" s="1341"/>
      <c r="U199" s="1342"/>
      <c r="V199" s="1341"/>
      <c r="W199" s="443" t="s">
        <v>781</v>
      </c>
      <c r="X199" s="495" t="s">
        <v>163</v>
      </c>
      <c r="Y199" s="499">
        <f t="shared" si="138"/>
        <v>8</v>
      </c>
      <c r="Z199" s="497">
        <v>1</v>
      </c>
      <c r="AA199" s="497">
        <v>1</v>
      </c>
      <c r="AB199" s="497">
        <v>1</v>
      </c>
      <c r="AC199" s="497">
        <v>1</v>
      </c>
      <c r="AD199" s="497">
        <v>1</v>
      </c>
      <c r="AE199" s="497" t="s">
        <v>181</v>
      </c>
      <c r="AF199" s="497" t="s">
        <v>181</v>
      </c>
      <c r="AG199" s="497">
        <v>1</v>
      </c>
      <c r="AH199" s="497">
        <v>1</v>
      </c>
      <c r="AI199" s="497" t="s">
        <v>181</v>
      </c>
      <c r="AJ199" s="497">
        <v>1</v>
      </c>
      <c r="AK199" s="497" t="s">
        <v>181</v>
      </c>
      <c r="AL199" s="500">
        <f t="shared" si="139"/>
        <v>1</v>
      </c>
      <c r="AM199" s="497">
        <f t="shared" si="139"/>
        <v>1</v>
      </c>
      <c r="AN199" s="497">
        <f t="shared" si="139"/>
        <v>1</v>
      </c>
      <c r="AO199" s="497">
        <f t="shared" si="139"/>
        <v>1</v>
      </c>
      <c r="AP199" s="497">
        <f t="shared" si="139"/>
        <v>1</v>
      </c>
      <c r="AQ199" s="497" t="str">
        <f t="shared" si="139"/>
        <v>*</v>
      </c>
      <c r="AR199" s="497" t="str">
        <f t="shared" si="139"/>
        <v>*</v>
      </c>
      <c r="AS199" s="497">
        <f t="shared" si="139"/>
        <v>1</v>
      </c>
      <c r="AT199" s="497">
        <f t="shared" si="139"/>
        <v>1</v>
      </c>
      <c r="AU199" s="497" t="str">
        <f t="shared" si="139"/>
        <v>*</v>
      </c>
      <c r="AV199" s="497">
        <f t="shared" si="139"/>
        <v>1</v>
      </c>
      <c r="AW199" s="501" t="str">
        <f t="shared" si="139"/>
        <v>*</v>
      </c>
      <c r="AX199" s="443" t="str">
        <f>MIN($Y$157,$Y$171,$Y$185,$Y$199,$Y$213,$Y$227,$Y$241,$Y$255)&amp;"-"&amp;MAX($Y$157,$Y$171,$Y$185,$Y$199,$Y$213,$Y$227,$Y$241,$Y$255)</f>
        <v>3-9</v>
      </c>
    </row>
    <row r="200" spans="1:51">
      <c r="A200" s="457" t="str">
        <f>A193&amp;"-"&amp;B200</f>
        <v>Mercury-Mercury</v>
      </c>
      <c r="B200" s="495" t="s">
        <v>161</v>
      </c>
      <c r="C200" s="496">
        <f ca="1">MercuryHouse</f>
        <v>4</v>
      </c>
      <c r="D200" s="497">
        <f t="shared" ca="1" si="136"/>
        <v>1</v>
      </c>
      <c r="E200" s="497">
        <f t="shared" ca="1" si="136"/>
        <v>1</v>
      </c>
      <c r="F200" s="497">
        <f t="shared" ca="1" si="136"/>
        <v>1</v>
      </c>
      <c r="G200" s="497">
        <f t="shared" ca="1" si="136"/>
        <v>1</v>
      </c>
      <c r="H200" s="497" t="str">
        <f t="shared" ca="1" si="136"/>
        <v>*</v>
      </c>
      <c r="I200" s="497">
        <f t="shared" ca="1" si="136"/>
        <v>1</v>
      </c>
      <c r="J200" s="497" t="str">
        <f t="shared" ca="1" si="136"/>
        <v>*</v>
      </c>
      <c r="K200" s="497">
        <f t="shared" ca="1" si="136"/>
        <v>1</v>
      </c>
      <c r="L200" s="497">
        <f t="shared" ca="1" si="136"/>
        <v>1</v>
      </c>
      <c r="M200" s="497" t="str">
        <f t="shared" ca="1" si="136"/>
        <v>*</v>
      </c>
      <c r="N200" s="497" t="str">
        <f t="shared" ca="1" si="136"/>
        <v>*</v>
      </c>
      <c r="O200" s="497">
        <f t="shared" ca="1" si="136"/>
        <v>1</v>
      </c>
      <c r="P200" s="498">
        <f t="shared" ca="1" si="137"/>
        <v>8</v>
      </c>
      <c r="Q200" s="496">
        <f ca="1">IF($Y$82,D193,C200)</f>
        <v>4</v>
      </c>
      <c r="S200" s="1341">
        <f ca="1">M203</f>
        <v>4</v>
      </c>
      <c r="T200" s="1342"/>
      <c r="U200" s="1342"/>
      <c r="V200" s="1341">
        <f ca="1">H203</f>
        <v>5</v>
      </c>
      <c r="W200" s="443" t="s">
        <v>781</v>
      </c>
      <c r="X200" s="495" t="s">
        <v>161</v>
      </c>
      <c r="Y200" s="499">
        <f t="shared" si="138"/>
        <v>8</v>
      </c>
      <c r="Z200" s="497">
        <v>1</v>
      </c>
      <c r="AA200" s="497" t="s">
        <v>181</v>
      </c>
      <c r="AB200" s="497">
        <v>1</v>
      </c>
      <c r="AC200" s="497" t="s">
        <v>181</v>
      </c>
      <c r="AD200" s="497">
        <v>1</v>
      </c>
      <c r="AE200" s="497">
        <v>1</v>
      </c>
      <c r="AF200" s="497" t="s">
        <v>181</v>
      </c>
      <c r="AG200" s="497" t="s">
        <v>181</v>
      </c>
      <c r="AH200" s="497">
        <v>1</v>
      </c>
      <c r="AI200" s="497">
        <v>1</v>
      </c>
      <c r="AJ200" s="497">
        <v>1</v>
      </c>
      <c r="AK200" s="497">
        <v>1</v>
      </c>
      <c r="AL200" s="500">
        <f t="shared" si="139"/>
        <v>1</v>
      </c>
      <c r="AM200" s="497" t="str">
        <f t="shared" si="139"/>
        <v>*</v>
      </c>
      <c r="AN200" s="497">
        <f t="shared" si="139"/>
        <v>1</v>
      </c>
      <c r="AO200" s="497" t="str">
        <f t="shared" si="139"/>
        <v>*</v>
      </c>
      <c r="AP200" s="497">
        <f t="shared" si="139"/>
        <v>1</v>
      </c>
      <c r="AQ200" s="497">
        <f t="shared" si="139"/>
        <v>1</v>
      </c>
      <c r="AR200" s="497" t="str">
        <f t="shared" si="139"/>
        <v>*</v>
      </c>
      <c r="AS200" s="497" t="str">
        <f t="shared" si="139"/>
        <v>*</v>
      </c>
      <c r="AT200" s="497">
        <f t="shared" si="139"/>
        <v>1</v>
      </c>
      <c r="AU200" s="497">
        <f t="shared" si="139"/>
        <v>1</v>
      </c>
      <c r="AV200" s="497">
        <f t="shared" si="139"/>
        <v>1</v>
      </c>
      <c r="AW200" s="501">
        <f t="shared" si="139"/>
        <v>1</v>
      </c>
      <c r="AX200" s="443" t="str">
        <f>MIN($Y$158,$Y$172,$Y$186,$Y$200,$Y$214,$Y$228,$Y$242,$Y$256)&amp;"-"&amp;MAX($Y$158,$Y$172,$Y$186,$Y$200,$Y$214,$Y$228,$Y$242,$Y$256)</f>
        <v>4-8</v>
      </c>
      <c r="AY200" s="443" t="s">
        <v>781</v>
      </c>
    </row>
    <row r="201" spans="1:51">
      <c r="A201" s="457" t="str">
        <f>A193&amp;"-"&amp;B201</f>
        <v>Mercury-Moon</v>
      </c>
      <c r="B201" s="495" t="s">
        <v>159</v>
      </c>
      <c r="C201" s="496">
        <f ca="1">MoonHouse</f>
        <v>2</v>
      </c>
      <c r="D201" s="497" t="str">
        <f t="shared" ca="1" si="136"/>
        <v>*</v>
      </c>
      <c r="E201" s="497" t="str">
        <f t="shared" ca="1" si="136"/>
        <v>*</v>
      </c>
      <c r="F201" s="497">
        <f t="shared" ca="1" si="136"/>
        <v>1</v>
      </c>
      <c r="G201" s="497" t="str">
        <f t="shared" ca="1" si="136"/>
        <v>*</v>
      </c>
      <c r="H201" s="497">
        <f t="shared" ca="1" si="136"/>
        <v>1</v>
      </c>
      <c r="I201" s="497" t="str">
        <f t="shared" ca="1" si="136"/>
        <v>*</v>
      </c>
      <c r="J201" s="497">
        <f t="shared" ca="1" si="136"/>
        <v>1</v>
      </c>
      <c r="K201" s="497" t="str">
        <f t="shared" ca="1" si="136"/>
        <v>*</v>
      </c>
      <c r="L201" s="497">
        <f t="shared" ca="1" si="136"/>
        <v>1</v>
      </c>
      <c r="M201" s="497" t="str">
        <f t="shared" ca="1" si="136"/>
        <v>*</v>
      </c>
      <c r="N201" s="497">
        <f t="shared" ca="1" si="136"/>
        <v>1</v>
      </c>
      <c r="O201" s="497">
        <f t="shared" ca="1" si="136"/>
        <v>1</v>
      </c>
      <c r="P201" s="498">
        <f t="shared" ca="1" si="137"/>
        <v>6</v>
      </c>
      <c r="Q201" s="496">
        <f ca="1">IF($Y$82,D193,C201)</f>
        <v>2</v>
      </c>
      <c r="S201" s="1341"/>
      <c r="T201" s="1341"/>
      <c r="U201" s="1342"/>
      <c r="V201" s="1341"/>
      <c r="X201" s="495" t="s">
        <v>159</v>
      </c>
      <c r="Y201" s="499">
        <f t="shared" si="138"/>
        <v>6</v>
      </c>
      <c r="Z201" s="497" t="s">
        <v>181</v>
      </c>
      <c r="AA201" s="497">
        <v>1</v>
      </c>
      <c r="AB201" s="497" t="s">
        <v>181</v>
      </c>
      <c r="AC201" s="497">
        <v>1</v>
      </c>
      <c r="AD201" s="497" t="s">
        <v>181</v>
      </c>
      <c r="AE201" s="497">
        <v>1</v>
      </c>
      <c r="AF201" s="497" t="s">
        <v>181</v>
      </c>
      <c r="AG201" s="497">
        <v>1</v>
      </c>
      <c r="AH201" s="497" t="s">
        <v>181</v>
      </c>
      <c r="AI201" s="497">
        <v>1</v>
      </c>
      <c r="AJ201" s="497">
        <v>1</v>
      </c>
      <c r="AK201" s="497" t="s">
        <v>181</v>
      </c>
      <c r="AL201" s="500" t="str">
        <f t="shared" si="139"/>
        <v>*</v>
      </c>
      <c r="AM201" s="497">
        <f t="shared" si="139"/>
        <v>1</v>
      </c>
      <c r="AN201" s="497" t="str">
        <f t="shared" si="139"/>
        <v>*</v>
      </c>
      <c r="AO201" s="497">
        <f t="shared" si="139"/>
        <v>1</v>
      </c>
      <c r="AP201" s="497" t="str">
        <f t="shared" si="139"/>
        <v>*</v>
      </c>
      <c r="AQ201" s="497">
        <f t="shared" si="139"/>
        <v>1</v>
      </c>
      <c r="AR201" s="497" t="str">
        <f t="shared" si="139"/>
        <v>*</v>
      </c>
      <c r="AS201" s="497">
        <f t="shared" si="139"/>
        <v>1</v>
      </c>
      <c r="AT201" s="497" t="str">
        <f t="shared" si="139"/>
        <v>*</v>
      </c>
      <c r="AU201" s="497">
        <f t="shared" si="139"/>
        <v>1</v>
      </c>
      <c r="AV201" s="497">
        <f t="shared" si="139"/>
        <v>1</v>
      </c>
      <c r="AW201" s="501" t="str">
        <f t="shared" si="139"/>
        <v>*</v>
      </c>
      <c r="AX201" s="443" t="str">
        <f>MIN($Y$159,$Y$173,$Y$187,$Y$201,$Y$215,$Y$229,$Y$243,$Y$257)&amp;"-"&amp;MAX($Y$159,$Y$173,$Y$187,$Y$201,$Y$215,$Y$229,$Y$243,$Y$257)</f>
        <v>3-9</v>
      </c>
    </row>
    <row r="202" spans="1:51">
      <c r="A202" s="457" t="str">
        <f>A193&amp;"-"&amp;B202</f>
        <v>Mercury-Lagna</v>
      </c>
      <c r="B202" s="495" t="s">
        <v>319</v>
      </c>
      <c r="C202" s="496">
        <f ca="1">Lagnahouse</f>
        <v>5</v>
      </c>
      <c r="D202" s="497" t="str">
        <f t="shared" ca="1" si="136"/>
        <v>*</v>
      </c>
      <c r="E202" s="497">
        <f t="shared" ca="1" si="136"/>
        <v>1</v>
      </c>
      <c r="F202" s="497">
        <f t="shared" ca="1" si="136"/>
        <v>1</v>
      </c>
      <c r="G202" s="497" t="str">
        <f t="shared" ca="1" si="136"/>
        <v>*</v>
      </c>
      <c r="H202" s="497">
        <f t="shared" ca="1" si="136"/>
        <v>1</v>
      </c>
      <c r="I202" s="497">
        <f t="shared" ca="1" si="136"/>
        <v>1</v>
      </c>
      <c r="J202" s="497" t="str">
        <f t="shared" ca="1" si="136"/>
        <v>*</v>
      </c>
      <c r="K202" s="497">
        <f t="shared" ca="1" si="136"/>
        <v>1</v>
      </c>
      <c r="L202" s="497" t="str">
        <f t="shared" ca="1" si="136"/>
        <v>*</v>
      </c>
      <c r="M202" s="497">
        <f t="shared" ca="1" si="136"/>
        <v>1</v>
      </c>
      <c r="N202" s="497" t="str">
        <f t="shared" ca="1" si="136"/>
        <v>*</v>
      </c>
      <c r="O202" s="497">
        <f t="shared" ca="1" si="136"/>
        <v>1</v>
      </c>
      <c r="P202" s="498">
        <f t="shared" ca="1" si="137"/>
        <v>7</v>
      </c>
      <c r="Q202" s="496">
        <f ca="1">IF($Y$82,D193,C202)</f>
        <v>5</v>
      </c>
      <c r="S202" s="1341"/>
      <c r="T202" s="1341"/>
      <c r="U202" s="1342"/>
      <c r="V202" s="1341"/>
      <c r="X202" s="495" t="s">
        <v>319</v>
      </c>
      <c r="Y202" s="499">
        <f t="shared" si="138"/>
        <v>7</v>
      </c>
      <c r="Z202" s="497">
        <v>1</v>
      </c>
      <c r="AA202" s="497">
        <v>1</v>
      </c>
      <c r="AB202" s="497" t="s">
        <v>181</v>
      </c>
      <c r="AC202" s="497">
        <v>1</v>
      </c>
      <c r="AD202" s="497" t="s">
        <v>181</v>
      </c>
      <c r="AE202" s="497">
        <v>1</v>
      </c>
      <c r="AF202" s="497" t="s">
        <v>181</v>
      </c>
      <c r="AG202" s="497">
        <v>1</v>
      </c>
      <c r="AH202" s="497" t="s">
        <v>181</v>
      </c>
      <c r="AI202" s="497">
        <v>1</v>
      </c>
      <c r="AJ202" s="497">
        <v>1</v>
      </c>
      <c r="AK202" s="497" t="s">
        <v>181</v>
      </c>
      <c r="AL202" s="500">
        <f t="shared" si="139"/>
        <v>1</v>
      </c>
      <c r="AM202" s="497">
        <f t="shared" si="139"/>
        <v>1</v>
      </c>
      <c r="AN202" s="497" t="str">
        <f t="shared" si="139"/>
        <v>*</v>
      </c>
      <c r="AO202" s="497">
        <f t="shared" si="139"/>
        <v>1</v>
      </c>
      <c r="AP202" s="497" t="str">
        <f t="shared" si="139"/>
        <v>*</v>
      </c>
      <c r="AQ202" s="497">
        <f t="shared" si="139"/>
        <v>1</v>
      </c>
      <c r="AR202" s="497" t="str">
        <f t="shared" si="139"/>
        <v>*</v>
      </c>
      <c r="AS202" s="497">
        <f t="shared" si="139"/>
        <v>1</v>
      </c>
      <c r="AT202" s="497" t="str">
        <f t="shared" si="139"/>
        <v>*</v>
      </c>
      <c r="AU202" s="497">
        <f t="shared" si="139"/>
        <v>1</v>
      </c>
      <c r="AV202" s="497">
        <f t="shared" si="139"/>
        <v>1</v>
      </c>
      <c r="AW202" s="501" t="str">
        <f t="shared" si="139"/>
        <v>*</v>
      </c>
      <c r="AX202" s="443" t="str">
        <f>MIN($Y$160,$Y$174,$Y$188,$Y$202,$Y$216,$Y$230,$Y$244,$Y$258)&amp;"-"&amp;MAX($Y$160,$Y$174,$Y$188,$Y$202,$Y$216,$Y$230,$Y$244,$Y$258)</f>
        <v>4-9</v>
      </c>
    </row>
    <row r="203" spans="1:51">
      <c r="A203" s="457" t="str">
        <f>A193&amp;"-"&amp;B203</f>
        <v>Mercury-Mercury</v>
      </c>
      <c r="B203" s="502" t="str">
        <f>B193</f>
        <v>Mercury</v>
      </c>
      <c r="C203" s="503"/>
      <c r="D203" s="503">
        <f t="shared" ref="D203:O203" ca="1" si="140">SUM(D195:D202)</f>
        <v>4</v>
      </c>
      <c r="E203" s="503">
        <f t="shared" ca="1" si="140"/>
        <v>4</v>
      </c>
      <c r="F203" s="503">
        <f t="shared" ca="1" si="140"/>
        <v>7</v>
      </c>
      <c r="G203" s="503">
        <f t="shared" ca="1" si="140"/>
        <v>3</v>
      </c>
      <c r="H203" s="503">
        <f t="shared" ca="1" si="140"/>
        <v>5</v>
      </c>
      <c r="I203" s="503">
        <f t="shared" ca="1" si="140"/>
        <v>5</v>
      </c>
      <c r="J203" s="503">
        <f t="shared" ca="1" si="140"/>
        <v>4</v>
      </c>
      <c r="K203" s="503">
        <f t="shared" ca="1" si="140"/>
        <v>5</v>
      </c>
      <c r="L203" s="503">
        <f t="shared" ca="1" si="140"/>
        <v>4</v>
      </c>
      <c r="M203" s="503">
        <f t="shared" ca="1" si="140"/>
        <v>4</v>
      </c>
      <c r="N203" s="503">
        <f t="shared" ca="1" si="140"/>
        <v>4</v>
      </c>
      <c r="O203" s="503">
        <f t="shared" ca="1" si="140"/>
        <v>5</v>
      </c>
      <c r="P203" s="504">
        <f t="shared" ca="1" si="137"/>
        <v>54</v>
      </c>
      <c r="Q203" s="504"/>
      <c r="S203" s="1341">
        <f ca="1">L203</f>
        <v>4</v>
      </c>
      <c r="T203" s="1341">
        <f ca="1">K203</f>
        <v>5</v>
      </c>
      <c r="U203" s="1341">
        <f ca="1">J203</f>
        <v>4</v>
      </c>
      <c r="V203" s="1341">
        <f ca="1">I203</f>
        <v>5</v>
      </c>
      <c r="X203" s="502"/>
      <c r="Y203" s="505">
        <f t="shared" si="138"/>
        <v>54</v>
      </c>
      <c r="Z203" s="506">
        <f t="shared" ref="Z203:AW203" si="141">SUM(Z195:Z202)</f>
        <v>5</v>
      </c>
      <c r="AA203" s="506">
        <f t="shared" si="141"/>
        <v>5</v>
      </c>
      <c r="AB203" s="506">
        <f t="shared" si="141"/>
        <v>2</v>
      </c>
      <c r="AC203" s="506">
        <f t="shared" si="141"/>
        <v>5</v>
      </c>
      <c r="AD203" s="506">
        <f t="shared" si="141"/>
        <v>3</v>
      </c>
      <c r="AE203" s="506">
        <f t="shared" si="141"/>
        <v>5</v>
      </c>
      <c r="AF203" s="506">
        <f t="shared" si="141"/>
        <v>2</v>
      </c>
      <c r="AG203" s="506">
        <f t="shared" si="141"/>
        <v>6</v>
      </c>
      <c r="AH203" s="506">
        <f t="shared" si="141"/>
        <v>5</v>
      </c>
      <c r="AI203" s="506">
        <f t="shared" si="141"/>
        <v>5</v>
      </c>
      <c r="AJ203" s="506">
        <f t="shared" si="141"/>
        <v>8</v>
      </c>
      <c r="AK203" s="506">
        <f t="shared" si="141"/>
        <v>3</v>
      </c>
      <c r="AL203" s="511">
        <f t="shared" si="141"/>
        <v>5</v>
      </c>
      <c r="AM203" s="506">
        <f t="shared" si="141"/>
        <v>5</v>
      </c>
      <c r="AN203" s="506">
        <f t="shared" si="141"/>
        <v>2</v>
      </c>
      <c r="AO203" s="506">
        <f t="shared" si="141"/>
        <v>5</v>
      </c>
      <c r="AP203" s="506">
        <f t="shared" si="141"/>
        <v>3</v>
      </c>
      <c r="AQ203" s="506">
        <f t="shared" si="141"/>
        <v>5</v>
      </c>
      <c r="AR203" s="506">
        <f t="shared" si="141"/>
        <v>2</v>
      </c>
      <c r="AS203" s="506">
        <f t="shared" si="141"/>
        <v>6</v>
      </c>
      <c r="AT203" s="506">
        <f t="shared" si="141"/>
        <v>5</v>
      </c>
      <c r="AU203" s="506">
        <f t="shared" si="141"/>
        <v>5</v>
      </c>
      <c r="AV203" s="506">
        <f t="shared" si="141"/>
        <v>8</v>
      </c>
      <c r="AW203" s="512">
        <f t="shared" si="141"/>
        <v>3</v>
      </c>
    </row>
    <row r="204" spans="1:51">
      <c r="A204" s="457" t="str">
        <f>A193&amp;"-"&amp;B204</f>
        <v>Mercury-</v>
      </c>
      <c r="S204" s="1341"/>
      <c r="T204" s="1341"/>
      <c r="U204" s="1341"/>
      <c r="V204" s="1341"/>
      <c r="X204" s="443" t="s">
        <v>783</v>
      </c>
    </row>
    <row r="205" spans="1:51">
      <c r="A205" s="457" t="str">
        <f>A193&amp;"-"&amp;B205</f>
        <v>Mercury-</v>
      </c>
      <c r="S205" s="1341"/>
      <c r="T205" s="1341"/>
      <c r="U205" s="1341"/>
      <c r="V205" s="1341"/>
    </row>
    <row r="206" spans="1:51">
      <c r="A206" s="457" t="str">
        <f>A193&amp;"-"&amp;B206</f>
        <v>Mercury------</v>
      </c>
      <c r="B206" s="443" t="s">
        <v>776</v>
      </c>
    </row>
    <row r="207" spans="1:51">
      <c r="A207" s="457" t="str">
        <f>B207</f>
        <v>Mars</v>
      </c>
      <c r="B207" s="1346" t="str">
        <f>X207</f>
        <v>Mars</v>
      </c>
      <c r="C207" s="1346"/>
      <c r="D207" s="443">
        <f ca="1">INDIRECT(B207&amp;"house")</f>
        <v>10</v>
      </c>
      <c r="S207" s="458"/>
      <c r="T207" s="458"/>
      <c r="U207" s="458"/>
      <c r="V207" s="458"/>
      <c r="X207" s="181" t="s">
        <v>160</v>
      </c>
      <c r="Y207" s="443" t="str">
        <f>MIN(Y209:Y216)&amp;"-"&amp;MAX(Y209:Y216)</f>
        <v>3-7</v>
      </c>
      <c r="Z207" s="443" t="str">
        <f>$Z$83 &amp;  X207</f>
        <v>From Graha Good and Bad Transit of Mars</v>
      </c>
      <c r="AL207" s="443"/>
      <c r="AW207" s="443"/>
      <c r="AX207" s="443" t="s">
        <v>777</v>
      </c>
    </row>
    <row r="208" spans="1:51">
      <c r="A208" s="457" t="str">
        <f>A207&amp;"-"&amp;B208</f>
        <v>Mars-</v>
      </c>
      <c r="B208" s="487"/>
      <c r="C208" s="488" t="s">
        <v>746</v>
      </c>
      <c r="D208" s="489">
        <v>1</v>
      </c>
      <c r="E208" s="489">
        <v>2</v>
      </c>
      <c r="F208" s="489">
        <v>3</v>
      </c>
      <c r="G208" s="489">
        <v>4</v>
      </c>
      <c r="H208" s="489">
        <v>5</v>
      </c>
      <c r="I208" s="489">
        <v>6</v>
      </c>
      <c r="J208" s="489">
        <v>7</v>
      </c>
      <c r="K208" s="489">
        <v>8</v>
      </c>
      <c r="L208" s="489">
        <v>9</v>
      </c>
      <c r="M208" s="489">
        <v>10</v>
      </c>
      <c r="N208" s="489">
        <v>11</v>
      </c>
      <c r="O208" s="489">
        <v>12</v>
      </c>
      <c r="P208" s="490"/>
      <c r="Q208" s="490"/>
      <c r="S208" s="1341">
        <f ca="1">O217</f>
        <v>2</v>
      </c>
      <c r="T208" s="1341">
        <f ca="1">D217</f>
        <v>4</v>
      </c>
      <c r="U208" s="1341">
        <f ca="1">E217</f>
        <v>5</v>
      </c>
      <c r="V208" s="1341">
        <f ca="1">F217</f>
        <v>1</v>
      </c>
      <c r="X208" s="488" t="s">
        <v>778</v>
      </c>
      <c r="Y208" s="491" t="s">
        <v>779</v>
      </c>
      <c r="Z208" s="492">
        <v>1</v>
      </c>
      <c r="AA208" s="492">
        <v>2</v>
      </c>
      <c r="AB208" s="492">
        <v>3</v>
      </c>
      <c r="AC208" s="492">
        <v>4</v>
      </c>
      <c r="AD208" s="492">
        <v>5</v>
      </c>
      <c r="AE208" s="492">
        <v>6</v>
      </c>
      <c r="AF208" s="492">
        <v>7</v>
      </c>
      <c r="AG208" s="492">
        <v>8</v>
      </c>
      <c r="AH208" s="492">
        <v>9</v>
      </c>
      <c r="AI208" s="492">
        <v>10</v>
      </c>
      <c r="AJ208" s="492">
        <v>11</v>
      </c>
      <c r="AK208" s="492">
        <v>12</v>
      </c>
      <c r="AL208" s="493">
        <v>1</v>
      </c>
      <c r="AM208" s="489">
        <v>2</v>
      </c>
      <c r="AN208" s="489">
        <v>3</v>
      </c>
      <c r="AO208" s="489">
        <v>4</v>
      </c>
      <c r="AP208" s="489">
        <v>5</v>
      </c>
      <c r="AQ208" s="489">
        <v>6</v>
      </c>
      <c r="AR208" s="489">
        <v>7</v>
      </c>
      <c r="AS208" s="489">
        <v>8</v>
      </c>
      <c r="AT208" s="489">
        <v>9</v>
      </c>
      <c r="AU208" s="489">
        <v>10</v>
      </c>
      <c r="AV208" s="489">
        <v>11</v>
      </c>
      <c r="AW208" s="494">
        <v>12</v>
      </c>
    </row>
    <row r="209" spans="1:51">
      <c r="A209" s="457" t="str">
        <f>A207&amp;"-"&amp;B209</f>
        <v>Mars-Saturn</v>
      </c>
      <c r="B209" s="495" t="s">
        <v>164</v>
      </c>
      <c r="C209" s="496">
        <f ca="1">SaturnHouse</f>
        <v>2</v>
      </c>
      <c r="D209" s="497" t="str">
        <f t="shared" ref="D209:O216" ca="1" si="142">INDEX($Z209:$AW209,,12+D$152-$Q209+1)</f>
        <v>*</v>
      </c>
      <c r="E209" s="497">
        <f t="shared" ca="1" si="142"/>
        <v>1</v>
      </c>
      <c r="F209" s="497" t="str">
        <f t="shared" ca="1" si="142"/>
        <v>*</v>
      </c>
      <c r="G209" s="497" t="str">
        <f t="shared" ca="1" si="142"/>
        <v>*</v>
      </c>
      <c r="H209" s="497">
        <f t="shared" ca="1" si="142"/>
        <v>1</v>
      </c>
      <c r="I209" s="497" t="str">
        <f t="shared" ca="1" si="142"/>
        <v>*</v>
      </c>
      <c r="J209" s="497" t="str">
        <f t="shared" ca="1" si="142"/>
        <v>*</v>
      </c>
      <c r="K209" s="497">
        <f t="shared" ca="1" si="142"/>
        <v>1</v>
      </c>
      <c r="L209" s="497">
        <f t="shared" ca="1" si="142"/>
        <v>1</v>
      </c>
      <c r="M209" s="497">
        <f t="shared" ca="1" si="142"/>
        <v>1</v>
      </c>
      <c r="N209" s="497">
        <f t="shared" ca="1" si="142"/>
        <v>1</v>
      </c>
      <c r="O209" s="497">
        <f t="shared" ca="1" si="142"/>
        <v>1</v>
      </c>
      <c r="P209" s="498">
        <f t="shared" ref="P209:P217" ca="1" si="143">SUM(D209:O209)</f>
        <v>7</v>
      </c>
      <c r="Q209" s="496">
        <f ca="1">IF($Y$82,D207,C209)</f>
        <v>2</v>
      </c>
      <c r="S209" s="1341"/>
      <c r="T209" s="1341"/>
      <c r="U209" s="1341"/>
      <c r="V209" s="1341"/>
      <c r="W209" s="443" t="s">
        <v>781</v>
      </c>
      <c r="X209" s="495" t="s">
        <v>164</v>
      </c>
      <c r="Y209" s="499">
        <f t="shared" ref="Y209:Y217" si="144">SUM(Z209:AK209)</f>
        <v>7</v>
      </c>
      <c r="Z209" s="497">
        <v>1</v>
      </c>
      <c r="AA209" s="497" t="s">
        <v>181</v>
      </c>
      <c r="AB209" s="497" t="s">
        <v>181</v>
      </c>
      <c r="AC209" s="497">
        <v>1</v>
      </c>
      <c r="AD209" s="497" t="s">
        <v>181</v>
      </c>
      <c r="AE209" s="497" t="s">
        <v>181</v>
      </c>
      <c r="AF209" s="497">
        <v>1</v>
      </c>
      <c r="AG209" s="497">
        <v>1</v>
      </c>
      <c r="AH209" s="497">
        <v>1</v>
      </c>
      <c r="AI209" s="497">
        <v>1</v>
      </c>
      <c r="AJ209" s="497">
        <v>1</v>
      </c>
      <c r="AK209" s="497" t="s">
        <v>181</v>
      </c>
      <c r="AL209" s="500">
        <f t="shared" ref="AL209:AW216" si="145">Z209</f>
        <v>1</v>
      </c>
      <c r="AM209" s="497" t="str">
        <f t="shared" si="145"/>
        <v>*</v>
      </c>
      <c r="AN209" s="497" t="str">
        <f t="shared" si="145"/>
        <v>*</v>
      </c>
      <c r="AO209" s="497">
        <f t="shared" si="145"/>
        <v>1</v>
      </c>
      <c r="AP209" s="497" t="str">
        <f t="shared" si="145"/>
        <v>*</v>
      </c>
      <c r="AQ209" s="497" t="str">
        <f t="shared" si="145"/>
        <v>*</v>
      </c>
      <c r="AR209" s="497">
        <f t="shared" si="145"/>
        <v>1</v>
      </c>
      <c r="AS209" s="497">
        <f t="shared" si="145"/>
        <v>1</v>
      </c>
      <c r="AT209" s="497">
        <f t="shared" si="145"/>
        <v>1</v>
      </c>
      <c r="AU209" s="497">
        <f t="shared" si="145"/>
        <v>1</v>
      </c>
      <c r="AV209" s="497">
        <f t="shared" si="145"/>
        <v>1</v>
      </c>
      <c r="AW209" s="501" t="str">
        <f t="shared" si="145"/>
        <v>*</v>
      </c>
      <c r="AX209" s="443" t="str">
        <f>MIN($Y$153,$Y$167,$Y$181,$Y$195,$Y$209,$Y$223,$Y$237,$Y$251)&amp;"-"&amp;MAX($Y$153,$Y$167,$Y$181,$Y$195,$Y$209,$Y$223,$Y$237,$Y$251)</f>
        <v>4-8</v>
      </c>
    </row>
    <row r="210" spans="1:51">
      <c r="A210" s="457" t="str">
        <f>A207&amp;"-"&amp;B210</f>
        <v>Mars-Jupiter</v>
      </c>
      <c r="B210" s="495" t="s">
        <v>162</v>
      </c>
      <c r="C210" s="496">
        <f ca="1">JupiterHouse</f>
        <v>8</v>
      </c>
      <c r="D210" s="497">
        <f t="shared" ca="1" si="142"/>
        <v>1</v>
      </c>
      <c r="E210" s="497" t="str">
        <f t="shared" ca="1" si="142"/>
        <v>*</v>
      </c>
      <c r="F210" s="497" t="str">
        <f t="shared" ca="1" si="142"/>
        <v>*</v>
      </c>
      <c r="G210" s="497" t="str">
        <f t="shared" ca="1" si="142"/>
        <v>*</v>
      </c>
      <c r="H210" s="497">
        <f t="shared" ca="1" si="142"/>
        <v>1</v>
      </c>
      <c r="I210" s="497">
        <f t="shared" ca="1" si="142"/>
        <v>1</v>
      </c>
      <c r="J210" s="497">
        <f t="shared" ca="1" si="142"/>
        <v>1</v>
      </c>
      <c r="K210" s="497" t="str">
        <f t="shared" ca="1" si="142"/>
        <v>*</v>
      </c>
      <c r="L210" s="497" t="str">
        <f t="shared" ca="1" si="142"/>
        <v>*</v>
      </c>
      <c r="M210" s="497" t="str">
        <f t="shared" ca="1" si="142"/>
        <v>*</v>
      </c>
      <c r="N210" s="497" t="str">
        <f t="shared" ca="1" si="142"/>
        <v>*</v>
      </c>
      <c r="O210" s="497" t="str">
        <f t="shared" ca="1" si="142"/>
        <v>*</v>
      </c>
      <c r="P210" s="498">
        <f t="shared" ca="1" si="143"/>
        <v>4</v>
      </c>
      <c r="Q210" s="496">
        <f ca="1">IF($Y$82,D207,C210)</f>
        <v>8</v>
      </c>
      <c r="S210" s="1341"/>
      <c r="T210" s="1341"/>
      <c r="U210" s="1341"/>
      <c r="V210" s="1341"/>
      <c r="X210" s="495" t="s">
        <v>162</v>
      </c>
      <c r="Y210" s="499">
        <f t="shared" si="144"/>
        <v>4</v>
      </c>
      <c r="Z210" s="497" t="s">
        <v>181</v>
      </c>
      <c r="AA210" s="497" t="s">
        <v>181</v>
      </c>
      <c r="AB210" s="497" t="s">
        <v>181</v>
      </c>
      <c r="AC210" s="497" t="s">
        <v>181</v>
      </c>
      <c r="AD210" s="497" t="s">
        <v>181</v>
      </c>
      <c r="AE210" s="497">
        <v>1</v>
      </c>
      <c r="AF210" s="497" t="s">
        <v>181</v>
      </c>
      <c r="AG210" s="497" t="s">
        <v>181</v>
      </c>
      <c r="AH210" s="497" t="s">
        <v>181</v>
      </c>
      <c r="AI210" s="497">
        <v>1</v>
      </c>
      <c r="AJ210" s="497">
        <v>1</v>
      </c>
      <c r="AK210" s="497">
        <v>1</v>
      </c>
      <c r="AL210" s="500" t="str">
        <f t="shared" si="145"/>
        <v>*</v>
      </c>
      <c r="AM210" s="497" t="str">
        <f t="shared" si="145"/>
        <v>*</v>
      </c>
      <c r="AN210" s="497" t="str">
        <f t="shared" si="145"/>
        <v>*</v>
      </c>
      <c r="AO210" s="497" t="str">
        <f t="shared" si="145"/>
        <v>*</v>
      </c>
      <c r="AP210" s="497" t="str">
        <f t="shared" si="145"/>
        <v>*</v>
      </c>
      <c r="AQ210" s="497">
        <f t="shared" si="145"/>
        <v>1</v>
      </c>
      <c r="AR210" s="497" t="str">
        <f t="shared" si="145"/>
        <v>*</v>
      </c>
      <c r="AS210" s="497" t="str">
        <f t="shared" si="145"/>
        <v>*</v>
      </c>
      <c r="AT210" s="497" t="str">
        <f t="shared" si="145"/>
        <v>*</v>
      </c>
      <c r="AU210" s="497">
        <f t="shared" si="145"/>
        <v>1</v>
      </c>
      <c r="AV210" s="497">
        <f t="shared" si="145"/>
        <v>1</v>
      </c>
      <c r="AW210" s="501">
        <f t="shared" si="145"/>
        <v>1</v>
      </c>
      <c r="AX210" s="443" t="str">
        <f>MIN($Y$154,$Y$168,$Y$182,$Y$196,$Y$210,$Y$224,$Y$238,$Y$252)&amp;"-"&amp;MAX($Y$154,$Y$168,$Y$182,$Y$196,$Y$210,$Y$224,$Y$238,$Y$252)</f>
        <v>4-9</v>
      </c>
      <c r="AY210" s="443" t="s">
        <v>780</v>
      </c>
    </row>
    <row r="211" spans="1:51">
      <c r="A211" s="457" t="str">
        <f>A207&amp;"-"&amp;B211</f>
        <v>Mars-Mars</v>
      </c>
      <c r="B211" s="495" t="s">
        <v>160</v>
      </c>
      <c r="C211" s="496">
        <f ca="1">MarsHouse</f>
        <v>10</v>
      </c>
      <c r="D211" s="497">
        <f t="shared" ca="1" si="142"/>
        <v>1</v>
      </c>
      <c r="E211" s="497" t="str">
        <f t="shared" ca="1" si="142"/>
        <v>*</v>
      </c>
      <c r="F211" s="497" t="str">
        <f t="shared" ca="1" si="142"/>
        <v>*</v>
      </c>
      <c r="G211" s="497">
        <f t="shared" ca="1" si="142"/>
        <v>1</v>
      </c>
      <c r="H211" s="497">
        <f t="shared" ca="1" si="142"/>
        <v>1</v>
      </c>
      <c r="I211" s="497" t="str">
        <f t="shared" ca="1" si="142"/>
        <v>*</v>
      </c>
      <c r="J211" s="497">
        <f t="shared" ca="1" si="142"/>
        <v>1</v>
      </c>
      <c r="K211" s="497">
        <f t="shared" ca="1" si="142"/>
        <v>1</v>
      </c>
      <c r="L211" s="497" t="str">
        <f t="shared" ca="1" si="142"/>
        <v>*</v>
      </c>
      <c r="M211" s="497">
        <f t="shared" ca="1" si="142"/>
        <v>1</v>
      </c>
      <c r="N211" s="497">
        <f t="shared" ca="1" si="142"/>
        <v>1</v>
      </c>
      <c r="O211" s="497" t="str">
        <f t="shared" ca="1" si="142"/>
        <v>*</v>
      </c>
      <c r="P211" s="498">
        <f t="shared" ca="1" si="143"/>
        <v>7</v>
      </c>
      <c r="Q211" s="496">
        <f ca="1">IF($Y$82,D207,C211)</f>
        <v>10</v>
      </c>
      <c r="S211" s="1341">
        <f ca="1">N217</f>
        <v>2</v>
      </c>
      <c r="T211" s="1342" t="str">
        <f ca="1">C207&amp;"  Ashtakavarga  "&amp;P217</f>
        <v xml:space="preserve">  Ashtakavarga  39</v>
      </c>
      <c r="U211" s="1342"/>
      <c r="V211" s="1347">
        <f ca="1">G217</f>
        <v>2</v>
      </c>
      <c r="W211" s="443" t="s">
        <v>781</v>
      </c>
      <c r="X211" s="495" t="s">
        <v>160</v>
      </c>
      <c r="Y211" s="499">
        <f t="shared" si="144"/>
        <v>7</v>
      </c>
      <c r="Z211" s="497">
        <v>1</v>
      </c>
      <c r="AA211" s="497">
        <v>1</v>
      </c>
      <c r="AB211" s="497" t="s">
        <v>181</v>
      </c>
      <c r="AC211" s="497">
        <v>1</v>
      </c>
      <c r="AD211" s="497" t="s">
        <v>181</v>
      </c>
      <c r="AE211" s="497" t="s">
        <v>181</v>
      </c>
      <c r="AF211" s="497">
        <v>1</v>
      </c>
      <c r="AG211" s="497">
        <v>1</v>
      </c>
      <c r="AH211" s="497" t="s">
        <v>181</v>
      </c>
      <c r="AI211" s="497">
        <v>1</v>
      </c>
      <c r="AJ211" s="497">
        <v>1</v>
      </c>
      <c r="AK211" s="497" t="s">
        <v>181</v>
      </c>
      <c r="AL211" s="500">
        <f t="shared" si="145"/>
        <v>1</v>
      </c>
      <c r="AM211" s="497">
        <f t="shared" si="145"/>
        <v>1</v>
      </c>
      <c r="AN211" s="497" t="str">
        <f t="shared" si="145"/>
        <v>*</v>
      </c>
      <c r="AO211" s="497">
        <f t="shared" si="145"/>
        <v>1</v>
      </c>
      <c r="AP211" s="497" t="str">
        <f t="shared" si="145"/>
        <v>*</v>
      </c>
      <c r="AQ211" s="497" t="str">
        <f t="shared" si="145"/>
        <v>*</v>
      </c>
      <c r="AR211" s="497">
        <f t="shared" si="145"/>
        <v>1</v>
      </c>
      <c r="AS211" s="497">
        <f t="shared" si="145"/>
        <v>1</v>
      </c>
      <c r="AT211" s="497" t="str">
        <f t="shared" si="145"/>
        <v>*</v>
      </c>
      <c r="AU211" s="497">
        <f t="shared" si="145"/>
        <v>1</v>
      </c>
      <c r="AV211" s="497">
        <f t="shared" si="145"/>
        <v>1</v>
      </c>
      <c r="AW211" s="501" t="str">
        <f t="shared" si="145"/>
        <v>*</v>
      </c>
      <c r="AX211" s="443" t="str">
        <f>MIN($Y$155,$Y$169,$Y$183,$Y$197,$Y$211,$Y$225,$Y$239,$Y$253)&amp;"-"&amp;MAX($Y$155,$Y$169,$Y$183,$Y$197,$Y$211,$Y$225,$Y$239,$Y$253)</f>
        <v>5-8</v>
      </c>
    </row>
    <row r="212" spans="1:51">
      <c r="A212" s="457" t="str">
        <f>A207&amp;"-"&amp;B212</f>
        <v>Mars-Sun</v>
      </c>
      <c r="B212" s="495" t="s">
        <v>158</v>
      </c>
      <c r="C212" s="496">
        <f ca="1">SunHouse</f>
        <v>4</v>
      </c>
      <c r="D212" s="497">
        <f t="shared" ca="1" si="142"/>
        <v>1</v>
      </c>
      <c r="E212" s="497">
        <f t="shared" ca="1" si="142"/>
        <v>1</v>
      </c>
      <c r="F212" s="497" t="str">
        <f t="shared" ca="1" si="142"/>
        <v>*</v>
      </c>
      <c r="G212" s="497" t="str">
        <f t="shared" ca="1" si="142"/>
        <v>*</v>
      </c>
      <c r="H212" s="497" t="str">
        <f t="shared" ca="1" si="142"/>
        <v>*</v>
      </c>
      <c r="I212" s="497">
        <f t="shared" ca="1" si="142"/>
        <v>1</v>
      </c>
      <c r="J212" s="497" t="str">
        <f t="shared" ca="1" si="142"/>
        <v>*</v>
      </c>
      <c r="K212" s="497">
        <f t="shared" ca="1" si="142"/>
        <v>1</v>
      </c>
      <c r="L212" s="497">
        <f t="shared" ca="1" si="142"/>
        <v>1</v>
      </c>
      <c r="M212" s="497" t="str">
        <f t="shared" ca="1" si="142"/>
        <v>*</v>
      </c>
      <c r="N212" s="497" t="str">
        <f t="shared" ca="1" si="142"/>
        <v>*</v>
      </c>
      <c r="O212" s="497" t="str">
        <f t="shared" ca="1" si="142"/>
        <v>*</v>
      </c>
      <c r="P212" s="498">
        <f t="shared" ca="1" si="143"/>
        <v>5</v>
      </c>
      <c r="Q212" s="496">
        <f ca="1">IF($Y$82,D207,C212)</f>
        <v>4</v>
      </c>
      <c r="S212" s="1341"/>
      <c r="T212" s="1341"/>
      <c r="U212" s="1342"/>
      <c r="V212" s="1347"/>
      <c r="X212" s="495" t="s">
        <v>158</v>
      </c>
      <c r="Y212" s="499">
        <f t="shared" si="144"/>
        <v>5</v>
      </c>
      <c r="Z212" s="497" t="s">
        <v>181</v>
      </c>
      <c r="AA212" s="497" t="s">
        <v>181</v>
      </c>
      <c r="AB212" s="497">
        <v>1</v>
      </c>
      <c r="AC212" s="497" t="s">
        <v>181</v>
      </c>
      <c r="AD212" s="497">
        <v>1</v>
      </c>
      <c r="AE212" s="497">
        <v>1</v>
      </c>
      <c r="AF212" s="497" t="s">
        <v>181</v>
      </c>
      <c r="AG212" s="497" t="s">
        <v>181</v>
      </c>
      <c r="AH212" s="497" t="s">
        <v>181</v>
      </c>
      <c r="AI212" s="497">
        <v>1</v>
      </c>
      <c r="AJ212" s="497">
        <v>1</v>
      </c>
      <c r="AK212" s="497" t="s">
        <v>181</v>
      </c>
      <c r="AL212" s="500" t="str">
        <f t="shared" si="145"/>
        <v>*</v>
      </c>
      <c r="AM212" s="497" t="str">
        <f t="shared" si="145"/>
        <v>*</v>
      </c>
      <c r="AN212" s="497">
        <f t="shared" si="145"/>
        <v>1</v>
      </c>
      <c r="AO212" s="497" t="str">
        <f t="shared" si="145"/>
        <v>*</v>
      </c>
      <c r="AP212" s="497">
        <f t="shared" si="145"/>
        <v>1</v>
      </c>
      <c r="AQ212" s="497">
        <f t="shared" si="145"/>
        <v>1</v>
      </c>
      <c r="AR212" s="497" t="str">
        <f t="shared" si="145"/>
        <v>*</v>
      </c>
      <c r="AS212" s="497" t="str">
        <f t="shared" si="145"/>
        <v>*</v>
      </c>
      <c r="AT212" s="497" t="str">
        <f t="shared" si="145"/>
        <v>*</v>
      </c>
      <c r="AU212" s="497">
        <f t="shared" si="145"/>
        <v>1</v>
      </c>
      <c r="AV212" s="497">
        <f t="shared" si="145"/>
        <v>1</v>
      </c>
      <c r="AW212" s="501" t="str">
        <f t="shared" si="145"/>
        <v>*</v>
      </c>
      <c r="AX212" s="443" t="str">
        <f>MIN($Y$156,$Y$170,$Y$184,$Y$198,$Y$212,$Y$226,$Y$240,$Y$254)&amp;"-"&amp;MAX($Y$156,$Y$170,$Y$184,$Y$198,$Y$212,$Y$226,$Y$240,$Y$254)</f>
        <v>3-9</v>
      </c>
    </row>
    <row r="213" spans="1:51">
      <c r="A213" s="457" t="str">
        <f>A207&amp;"-"&amp;B213</f>
        <v>Mars-Venus</v>
      </c>
      <c r="B213" s="495" t="s">
        <v>163</v>
      </c>
      <c r="C213" s="496">
        <f ca="1">VenusHouse</f>
        <v>3</v>
      </c>
      <c r="D213" s="497">
        <f t="shared" ca="1" si="142"/>
        <v>1</v>
      </c>
      <c r="E213" s="497">
        <f t="shared" ca="1" si="142"/>
        <v>1</v>
      </c>
      <c r="F213" s="497" t="str">
        <f t="shared" ca="1" si="142"/>
        <v>*</v>
      </c>
      <c r="G213" s="497" t="str">
        <f t="shared" ca="1" si="142"/>
        <v>*</v>
      </c>
      <c r="H213" s="497" t="str">
        <f t="shared" ca="1" si="142"/>
        <v>*</v>
      </c>
      <c r="I213" s="497" t="str">
        <f t="shared" ca="1" si="142"/>
        <v>*</v>
      </c>
      <c r="J213" s="497" t="str">
        <f t="shared" ca="1" si="142"/>
        <v>*</v>
      </c>
      <c r="K213" s="497">
        <f t="shared" ca="1" si="142"/>
        <v>1</v>
      </c>
      <c r="L213" s="497" t="str">
        <f t="shared" ca="1" si="142"/>
        <v>*</v>
      </c>
      <c r="M213" s="497">
        <f t="shared" ca="1" si="142"/>
        <v>1</v>
      </c>
      <c r="N213" s="497" t="str">
        <f t="shared" ca="1" si="142"/>
        <v>*</v>
      </c>
      <c r="O213" s="497" t="str">
        <f t="shared" ca="1" si="142"/>
        <v>*</v>
      </c>
      <c r="P213" s="498">
        <f t="shared" ca="1" si="143"/>
        <v>4</v>
      </c>
      <c r="Q213" s="496">
        <f ca="1">IF($Y$82,D207,C213)</f>
        <v>3</v>
      </c>
      <c r="S213" s="1341"/>
      <c r="T213" s="1341"/>
      <c r="U213" s="1342"/>
      <c r="V213" s="1347"/>
      <c r="X213" s="495" t="s">
        <v>163</v>
      </c>
      <c r="Y213" s="499">
        <f t="shared" si="144"/>
        <v>4</v>
      </c>
      <c r="Z213" s="497" t="s">
        <v>181</v>
      </c>
      <c r="AA213" s="497" t="s">
        <v>181</v>
      </c>
      <c r="AB213" s="497" t="s">
        <v>181</v>
      </c>
      <c r="AC213" s="497" t="s">
        <v>181</v>
      </c>
      <c r="AD213" s="497" t="s">
        <v>181</v>
      </c>
      <c r="AE213" s="497">
        <v>1</v>
      </c>
      <c r="AF213" s="497" t="s">
        <v>181</v>
      </c>
      <c r="AG213" s="497">
        <v>1</v>
      </c>
      <c r="AH213" s="497" t="s">
        <v>181</v>
      </c>
      <c r="AI213" s="497" t="s">
        <v>181</v>
      </c>
      <c r="AJ213" s="497">
        <v>1</v>
      </c>
      <c r="AK213" s="497">
        <v>1</v>
      </c>
      <c r="AL213" s="500" t="str">
        <f t="shared" si="145"/>
        <v>*</v>
      </c>
      <c r="AM213" s="497" t="str">
        <f t="shared" si="145"/>
        <v>*</v>
      </c>
      <c r="AN213" s="497" t="str">
        <f t="shared" si="145"/>
        <v>*</v>
      </c>
      <c r="AO213" s="497" t="str">
        <f t="shared" si="145"/>
        <v>*</v>
      </c>
      <c r="AP213" s="497" t="str">
        <f t="shared" si="145"/>
        <v>*</v>
      </c>
      <c r="AQ213" s="497">
        <f t="shared" si="145"/>
        <v>1</v>
      </c>
      <c r="AR213" s="497" t="str">
        <f t="shared" si="145"/>
        <v>*</v>
      </c>
      <c r="AS213" s="497">
        <f t="shared" si="145"/>
        <v>1</v>
      </c>
      <c r="AT213" s="497" t="str">
        <f t="shared" si="145"/>
        <v>*</v>
      </c>
      <c r="AU213" s="497" t="str">
        <f t="shared" si="145"/>
        <v>*</v>
      </c>
      <c r="AV213" s="497">
        <f t="shared" si="145"/>
        <v>1</v>
      </c>
      <c r="AW213" s="501">
        <f t="shared" si="145"/>
        <v>1</v>
      </c>
      <c r="AX213" s="443" t="str">
        <f>MIN($Y$157,$Y$171,$Y$185,$Y$199,$Y$213,$Y$227,$Y$241,$Y$255)&amp;"-"&amp;MAX($Y$157,$Y$171,$Y$185,$Y$199,$Y$213,$Y$227,$Y$241,$Y$255)</f>
        <v>3-9</v>
      </c>
    </row>
    <row r="214" spans="1:51">
      <c r="A214" s="457" t="str">
        <f>A207&amp;"-"&amp;B214</f>
        <v>Mars-Mercury</v>
      </c>
      <c r="B214" s="495" t="s">
        <v>161</v>
      </c>
      <c r="C214" s="496">
        <f ca="1">MercuryHouse</f>
        <v>4</v>
      </c>
      <c r="D214" s="497" t="str">
        <f t="shared" ca="1" si="142"/>
        <v>*</v>
      </c>
      <c r="E214" s="497">
        <f t="shared" ca="1" si="142"/>
        <v>1</v>
      </c>
      <c r="F214" s="497" t="str">
        <f t="shared" ca="1" si="142"/>
        <v>*</v>
      </c>
      <c r="G214" s="497" t="str">
        <f t="shared" ca="1" si="142"/>
        <v>*</v>
      </c>
      <c r="H214" s="497" t="str">
        <f t="shared" ca="1" si="142"/>
        <v>*</v>
      </c>
      <c r="I214" s="497">
        <f t="shared" ca="1" si="142"/>
        <v>1</v>
      </c>
      <c r="J214" s="497" t="str">
        <f t="shared" ca="1" si="142"/>
        <v>*</v>
      </c>
      <c r="K214" s="497">
        <f t="shared" ca="1" si="142"/>
        <v>1</v>
      </c>
      <c r="L214" s="497">
        <f t="shared" ca="1" si="142"/>
        <v>1</v>
      </c>
      <c r="M214" s="497" t="str">
        <f t="shared" ca="1" si="142"/>
        <v>*</v>
      </c>
      <c r="N214" s="497" t="str">
        <f t="shared" ca="1" si="142"/>
        <v>*</v>
      </c>
      <c r="O214" s="497" t="str">
        <f t="shared" ca="1" si="142"/>
        <v>*</v>
      </c>
      <c r="P214" s="498">
        <f t="shared" ca="1" si="143"/>
        <v>4</v>
      </c>
      <c r="Q214" s="496">
        <f ca="1">IF($Y$82,D207,C214)</f>
        <v>4</v>
      </c>
      <c r="S214" s="1341">
        <f ca="1">M217</f>
        <v>4</v>
      </c>
      <c r="T214" s="1342"/>
      <c r="U214" s="1342"/>
      <c r="V214" s="1341">
        <f ca="1">H217</f>
        <v>4</v>
      </c>
      <c r="X214" s="495" t="s">
        <v>161</v>
      </c>
      <c r="Y214" s="499">
        <f t="shared" si="144"/>
        <v>4</v>
      </c>
      <c r="Z214" s="497" t="s">
        <v>181</v>
      </c>
      <c r="AA214" s="497" t="s">
        <v>181</v>
      </c>
      <c r="AB214" s="497">
        <v>1</v>
      </c>
      <c r="AC214" s="497" t="s">
        <v>181</v>
      </c>
      <c r="AD214" s="497">
        <v>1</v>
      </c>
      <c r="AE214" s="497">
        <v>1</v>
      </c>
      <c r="AF214" s="497" t="s">
        <v>181</v>
      </c>
      <c r="AG214" s="497" t="s">
        <v>181</v>
      </c>
      <c r="AH214" s="497" t="s">
        <v>181</v>
      </c>
      <c r="AI214" s="497" t="s">
        <v>181</v>
      </c>
      <c r="AJ214" s="497">
        <v>1</v>
      </c>
      <c r="AK214" s="497" t="s">
        <v>181</v>
      </c>
      <c r="AL214" s="500" t="str">
        <f t="shared" si="145"/>
        <v>*</v>
      </c>
      <c r="AM214" s="497" t="str">
        <f t="shared" si="145"/>
        <v>*</v>
      </c>
      <c r="AN214" s="497">
        <f t="shared" si="145"/>
        <v>1</v>
      </c>
      <c r="AO214" s="497" t="str">
        <f t="shared" si="145"/>
        <v>*</v>
      </c>
      <c r="AP214" s="497">
        <f t="shared" si="145"/>
        <v>1</v>
      </c>
      <c r="AQ214" s="497">
        <f t="shared" si="145"/>
        <v>1</v>
      </c>
      <c r="AR214" s="497" t="str">
        <f t="shared" si="145"/>
        <v>*</v>
      </c>
      <c r="AS214" s="497" t="str">
        <f t="shared" si="145"/>
        <v>*</v>
      </c>
      <c r="AT214" s="497" t="str">
        <f t="shared" si="145"/>
        <v>*</v>
      </c>
      <c r="AU214" s="497" t="str">
        <f t="shared" si="145"/>
        <v>*</v>
      </c>
      <c r="AV214" s="497">
        <f t="shared" si="145"/>
        <v>1</v>
      </c>
      <c r="AW214" s="501" t="str">
        <f t="shared" si="145"/>
        <v>*</v>
      </c>
      <c r="AX214" s="443" t="str">
        <f>MIN($Y$158,$Y$172,$Y$186,$Y$200,$Y$214,$Y$228,$Y$242,$Y$256)&amp;"-"&amp;MAX($Y$158,$Y$172,$Y$186,$Y$200,$Y$214,$Y$228,$Y$242,$Y$256)</f>
        <v>4-8</v>
      </c>
      <c r="AY214" s="443" t="s">
        <v>780</v>
      </c>
    </row>
    <row r="215" spans="1:51">
      <c r="A215" s="457" t="str">
        <f>A207&amp;"-"&amp;B215</f>
        <v>Mars-Moon</v>
      </c>
      <c r="B215" s="495" t="s">
        <v>159</v>
      </c>
      <c r="C215" s="496">
        <f ca="1">MoonHouse</f>
        <v>2</v>
      </c>
      <c r="D215" s="497" t="str">
        <f t="shared" ca="1" si="142"/>
        <v>*</v>
      </c>
      <c r="E215" s="497" t="str">
        <f t="shared" ca="1" si="142"/>
        <v>*</v>
      </c>
      <c r="F215" s="497" t="str">
        <f t="shared" ca="1" si="142"/>
        <v>*</v>
      </c>
      <c r="G215" s="497">
        <f t="shared" ca="1" si="142"/>
        <v>1</v>
      </c>
      <c r="H215" s="497" t="str">
        <f t="shared" ca="1" si="142"/>
        <v>*</v>
      </c>
      <c r="I215" s="497" t="str">
        <f t="shared" ca="1" si="142"/>
        <v>*</v>
      </c>
      <c r="J215" s="497">
        <f t="shared" ca="1" si="142"/>
        <v>1</v>
      </c>
      <c r="K215" s="497" t="str">
        <f t="shared" ca="1" si="142"/>
        <v>*</v>
      </c>
      <c r="L215" s="497" t="str">
        <f t="shared" ca="1" si="142"/>
        <v>*</v>
      </c>
      <c r="M215" s="497" t="str">
        <f t="shared" ca="1" si="142"/>
        <v>*</v>
      </c>
      <c r="N215" s="497" t="str">
        <f t="shared" ca="1" si="142"/>
        <v>*</v>
      </c>
      <c r="O215" s="497">
        <f t="shared" ca="1" si="142"/>
        <v>1</v>
      </c>
      <c r="P215" s="498">
        <f t="shared" ca="1" si="143"/>
        <v>3</v>
      </c>
      <c r="Q215" s="496">
        <f ca="1">IF($Y$82,D207,C215)</f>
        <v>2</v>
      </c>
      <c r="S215" s="1341"/>
      <c r="T215" s="1341"/>
      <c r="U215" s="1342"/>
      <c r="V215" s="1341"/>
      <c r="W215" s="443" t="s">
        <v>780</v>
      </c>
      <c r="X215" s="495" t="s">
        <v>159</v>
      </c>
      <c r="Y215" s="499">
        <f t="shared" si="144"/>
        <v>3</v>
      </c>
      <c r="Z215" s="497" t="s">
        <v>181</v>
      </c>
      <c r="AA215" s="497" t="s">
        <v>181</v>
      </c>
      <c r="AB215" s="497">
        <v>1</v>
      </c>
      <c r="AC215" s="497" t="s">
        <v>181</v>
      </c>
      <c r="AD215" s="497" t="s">
        <v>181</v>
      </c>
      <c r="AE215" s="497">
        <v>1</v>
      </c>
      <c r="AF215" s="497" t="s">
        <v>181</v>
      </c>
      <c r="AG215" s="497" t="s">
        <v>181</v>
      </c>
      <c r="AH215" s="497" t="s">
        <v>181</v>
      </c>
      <c r="AI215" s="497" t="s">
        <v>181</v>
      </c>
      <c r="AJ215" s="497">
        <v>1</v>
      </c>
      <c r="AK215" s="497" t="s">
        <v>181</v>
      </c>
      <c r="AL215" s="500" t="str">
        <f t="shared" si="145"/>
        <v>*</v>
      </c>
      <c r="AM215" s="497" t="str">
        <f t="shared" si="145"/>
        <v>*</v>
      </c>
      <c r="AN215" s="497">
        <f t="shared" si="145"/>
        <v>1</v>
      </c>
      <c r="AO215" s="497" t="str">
        <f t="shared" si="145"/>
        <v>*</v>
      </c>
      <c r="AP215" s="497" t="str">
        <f t="shared" si="145"/>
        <v>*</v>
      </c>
      <c r="AQ215" s="497">
        <f t="shared" si="145"/>
        <v>1</v>
      </c>
      <c r="AR215" s="497" t="str">
        <f t="shared" si="145"/>
        <v>*</v>
      </c>
      <c r="AS215" s="497" t="str">
        <f t="shared" si="145"/>
        <v>*</v>
      </c>
      <c r="AT215" s="497" t="str">
        <f t="shared" si="145"/>
        <v>*</v>
      </c>
      <c r="AU215" s="497" t="str">
        <f t="shared" si="145"/>
        <v>*</v>
      </c>
      <c r="AV215" s="497">
        <f t="shared" si="145"/>
        <v>1</v>
      </c>
      <c r="AW215" s="501" t="str">
        <f t="shared" si="145"/>
        <v>*</v>
      </c>
      <c r="AX215" s="443" t="str">
        <f>MIN($Y$159,$Y$173,$Y$187,$Y$201,$Y$215,$Y$229,$Y$243,$Y$257)&amp;"-"&amp;MAX($Y$159,$Y$173,$Y$187,$Y$201,$Y$215,$Y$229,$Y$243,$Y$257)</f>
        <v>3-9</v>
      </c>
      <c r="AY215" s="443" t="s">
        <v>780</v>
      </c>
    </row>
    <row r="216" spans="1:51">
      <c r="A216" s="457" t="str">
        <f>A207&amp;"-"&amp;B216</f>
        <v>Mars-Lagna</v>
      </c>
      <c r="B216" s="495" t="s">
        <v>319</v>
      </c>
      <c r="C216" s="496">
        <f ca="1">Lagnahouse</f>
        <v>5</v>
      </c>
      <c r="D216" s="497" t="str">
        <f t="shared" ca="1" si="142"/>
        <v>*</v>
      </c>
      <c r="E216" s="497">
        <f t="shared" ca="1" si="142"/>
        <v>1</v>
      </c>
      <c r="F216" s="497">
        <f t="shared" ca="1" si="142"/>
        <v>1</v>
      </c>
      <c r="G216" s="497" t="str">
        <f t="shared" ca="1" si="142"/>
        <v>*</v>
      </c>
      <c r="H216" s="497">
        <f t="shared" ca="1" si="142"/>
        <v>1</v>
      </c>
      <c r="I216" s="497" t="str">
        <f t="shared" ca="1" si="142"/>
        <v>*</v>
      </c>
      <c r="J216" s="497">
        <f t="shared" ca="1" si="142"/>
        <v>1</v>
      </c>
      <c r="K216" s="497" t="str">
        <f t="shared" ca="1" si="142"/>
        <v>*</v>
      </c>
      <c r="L216" s="497" t="str">
        <f t="shared" ca="1" si="142"/>
        <v>*</v>
      </c>
      <c r="M216" s="497">
        <f t="shared" ca="1" si="142"/>
        <v>1</v>
      </c>
      <c r="N216" s="497" t="str">
        <f t="shared" ca="1" si="142"/>
        <v>*</v>
      </c>
      <c r="O216" s="497" t="str">
        <f t="shared" ca="1" si="142"/>
        <v>*</v>
      </c>
      <c r="P216" s="498">
        <f t="shared" ca="1" si="143"/>
        <v>5</v>
      </c>
      <c r="Q216" s="496">
        <f ca="1">IF($Y$82,D207,C216)</f>
        <v>5</v>
      </c>
      <c r="S216" s="1341"/>
      <c r="T216" s="1341"/>
      <c r="U216" s="1342"/>
      <c r="V216" s="1341"/>
      <c r="X216" s="495" t="s">
        <v>319</v>
      </c>
      <c r="Y216" s="499">
        <f t="shared" si="144"/>
        <v>5</v>
      </c>
      <c r="Z216" s="497">
        <v>1</v>
      </c>
      <c r="AA216" s="497" t="s">
        <v>181</v>
      </c>
      <c r="AB216" s="497">
        <v>1</v>
      </c>
      <c r="AC216" s="497" t="s">
        <v>181</v>
      </c>
      <c r="AD216" s="497" t="s">
        <v>181</v>
      </c>
      <c r="AE216" s="497">
        <v>1</v>
      </c>
      <c r="AF216" s="497" t="s">
        <v>181</v>
      </c>
      <c r="AG216" s="497" t="s">
        <v>181</v>
      </c>
      <c r="AH216" s="497" t="s">
        <v>181</v>
      </c>
      <c r="AI216" s="497">
        <v>1</v>
      </c>
      <c r="AJ216" s="497">
        <v>1</v>
      </c>
      <c r="AK216" s="497" t="s">
        <v>181</v>
      </c>
      <c r="AL216" s="500">
        <f t="shared" si="145"/>
        <v>1</v>
      </c>
      <c r="AM216" s="497" t="str">
        <f t="shared" si="145"/>
        <v>*</v>
      </c>
      <c r="AN216" s="497">
        <f t="shared" si="145"/>
        <v>1</v>
      </c>
      <c r="AO216" s="497" t="str">
        <f t="shared" si="145"/>
        <v>*</v>
      </c>
      <c r="AP216" s="497" t="str">
        <f t="shared" si="145"/>
        <v>*</v>
      </c>
      <c r="AQ216" s="497">
        <f t="shared" si="145"/>
        <v>1</v>
      </c>
      <c r="AR216" s="497" t="str">
        <f t="shared" si="145"/>
        <v>*</v>
      </c>
      <c r="AS216" s="497" t="str">
        <f t="shared" si="145"/>
        <v>*</v>
      </c>
      <c r="AT216" s="497" t="str">
        <f t="shared" si="145"/>
        <v>*</v>
      </c>
      <c r="AU216" s="497">
        <f t="shared" si="145"/>
        <v>1</v>
      </c>
      <c r="AV216" s="497">
        <f t="shared" si="145"/>
        <v>1</v>
      </c>
      <c r="AW216" s="501" t="str">
        <f t="shared" si="145"/>
        <v>*</v>
      </c>
      <c r="AX216" s="443" t="str">
        <f>MIN($Y$160,$Y$174,$Y$188,$Y$202,$Y$216,$Y$230,$Y$244,$Y$258)&amp;"-"&amp;MAX($Y$160,$Y$174,$Y$188,$Y$202,$Y$216,$Y$230,$Y$244,$Y$258)</f>
        <v>4-9</v>
      </c>
    </row>
    <row r="217" spans="1:51">
      <c r="A217" s="457" t="str">
        <f>A207&amp;"-"&amp;B217</f>
        <v>Mars-Mars</v>
      </c>
      <c r="B217" s="502" t="str">
        <f>B207</f>
        <v>Mars</v>
      </c>
      <c r="C217" s="503"/>
      <c r="D217" s="503">
        <f t="shared" ref="D217:O217" ca="1" si="146">SUM(D209:D216)</f>
        <v>4</v>
      </c>
      <c r="E217" s="503">
        <f t="shared" ca="1" si="146"/>
        <v>5</v>
      </c>
      <c r="F217" s="503">
        <f t="shared" ca="1" si="146"/>
        <v>1</v>
      </c>
      <c r="G217" s="503">
        <f t="shared" ca="1" si="146"/>
        <v>2</v>
      </c>
      <c r="H217" s="503">
        <f t="shared" ca="1" si="146"/>
        <v>4</v>
      </c>
      <c r="I217" s="503">
        <f t="shared" ca="1" si="146"/>
        <v>3</v>
      </c>
      <c r="J217" s="503">
        <f t="shared" ca="1" si="146"/>
        <v>4</v>
      </c>
      <c r="K217" s="503">
        <f t="shared" ca="1" si="146"/>
        <v>5</v>
      </c>
      <c r="L217" s="503">
        <f t="shared" ca="1" si="146"/>
        <v>3</v>
      </c>
      <c r="M217" s="503">
        <f t="shared" ca="1" si="146"/>
        <v>4</v>
      </c>
      <c r="N217" s="503">
        <f t="shared" ca="1" si="146"/>
        <v>2</v>
      </c>
      <c r="O217" s="503">
        <f t="shared" ca="1" si="146"/>
        <v>2</v>
      </c>
      <c r="P217" s="504">
        <f t="shared" ca="1" si="143"/>
        <v>39</v>
      </c>
      <c r="Q217" s="504"/>
      <c r="S217" s="1341">
        <f ca="1">L217</f>
        <v>3</v>
      </c>
      <c r="T217" s="1341">
        <f ca="1">K217</f>
        <v>5</v>
      </c>
      <c r="U217" s="1341">
        <f ca="1">J217</f>
        <v>4</v>
      </c>
      <c r="V217" s="1341">
        <f ca="1">I217</f>
        <v>3</v>
      </c>
      <c r="X217" s="502"/>
      <c r="Y217" s="505">
        <f t="shared" si="144"/>
        <v>39</v>
      </c>
      <c r="Z217" s="506">
        <f t="shared" ref="Z217:AW217" si="147">SUM(Z209:Z216)</f>
        <v>3</v>
      </c>
      <c r="AA217" s="506">
        <f t="shared" si="147"/>
        <v>1</v>
      </c>
      <c r="AB217" s="506">
        <f t="shared" si="147"/>
        <v>4</v>
      </c>
      <c r="AC217" s="506">
        <f t="shared" si="147"/>
        <v>2</v>
      </c>
      <c r="AD217" s="506">
        <f t="shared" si="147"/>
        <v>2</v>
      </c>
      <c r="AE217" s="506">
        <f t="shared" si="147"/>
        <v>6</v>
      </c>
      <c r="AF217" s="506">
        <f t="shared" si="147"/>
        <v>2</v>
      </c>
      <c r="AG217" s="506">
        <f t="shared" si="147"/>
        <v>3</v>
      </c>
      <c r="AH217" s="506">
        <f t="shared" si="147"/>
        <v>1</v>
      </c>
      <c r="AI217" s="506">
        <f t="shared" si="147"/>
        <v>5</v>
      </c>
      <c r="AJ217" s="506">
        <f t="shared" si="147"/>
        <v>8</v>
      </c>
      <c r="AK217" s="506">
        <f t="shared" si="147"/>
        <v>2</v>
      </c>
      <c r="AL217" s="511">
        <f t="shared" si="147"/>
        <v>3</v>
      </c>
      <c r="AM217" s="506">
        <f t="shared" si="147"/>
        <v>1</v>
      </c>
      <c r="AN217" s="506">
        <f t="shared" si="147"/>
        <v>4</v>
      </c>
      <c r="AO217" s="506">
        <f t="shared" si="147"/>
        <v>2</v>
      </c>
      <c r="AP217" s="506">
        <f t="shared" si="147"/>
        <v>2</v>
      </c>
      <c r="AQ217" s="506">
        <f t="shared" si="147"/>
        <v>6</v>
      </c>
      <c r="AR217" s="506">
        <f t="shared" si="147"/>
        <v>2</v>
      </c>
      <c r="AS217" s="506">
        <f t="shared" si="147"/>
        <v>3</v>
      </c>
      <c r="AT217" s="506">
        <f t="shared" si="147"/>
        <v>1</v>
      </c>
      <c r="AU217" s="506">
        <f t="shared" si="147"/>
        <v>5</v>
      </c>
      <c r="AV217" s="506">
        <f t="shared" si="147"/>
        <v>8</v>
      </c>
      <c r="AW217" s="512">
        <f t="shared" si="147"/>
        <v>2</v>
      </c>
    </row>
    <row r="218" spans="1:51">
      <c r="A218" s="457" t="str">
        <f>A207&amp;"-"&amp;B218</f>
        <v>Mars-</v>
      </c>
      <c r="S218" s="1341"/>
      <c r="T218" s="1341"/>
      <c r="U218" s="1341"/>
      <c r="V218" s="1341"/>
      <c r="X218" s="443" t="s">
        <v>782</v>
      </c>
      <c r="AL218" s="443"/>
    </row>
    <row r="219" spans="1:51">
      <c r="A219" s="457" t="str">
        <f>A207&amp;"-"&amp;B219</f>
        <v>Mars-</v>
      </c>
      <c r="S219" s="1341"/>
      <c r="T219" s="1341"/>
      <c r="U219" s="1341"/>
      <c r="V219" s="1341"/>
    </row>
    <row r="220" spans="1:51">
      <c r="A220" s="457" t="str">
        <f>A207&amp;"-"&amp;B220</f>
        <v>Mars------</v>
      </c>
      <c r="B220" s="443" t="s">
        <v>776</v>
      </c>
    </row>
    <row r="221" spans="1:51">
      <c r="A221" s="457" t="str">
        <f>B221</f>
        <v>Moon</v>
      </c>
      <c r="B221" s="1346" t="str">
        <f>X221</f>
        <v>Moon</v>
      </c>
      <c r="C221" s="1346"/>
      <c r="D221" s="443">
        <f ca="1">INDIRECT(B221&amp;"house")</f>
        <v>2</v>
      </c>
      <c r="S221" s="458"/>
      <c r="T221" s="458"/>
      <c r="U221" s="458"/>
      <c r="V221" s="458"/>
      <c r="X221" s="181" t="s">
        <v>159</v>
      </c>
      <c r="Y221" s="443" t="str">
        <f>MIN(Y223:Y230)&amp;"-"&amp;MAX(Y223:Y230)</f>
        <v>4-8</v>
      </c>
      <c r="Z221" s="443" t="str">
        <f>$Z$83 &amp;  X221</f>
        <v>From Graha Good and Bad Transit of Moon</v>
      </c>
      <c r="AL221" s="443"/>
      <c r="AW221" s="443"/>
      <c r="AX221" s="443" t="s">
        <v>777</v>
      </c>
    </row>
    <row r="222" spans="1:51">
      <c r="A222" s="457" t="str">
        <f>A221&amp;"-"&amp;B222</f>
        <v>Moon-</v>
      </c>
      <c r="B222" s="487"/>
      <c r="C222" s="488" t="s">
        <v>746</v>
      </c>
      <c r="D222" s="489">
        <v>1</v>
      </c>
      <c r="E222" s="489">
        <v>2</v>
      </c>
      <c r="F222" s="489">
        <v>3</v>
      </c>
      <c r="G222" s="489">
        <v>4</v>
      </c>
      <c r="H222" s="489">
        <v>5</v>
      </c>
      <c r="I222" s="489">
        <v>6</v>
      </c>
      <c r="J222" s="489">
        <v>7</v>
      </c>
      <c r="K222" s="489">
        <v>8</v>
      </c>
      <c r="L222" s="489">
        <v>9</v>
      </c>
      <c r="M222" s="489">
        <v>10</v>
      </c>
      <c r="N222" s="489">
        <v>11</v>
      </c>
      <c r="O222" s="489">
        <v>12</v>
      </c>
      <c r="P222" s="490"/>
      <c r="Q222" s="490"/>
      <c r="S222" s="1341">
        <f ca="1">O231</f>
        <v>4</v>
      </c>
      <c r="T222" s="1341">
        <f ca="1">D231</f>
        <v>3</v>
      </c>
      <c r="U222" s="1341">
        <f ca="1">E231</f>
        <v>6</v>
      </c>
      <c r="V222" s="1341">
        <f ca="1">F231</f>
        <v>3</v>
      </c>
      <c r="X222" s="488" t="s">
        <v>778</v>
      </c>
      <c r="Y222" s="491" t="s">
        <v>779</v>
      </c>
      <c r="Z222" s="492">
        <v>1</v>
      </c>
      <c r="AA222" s="492">
        <v>2</v>
      </c>
      <c r="AB222" s="492">
        <v>3</v>
      </c>
      <c r="AC222" s="492">
        <v>4</v>
      </c>
      <c r="AD222" s="492">
        <v>5</v>
      </c>
      <c r="AE222" s="492">
        <v>6</v>
      </c>
      <c r="AF222" s="492">
        <v>7</v>
      </c>
      <c r="AG222" s="492">
        <v>8</v>
      </c>
      <c r="AH222" s="492">
        <v>9</v>
      </c>
      <c r="AI222" s="492">
        <v>10</v>
      </c>
      <c r="AJ222" s="492">
        <v>11</v>
      </c>
      <c r="AK222" s="492">
        <v>12</v>
      </c>
      <c r="AL222" s="493">
        <v>1</v>
      </c>
      <c r="AM222" s="489">
        <v>2</v>
      </c>
      <c r="AN222" s="489">
        <v>3</v>
      </c>
      <c r="AO222" s="489">
        <v>4</v>
      </c>
      <c r="AP222" s="489">
        <v>5</v>
      </c>
      <c r="AQ222" s="489">
        <v>6</v>
      </c>
      <c r="AR222" s="489">
        <v>7</v>
      </c>
      <c r="AS222" s="489">
        <v>8</v>
      </c>
      <c r="AT222" s="489">
        <v>9</v>
      </c>
      <c r="AU222" s="489">
        <v>10</v>
      </c>
      <c r="AV222" s="489">
        <v>11</v>
      </c>
      <c r="AW222" s="494">
        <v>12</v>
      </c>
    </row>
    <row r="223" spans="1:51">
      <c r="A223" s="457" t="str">
        <f>A221&amp;"-"&amp;B223</f>
        <v>Moon-Saturn</v>
      </c>
      <c r="B223" s="495" t="s">
        <v>164</v>
      </c>
      <c r="C223" s="496">
        <f ca="1">SaturnHouse</f>
        <v>2</v>
      </c>
      <c r="D223" s="497" t="str">
        <f t="shared" ref="D223:O230" ca="1" si="148">INDEX($Z223:$AW223,,12+D$152-$Q223+1)</f>
        <v>*</v>
      </c>
      <c r="E223" s="497" t="str">
        <f t="shared" ca="1" si="148"/>
        <v>*</v>
      </c>
      <c r="F223" s="497" t="str">
        <f t="shared" ca="1" si="148"/>
        <v>*</v>
      </c>
      <c r="G223" s="497">
        <f t="shared" ca="1" si="148"/>
        <v>1</v>
      </c>
      <c r="H223" s="497" t="str">
        <f t="shared" ca="1" si="148"/>
        <v>*</v>
      </c>
      <c r="I223" s="497">
        <f t="shared" ca="1" si="148"/>
        <v>1</v>
      </c>
      <c r="J223" s="497">
        <f t="shared" ca="1" si="148"/>
        <v>1</v>
      </c>
      <c r="K223" s="497" t="str">
        <f t="shared" ca="1" si="148"/>
        <v>*</v>
      </c>
      <c r="L223" s="497" t="str">
        <f t="shared" ca="1" si="148"/>
        <v>*</v>
      </c>
      <c r="M223" s="497" t="str">
        <f t="shared" ca="1" si="148"/>
        <v>*</v>
      </c>
      <c r="N223" s="497" t="str">
        <f t="shared" ca="1" si="148"/>
        <v>*</v>
      </c>
      <c r="O223" s="497">
        <f t="shared" ca="1" si="148"/>
        <v>1</v>
      </c>
      <c r="P223" s="498">
        <f t="shared" ref="P223:P231" ca="1" si="149">SUM(D223:O223)</f>
        <v>4</v>
      </c>
      <c r="Q223" s="496">
        <f ca="1">IF($Y$82,D221,C223)</f>
        <v>2</v>
      </c>
      <c r="S223" s="1341"/>
      <c r="T223" s="1341"/>
      <c r="U223" s="1341"/>
      <c r="V223" s="1341"/>
      <c r="W223" s="443" t="s">
        <v>780</v>
      </c>
      <c r="X223" s="495" t="s">
        <v>164</v>
      </c>
      <c r="Y223" s="499">
        <f t="shared" ref="Y223:Y231" si="150">SUM(Z223:AK223)</f>
        <v>4</v>
      </c>
      <c r="Z223" s="497" t="s">
        <v>181</v>
      </c>
      <c r="AA223" s="497" t="s">
        <v>181</v>
      </c>
      <c r="AB223" s="497">
        <v>1</v>
      </c>
      <c r="AC223" s="497" t="s">
        <v>181</v>
      </c>
      <c r="AD223" s="497">
        <v>1</v>
      </c>
      <c r="AE223" s="497">
        <v>1</v>
      </c>
      <c r="AF223" s="497" t="s">
        <v>181</v>
      </c>
      <c r="AG223" s="497" t="s">
        <v>181</v>
      </c>
      <c r="AH223" s="497" t="s">
        <v>181</v>
      </c>
      <c r="AI223" s="497" t="s">
        <v>181</v>
      </c>
      <c r="AJ223" s="497">
        <v>1</v>
      </c>
      <c r="AK223" s="497" t="s">
        <v>181</v>
      </c>
      <c r="AL223" s="500" t="str">
        <f t="shared" ref="AL223:AW230" si="151">Z223</f>
        <v>*</v>
      </c>
      <c r="AM223" s="497" t="str">
        <f t="shared" si="151"/>
        <v>*</v>
      </c>
      <c r="AN223" s="497">
        <f t="shared" si="151"/>
        <v>1</v>
      </c>
      <c r="AO223" s="497" t="str">
        <f t="shared" si="151"/>
        <v>*</v>
      </c>
      <c r="AP223" s="497">
        <f t="shared" si="151"/>
        <v>1</v>
      </c>
      <c r="AQ223" s="497">
        <f t="shared" si="151"/>
        <v>1</v>
      </c>
      <c r="AR223" s="497" t="str">
        <f t="shared" si="151"/>
        <v>*</v>
      </c>
      <c r="AS223" s="497" t="str">
        <f t="shared" si="151"/>
        <v>*</v>
      </c>
      <c r="AT223" s="497" t="str">
        <f t="shared" si="151"/>
        <v>*</v>
      </c>
      <c r="AU223" s="497" t="str">
        <f t="shared" si="151"/>
        <v>*</v>
      </c>
      <c r="AV223" s="497">
        <f t="shared" si="151"/>
        <v>1</v>
      </c>
      <c r="AW223" s="501" t="str">
        <f t="shared" si="151"/>
        <v>*</v>
      </c>
      <c r="AX223" s="443" t="str">
        <f>MIN($Y$153,$Y$167,$Y$181,$Y$195,$Y$209,$Y$223,$Y$237,$Y$251)&amp;"-"&amp;MAX($Y$153,$Y$167,$Y$181,$Y$195,$Y$209,$Y$223,$Y$237,$Y$251)</f>
        <v>4-8</v>
      </c>
      <c r="AY223" s="443" t="s">
        <v>780</v>
      </c>
    </row>
    <row r="224" spans="1:51">
      <c r="A224" s="457" t="str">
        <f>A221&amp;"-"&amp;B224</f>
        <v>Moon-Jupiter</v>
      </c>
      <c r="B224" s="495" t="s">
        <v>162</v>
      </c>
      <c r="C224" s="496">
        <f ca="1">JupiterHouse</f>
        <v>8</v>
      </c>
      <c r="D224" s="497" t="str">
        <f t="shared" ca="1" si="148"/>
        <v>*</v>
      </c>
      <c r="E224" s="497">
        <f t="shared" ca="1" si="148"/>
        <v>1</v>
      </c>
      <c r="F224" s="497">
        <f t="shared" ca="1" si="148"/>
        <v>1</v>
      </c>
      <c r="G224" s="497" t="str">
        <f t="shared" ca="1" si="148"/>
        <v>*</v>
      </c>
      <c r="H224" s="497">
        <f t="shared" ca="1" si="148"/>
        <v>1</v>
      </c>
      <c r="I224" s="497">
        <f t="shared" ca="1" si="148"/>
        <v>1</v>
      </c>
      <c r="J224" s="497" t="str">
        <f t="shared" ca="1" si="148"/>
        <v>*</v>
      </c>
      <c r="K224" s="497">
        <f t="shared" ca="1" si="148"/>
        <v>1</v>
      </c>
      <c r="L224" s="497">
        <f t="shared" ca="1" si="148"/>
        <v>1</v>
      </c>
      <c r="M224" s="497" t="str">
        <f t="shared" ca="1" si="148"/>
        <v>*</v>
      </c>
      <c r="N224" s="497">
        <f t="shared" ca="1" si="148"/>
        <v>1</v>
      </c>
      <c r="O224" s="497" t="str">
        <f t="shared" ca="1" si="148"/>
        <v>*</v>
      </c>
      <c r="P224" s="498">
        <f t="shared" ca="1" si="149"/>
        <v>7</v>
      </c>
      <c r="Q224" s="496">
        <f ca="1">IF($Y$82,D221,C224)</f>
        <v>8</v>
      </c>
      <c r="S224" s="1341"/>
      <c r="T224" s="1341"/>
      <c r="U224" s="1341"/>
      <c r="V224" s="1341"/>
      <c r="X224" s="495" t="s">
        <v>162</v>
      </c>
      <c r="Y224" s="499">
        <f t="shared" si="150"/>
        <v>7</v>
      </c>
      <c r="Z224" s="497">
        <v>1</v>
      </c>
      <c r="AA224" s="497">
        <v>1</v>
      </c>
      <c r="AB224" s="497" t="s">
        <v>181</v>
      </c>
      <c r="AC224" s="497">
        <v>1</v>
      </c>
      <c r="AD224" s="497" t="s">
        <v>181</v>
      </c>
      <c r="AE224" s="497" t="s">
        <v>181</v>
      </c>
      <c r="AF224" s="497">
        <v>1</v>
      </c>
      <c r="AG224" s="497">
        <v>1</v>
      </c>
      <c r="AH224" s="497" t="s">
        <v>181</v>
      </c>
      <c r="AI224" s="497">
        <v>1</v>
      </c>
      <c r="AJ224" s="497">
        <v>1</v>
      </c>
      <c r="AK224" s="497" t="s">
        <v>181</v>
      </c>
      <c r="AL224" s="500">
        <f t="shared" si="151"/>
        <v>1</v>
      </c>
      <c r="AM224" s="497">
        <f t="shared" si="151"/>
        <v>1</v>
      </c>
      <c r="AN224" s="497" t="str">
        <f t="shared" si="151"/>
        <v>*</v>
      </c>
      <c r="AO224" s="497">
        <f t="shared" si="151"/>
        <v>1</v>
      </c>
      <c r="AP224" s="497" t="str">
        <f t="shared" si="151"/>
        <v>*</v>
      </c>
      <c r="AQ224" s="497" t="str">
        <f t="shared" si="151"/>
        <v>*</v>
      </c>
      <c r="AR224" s="497">
        <f t="shared" si="151"/>
        <v>1</v>
      </c>
      <c r="AS224" s="497">
        <f t="shared" si="151"/>
        <v>1</v>
      </c>
      <c r="AT224" s="497" t="str">
        <f t="shared" si="151"/>
        <v>*</v>
      </c>
      <c r="AU224" s="497">
        <f t="shared" si="151"/>
        <v>1</v>
      </c>
      <c r="AV224" s="497">
        <f t="shared" si="151"/>
        <v>1</v>
      </c>
      <c r="AW224" s="501" t="str">
        <f t="shared" si="151"/>
        <v>*</v>
      </c>
      <c r="AX224" s="443" t="str">
        <f>MIN($Y$154,$Y$168,$Y$182,$Y$196,$Y$210,$Y$224,$Y$238,$Y$252)&amp;"-"&amp;MAX($Y$154,$Y$168,$Y$182,$Y$196,$Y$210,$Y$224,$Y$238,$Y$252)</f>
        <v>4-9</v>
      </c>
    </row>
    <row r="225" spans="1:51">
      <c r="A225" s="457" t="str">
        <f>A221&amp;"-"&amp;B225</f>
        <v>Moon-Mars</v>
      </c>
      <c r="B225" s="495" t="s">
        <v>160</v>
      </c>
      <c r="C225" s="496">
        <f ca="1">MarsHouse</f>
        <v>10</v>
      </c>
      <c r="D225" s="497" t="str">
        <f t="shared" ca="1" si="148"/>
        <v>*</v>
      </c>
      <c r="E225" s="497">
        <f t="shared" ca="1" si="148"/>
        <v>1</v>
      </c>
      <c r="F225" s="497">
        <f t="shared" ca="1" si="148"/>
        <v>1</v>
      </c>
      <c r="G225" s="497" t="str">
        <f t="shared" ca="1" si="148"/>
        <v>*</v>
      </c>
      <c r="H225" s="497" t="str">
        <f t="shared" ca="1" si="148"/>
        <v>*</v>
      </c>
      <c r="I225" s="497" t="str">
        <f t="shared" ca="1" si="148"/>
        <v>*</v>
      </c>
      <c r="J225" s="497">
        <f t="shared" ca="1" si="148"/>
        <v>1</v>
      </c>
      <c r="K225" s="497">
        <f t="shared" ca="1" si="148"/>
        <v>1</v>
      </c>
      <c r="L225" s="497" t="str">
        <f t="shared" ca="1" si="148"/>
        <v>*</v>
      </c>
      <c r="M225" s="497" t="str">
        <f t="shared" ca="1" si="148"/>
        <v>*</v>
      </c>
      <c r="N225" s="497">
        <f t="shared" ca="1" si="148"/>
        <v>1</v>
      </c>
      <c r="O225" s="497">
        <f t="shared" ca="1" si="148"/>
        <v>1</v>
      </c>
      <c r="P225" s="498">
        <f t="shared" ca="1" si="149"/>
        <v>6</v>
      </c>
      <c r="Q225" s="496">
        <f ca="1">IF($Y$82,D221,C225)</f>
        <v>10</v>
      </c>
      <c r="S225" s="1341">
        <f ca="1">N231</f>
        <v>6</v>
      </c>
      <c r="T225" s="1342" t="str">
        <f ca="1">C221&amp;"  Ashtakavarga  "&amp;P231</f>
        <v xml:space="preserve">  Ashtakavarga  49</v>
      </c>
      <c r="U225" s="1342"/>
      <c r="V225" s="1341">
        <f ca="1">G231</f>
        <v>3</v>
      </c>
      <c r="X225" s="495" t="s">
        <v>160</v>
      </c>
      <c r="Y225" s="499">
        <f t="shared" si="150"/>
        <v>6</v>
      </c>
      <c r="Z225" s="497" t="s">
        <v>181</v>
      </c>
      <c r="AA225" s="497">
        <v>1</v>
      </c>
      <c r="AB225" s="497">
        <v>1</v>
      </c>
      <c r="AC225" s="497" t="s">
        <v>181</v>
      </c>
      <c r="AD225" s="497">
        <v>1</v>
      </c>
      <c r="AE225" s="497">
        <v>1</v>
      </c>
      <c r="AF225" s="497" t="s">
        <v>181</v>
      </c>
      <c r="AG225" s="497" t="s">
        <v>181</v>
      </c>
      <c r="AH225" s="497" t="s">
        <v>181</v>
      </c>
      <c r="AI225" s="497">
        <v>1</v>
      </c>
      <c r="AJ225" s="497">
        <v>1</v>
      </c>
      <c r="AK225" s="497" t="s">
        <v>181</v>
      </c>
      <c r="AL225" s="500" t="str">
        <f t="shared" si="151"/>
        <v>*</v>
      </c>
      <c r="AM225" s="497">
        <f t="shared" si="151"/>
        <v>1</v>
      </c>
      <c r="AN225" s="497">
        <f t="shared" si="151"/>
        <v>1</v>
      </c>
      <c r="AO225" s="497" t="str">
        <f t="shared" si="151"/>
        <v>*</v>
      </c>
      <c r="AP225" s="497">
        <f t="shared" si="151"/>
        <v>1</v>
      </c>
      <c r="AQ225" s="497">
        <f t="shared" si="151"/>
        <v>1</v>
      </c>
      <c r="AR225" s="497" t="str">
        <f t="shared" si="151"/>
        <v>*</v>
      </c>
      <c r="AS225" s="497" t="str">
        <f t="shared" si="151"/>
        <v>*</v>
      </c>
      <c r="AT225" s="497" t="str">
        <f t="shared" si="151"/>
        <v>*</v>
      </c>
      <c r="AU225" s="497">
        <f t="shared" si="151"/>
        <v>1</v>
      </c>
      <c r="AV225" s="497">
        <f t="shared" si="151"/>
        <v>1</v>
      </c>
      <c r="AW225" s="501" t="str">
        <f t="shared" si="151"/>
        <v>*</v>
      </c>
      <c r="AX225" s="443" t="str">
        <f>MIN($Y$155,$Y$169,$Y$183,$Y$197,$Y$211,$Y$225,$Y$239,$Y$253)&amp;"-"&amp;MAX($Y$155,$Y$169,$Y$183,$Y$197,$Y$211,$Y$225,$Y$239,$Y$253)</f>
        <v>5-8</v>
      </c>
    </row>
    <row r="226" spans="1:51">
      <c r="A226" s="457" t="str">
        <f>A221&amp;"-"&amp;B226</f>
        <v>Moon-Sun</v>
      </c>
      <c r="B226" s="495" t="s">
        <v>158</v>
      </c>
      <c r="C226" s="496">
        <f ca="1">SunHouse</f>
        <v>4</v>
      </c>
      <c r="D226" s="497">
        <f t="shared" ca="1" si="148"/>
        <v>1</v>
      </c>
      <c r="E226" s="497">
        <f t="shared" ca="1" si="148"/>
        <v>1</v>
      </c>
      <c r="F226" s="497" t="str">
        <f t="shared" ca="1" si="148"/>
        <v>*</v>
      </c>
      <c r="G226" s="497" t="str">
        <f t="shared" ca="1" si="148"/>
        <v>*</v>
      </c>
      <c r="H226" s="497" t="str">
        <f t="shared" ca="1" si="148"/>
        <v>*</v>
      </c>
      <c r="I226" s="497">
        <f t="shared" ca="1" si="148"/>
        <v>1</v>
      </c>
      <c r="J226" s="497" t="str">
        <f t="shared" ca="1" si="148"/>
        <v>*</v>
      </c>
      <c r="K226" s="497" t="str">
        <f t="shared" ca="1" si="148"/>
        <v>*</v>
      </c>
      <c r="L226" s="497">
        <f t="shared" ca="1" si="148"/>
        <v>1</v>
      </c>
      <c r="M226" s="497">
        <f t="shared" ca="1" si="148"/>
        <v>1</v>
      </c>
      <c r="N226" s="497">
        <f t="shared" ca="1" si="148"/>
        <v>1</v>
      </c>
      <c r="O226" s="497" t="str">
        <f t="shared" ca="1" si="148"/>
        <v>*</v>
      </c>
      <c r="P226" s="498">
        <f t="shared" ca="1" si="149"/>
        <v>6</v>
      </c>
      <c r="Q226" s="496">
        <f ca="1">IF($Y$82,D221,C226)</f>
        <v>4</v>
      </c>
      <c r="S226" s="1341"/>
      <c r="T226" s="1341"/>
      <c r="U226" s="1342"/>
      <c r="V226" s="1341"/>
      <c r="X226" s="495" t="s">
        <v>158</v>
      </c>
      <c r="Y226" s="499">
        <f t="shared" si="150"/>
        <v>6</v>
      </c>
      <c r="Z226" s="497" t="s">
        <v>181</v>
      </c>
      <c r="AA226" s="497" t="s">
        <v>181</v>
      </c>
      <c r="AB226" s="497">
        <v>1</v>
      </c>
      <c r="AC226" s="497" t="s">
        <v>181</v>
      </c>
      <c r="AD226" s="497" t="s">
        <v>181</v>
      </c>
      <c r="AE226" s="497">
        <v>1</v>
      </c>
      <c r="AF226" s="497">
        <v>1</v>
      </c>
      <c r="AG226" s="497">
        <v>1</v>
      </c>
      <c r="AH226" s="497" t="s">
        <v>181</v>
      </c>
      <c r="AI226" s="497">
        <v>1</v>
      </c>
      <c r="AJ226" s="497">
        <v>1</v>
      </c>
      <c r="AK226" s="497" t="s">
        <v>181</v>
      </c>
      <c r="AL226" s="500" t="str">
        <f t="shared" si="151"/>
        <v>*</v>
      </c>
      <c r="AM226" s="497" t="str">
        <f t="shared" si="151"/>
        <v>*</v>
      </c>
      <c r="AN226" s="497">
        <f t="shared" si="151"/>
        <v>1</v>
      </c>
      <c r="AO226" s="497" t="str">
        <f t="shared" si="151"/>
        <v>*</v>
      </c>
      <c r="AP226" s="497" t="str">
        <f t="shared" si="151"/>
        <v>*</v>
      </c>
      <c r="AQ226" s="497">
        <f t="shared" si="151"/>
        <v>1</v>
      </c>
      <c r="AR226" s="497">
        <f t="shared" si="151"/>
        <v>1</v>
      </c>
      <c r="AS226" s="497">
        <f t="shared" si="151"/>
        <v>1</v>
      </c>
      <c r="AT226" s="497" t="str">
        <f t="shared" si="151"/>
        <v>*</v>
      </c>
      <c r="AU226" s="497">
        <f t="shared" si="151"/>
        <v>1</v>
      </c>
      <c r="AV226" s="497">
        <f t="shared" si="151"/>
        <v>1</v>
      </c>
      <c r="AW226" s="501" t="str">
        <f t="shared" si="151"/>
        <v>*</v>
      </c>
      <c r="AX226" s="443" t="str">
        <f>MIN($Y$156,$Y$170,$Y$184,$Y$198,$Y$212,$Y$226,$Y$240,$Y$254)&amp;"-"&amp;MAX($Y$156,$Y$170,$Y$184,$Y$198,$Y$212,$Y$226,$Y$240,$Y$254)</f>
        <v>3-9</v>
      </c>
    </row>
    <row r="227" spans="1:51">
      <c r="A227" s="457" t="str">
        <f>A221&amp;"-"&amp;B227</f>
        <v>Moon-Venus</v>
      </c>
      <c r="B227" s="495" t="s">
        <v>163</v>
      </c>
      <c r="C227" s="496">
        <f ca="1">VenusHouse</f>
        <v>3</v>
      </c>
      <c r="D227" s="497">
        <f t="shared" ca="1" si="148"/>
        <v>1</v>
      </c>
      <c r="E227" s="497" t="str">
        <f t="shared" ca="1" si="148"/>
        <v>*</v>
      </c>
      <c r="F227" s="497" t="str">
        <f t="shared" ca="1" si="148"/>
        <v>*</v>
      </c>
      <c r="G227" s="497" t="str">
        <f t="shared" ca="1" si="148"/>
        <v>*</v>
      </c>
      <c r="H227" s="497">
        <f t="shared" ca="1" si="148"/>
        <v>1</v>
      </c>
      <c r="I227" s="497">
        <f t="shared" ca="1" si="148"/>
        <v>1</v>
      </c>
      <c r="J227" s="497">
        <f t="shared" ca="1" si="148"/>
        <v>1</v>
      </c>
      <c r="K227" s="497" t="str">
        <f t="shared" ca="1" si="148"/>
        <v>*</v>
      </c>
      <c r="L227" s="497">
        <f t="shared" ca="1" si="148"/>
        <v>1</v>
      </c>
      <c r="M227" s="497" t="str">
        <f t="shared" ca="1" si="148"/>
        <v>*</v>
      </c>
      <c r="N227" s="497">
        <f t="shared" ca="1" si="148"/>
        <v>1</v>
      </c>
      <c r="O227" s="497">
        <f t="shared" ca="1" si="148"/>
        <v>1</v>
      </c>
      <c r="P227" s="498">
        <f t="shared" ca="1" si="149"/>
        <v>7</v>
      </c>
      <c r="Q227" s="496">
        <f ca="1">IF($Y$82,D221,C227)</f>
        <v>3</v>
      </c>
      <c r="S227" s="1341"/>
      <c r="T227" s="1341"/>
      <c r="U227" s="1342"/>
      <c r="V227" s="1341"/>
      <c r="X227" s="495" t="s">
        <v>163</v>
      </c>
      <c r="Y227" s="499">
        <f t="shared" si="150"/>
        <v>7</v>
      </c>
      <c r="Z227" s="497" t="s">
        <v>181</v>
      </c>
      <c r="AA227" s="497" t="s">
        <v>181</v>
      </c>
      <c r="AB227" s="497">
        <v>1</v>
      </c>
      <c r="AC227" s="497">
        <v>1</v>
      </c>
      <c r="AD227" s="497">
        <v>1</v>
      </c>
      <c r="AE227" s="497" t="s">
        <v>181</v>
      </c>
      <c r="AF227" s="497">
        <v>1</v>
      </c>
      <c r="AG227" s="497" t="s">
        <v>181</v>
      </c>
      <c r="AH227" s="497">
        <v>1</v>
      </c>
      <c r="AI227" s="497">
        <v>1</v>
      </c>
      <c r="AJ227" s="497">
        <v>1</v>
      </c>
      <c r="AK227" s="497" t="s">
        <v>181</v>
      </c>
      <c r="AL227" s="500" t="str">
        <f t="shared" si="151"/>
        <v>*</v>
      </c>
      <c r="AM227" s="497" t="str">
        <f t="shared" si="151"/>
        <v>*</v>
      </c>
      <c r="AN227" s="497">
        <f t="shared" si="151"/>
        <v>1</v>
      </c>
      <c r="AO227" s="497">
        <f t="shared" si="151"/>
        <v>1</v>
      </c>
      <c r="AP227" s="497">
        <f t="shared" si="151"/>
        <v>1</v>
      </c>
      <c r="AQ227" s="497" t="str">
        <f t="shared" si="151"/>
        <v>*</v>
      </c>
      <c r="AR227" s="497">
        <f t="shared" si="151"/>
        <v>1</v>
      </c>
      <c r="AS227" s="497" t="str">
        <f t="shared" si="151"/>
        <v>*</v>
      </c>
      <c r="AT227" s="497">
        <f t="shared" si="151"/>
        <v>1</v>
      </c>
      <c r="AU227" s="497">
        <f t="shared" si="151"/>
        <v>1</v>
      </c>
      <c r="AV227" s="497">
        <f t="shared" si="151"/>
        <v>1</v>
      </c>
      <c r="AW227" s="501" t="str">
        <f t="shared" si="151"/>
        <v>*</v>
      </c>
      <c r="AX227" s="443" t="str">
        <f>MIN($Y$157,$Y$171,$Y$185,$Y$199,$Y$213,$Y$227,$Y$241,$Y$255)&amp;"-"&amp;MAX($Y$157,$Y$171,$Y$185,$Y$199,$Y$213,$Y$227,$Y$241,$Y$255)</f>
        <v>3-9</v>
      </c>
    </row>
    <row r="228" spans="1:51">
      <c r="A228" s="457" t="str">
        <f>A221&amp;"-"&amp;B228</f>
        <v>Moon-Mercury</v>
      </c>
      <c r="B228" s="495" t="s">
        <v>161</v>
      </c>
      <c r="C228" s="496">
        <f ca="1">MercuryHouse</f>
        <v>4</v>
      </c>
      <c r="D228" s="497">
        <f t="shared" ca="1" si="148"/>
        <v>1</v>
      </c>
      <c r="E228" s="497">
        <f t="shared" ca="1" si="148"/>
        <v>1</v>
      </c>
      <c r="F228" s="497" t="str">
        <f t="shared" ca="1" si="148"/>
        <v>*</v>
      </c>
      <c r="G228" s="497">
        <f t="shared" ca="1" si="148"/>
        <v>1</v>
      </c>
      <c r="H228" s="497" t="str">
        <f t="shared" ca="1" si="148"/>
        <v>*</v>
      </c>
      <c r="I228" s="497">
        <f t="shared" ca="1" si="148"/>
        <v>1</v>
      </c>
      <c r="J228" s="497">
        <f t="shared" ca="1" si="148"/>
        <v>1</v>
      </c>
      <c r="K228" s="497">
        <f t="shared" ca="1" si="148"/>
        <v>1</v>
      </c>
      <c r="L228" s="497" t="str">
        <f t="shared" ca="1" si="148"/>
        <v>*</v>
      </c>
      <c r="M228" s="497">
        <f t="shared" ca="1" si="148"/>
        <v>1</v>
      </c>
      <c r="N228" s="497">
        <f t="shared" ca="1" si="148"/>
        <v>1</v>
      </c>
      <c r="O228" s="497" t="str">
        <f t="shared" ca="1" si="148"/>
        <v>*</v>
      </c>
      <c r="P228" s="498">
        <f t="shared" ca="1" si="149"/>
        <v>8</v>
      </c>
      <c r="Q228" s="496">
        <f ca="1">IF($Y$82,D221,C228)</f>
        <v>4</v>
      </c>
      <c r="S228" s="1341">
        <f ca="1">M231</f>
        <v>4</v>
      </c>
      <c r="T228" s="1342"/>
      <c r="U228" s="1342"/>
      <c r="V228" s="1341">
        <f ca="1">H231</f>
        <v>2</v>
      </c>
      <c r="W228" s="443" t="s">
        <v>781</v>
      </c>
      <c r="X228" s="495" t="s">
        <v>161</v>
      </c>
      <c r="Y228" s="499">
        <f t="shared" si="150"/>
        <v>8</v>
      </c>
      <c r="Z228" s="497">
        <v>1</v>
      </c>
      <c r="AA228" s="497" t="s">
        <v>181</v>
      </c>
      <c r="AB228" s="497">
        <v>1</v>
      </c>
      <c r="AC228" s="497">
        <v>1</v>
      </c>
      <c r="AD228" s="497">
        <v>1</v>
      </c>
      <c r="AE228" s="497" t="s">
        <v>181</v>
      </c>
      <c r="AF228" s="497">
        <v>1</v>
      </c>
      <c r="AG228" s="497">
        <v>1</v>
      </c>
      <c r="AH228" s="497" t="s">
        <v>181</v>
      </c>
      <c r="AI228" s="497">
        <v>1</v>
      </c>
      <c r="AJ228" s="497">
        <v>1</v>
      </c>
      <c r="AK228" s="497" t="s">
        <v>181</v>
      </c>
      <c r="AL228" s="500">
        <f t="shared" si="151"/>
        <v>1</v>
      </c>
      <c r="AM228" s="497" t="str">
        <f t="shared" si="151"/>
        <v>*</v>
      </c>
      <c r="AN228" s="497">
        <f t="shared" si="151"/>
        <v>1</v>
      </c>
      <c r="AO228" s="497">
        <f t="shared" si="151"/>
        <v>1</v>
      </c>
      <c r="AP228" s="497">
        <f t="shared" si="151"/>
        <v>1</v>
      </c>
      <c r="AQ228" s="497" t="str">
        <f t="shared" si="151"/>
        <v>*</v>
      </c>
      <c r="AR228" s="497">
        <f t="shared" si="151"/>
        <v>1</v>
      </c>
      <c r="AS228" s="497">
        <f t="shared" si="151"/>
        <v>1</v>
      </c>
      <c r="AT228" s="497" t="str">
        <f t="shared" si="151"/>
        <v>*</v>
      </c>
      <c r="AU228" s="497">
        <f t="shared" si="151"/>
        <v>1</v>
      </c>
      <c r="AV228" s="497">
        <f t="shared" si="151"/>
        <v>1</v>
      </c>
      <c r="AW228" s="501" t="str">
        <f t="shared" si="151"/>
        <v>*</v>
      </c>
      <c r="AX228" s="443" t="str">
        <f>MIN($Y$158,$Y$172,$Y$186,$Y$200,$Y$214,$Y$228,$Y$242,$Y$256)&amp;"-"&amp;MAX($Y$158,$Y$172,$Y$186,$Y$200,$Y$214,$Y$228,$Y$242,$Y$256)</f>
        <v>4-8</v>
      </c>
      <c r="AY228" s="443" t="s">
        <v>781</v>
      </c>
    </row>
    <row r="229" spans="1:51">
      <c r="A229" s="457" t="str">
        <f>A221&amp;"-"&amp;B229</f>
        <v>Moon-Moon</v>
      </c>
      <c r="B229" s="495" t="s">
        <v>159</v>
      </c>
      <c r="C229" s="496">
        <f ca="1">MoonHouse</f>
        <v>2</v>
      </c>
      <c r="D229" s="497" t="str">
        <f t="shared" ca="1" si="148"/>
        <v>*</v>
      </c>
      <c r="E229" s="497">
        <f t="shared" ca="1" si="148"/>
        <v>1</v>
      </c>
      <c r="F229" s="497" t="str">
        <f t="shared" ca="1" si="148"/>
        <v>*</v>
      </c>
      <c r="G229" s="497">
        <f t="shared" ca="1" si="148"/>
        <v>1</v>
      </c>
      <c r="H229" s="497" t="str">
        <f t="shared" ca="1" si="148"/>
        <v>*</v>
      </c>
      <c r="I229" s="497" t="str">
        <f t="shared" ca="1" si="148"/>
        <v>*</v>
      </c>
      <c r="J229" s="497">
        <f t="shared" ca="1" si="148"/>
        <v>1</v>
      </c>
      <c r="K229" s="497">
        <f t="shared" ca="1" si="148"/>
        <v>1</v>
      </c>
      <c r="L229" s="497" t="str">
        <f t="shared" ca="1" si="148"/>
        <v>*</v>
      </c>
      <c r="M229" s="497">
        <f t="shared" ca="1" si="148"/>
        <v>1</v>
      </c>
      <c r="N229" s="497">
        <f t="shared" ca="1" si="148"/>
        <v>1</v>
      </c>
      <c r="O229" s="497">
        <f t="shared" ca="1" si="148"/>
        <v>1</v>
      </c>
      <c r="P229" s="498">
        <f t="shared" ca="1" si="149"/>
        <v>7</v>
      </c>
      <c r="Q229" s="496">
        <f ca="1">IF($Y$82,D221,C229)</f>
        <v>2</v>
      </c>
      <c r="S229" s="1341"/>
      <c r="T229" s="1341"/>
      <c r="U229" s="1342"/>
      <c r="V229" s="1341"/>
      <c r="X229" s="495" t="s">
        <v>159</v>
      </c>
      <c r="Y229" s="499">
        <f t="shared" si="150"/>
        <v>7</v>
      </c>
      <c r="Z229" s="497">
        <v>1</v>
      </c>
      <c r="AA229" s="497" t="s">
        <v>181</v>
      </c>
      <c r="AB229" s="497">
        <v>1</v>
      </c>
      <c r="AC229" s="497" t="s">
        <v>181</v>
      </c>
      <c r="AD229" s="497" t="s">
        <v>181</v>
      </c>
      <c r="AE229" s="497">
        <v>1</v>
      </c>
      <c r="AF229" s="497">
        <v>1</v>
      </c>
      <c r="AG229" s="497" t="s">
        <v>181</v>
      </c>
      <c r="AH229" s="497">
        <v>1</v>
      </c>
      <c r="AI229" s="497">
        <v>1</v>
      </c>
      <c r="AJ229" s="497">
        <v>1</v>
      </c>
      <c r="AK229" s="497" t="s">
        <v>181</v>
      </c>
      <c r="AL229" s="500">
        <f t="shared" si="151"/>
        <v>1</v>
      </c>
      <c r="AM229" s="497" t="str">
        <f t="shared" si="151"/>
        <v>*</v>
      </c>
      <c r="AN229" s="497">
        <f t="shared" si="151"/>
        <v>1</v>
      </c>
      <c r="AO229" s="497" t="str">
        <f t="shared" si="151"/>
        <v>*</v>
      </c>
      <c r="AP229" s="497" t="str">
        <f t="shared" si="151"/>
        <v>*</v>
      </c>
      <c r="AQ229" s="497">
        <f t="shared" si="151"/>
        <v>1</v>
      </c>
      <c r="AR229" s="497">
        <f t="shared" si="151"/>
        <v>1</v>
      </c>
      <c r="AS229" s="497" t="str">
        <f t="shared" si="151"/>
        <v>*</v>
      </c>
      <c r="AT229" s="497">
        <f t="shared" si="151"/>
        <v>1</v>
      </c>
      <c r="AU229" s="497">
        <f t="shared" si="151"/>
        <v>1</v>
      </c>
      <c r="AV229" s="497">
        <f t="shared" si="151"/>
        <v>1</v>
      </c>
      <c r="AW229" s="501" t="str">
        <f t="shared" si="151"/>
        <v>*</v>
      </c>
      <c r="AX229" s="443" t="str">
        <f>MIN($Y$159,$Y$173,$Y$187,$Y$201,$Y$215,$Y$229,$Y$243,$Y$257)&amp;"-"&amp;MAX($Y$159,$Y$173,$Y$187,$Y$201,$Y$215,$Y$229,$Y$243,$Y$257)</f>
        <v>3-9</v>
      </c>
    </row>
    <row r="230" spans="1:51">
      <c r="A230" s="457" t="str">
        <f>A221&amp;"-"&amp;B230</f>
        <v>Moon-Lagna</v>
      </c>
      <c r="B230" s="495" t="s">
        <v>319</v>
      </c>
      <c r="C230" s="496">
        <f ca="1">Lagnahouse</f>
        <v>5</v>
      </c>
      <c r="D230" s="497" t="str">
        <f t="shared" ca="1" si="148"/>
        <v>*</v>
      </c>
      <c r="E230" s="497">
        <f t="shared" ca="1" si="148"/>
        <v>1</v>
      </c>
      <c r="F230" s="497">
        <f t="shared" ca="1" si="148"/>
        <v>1</v>
      </c>
      <c r="G230" s="497" t="str">
        <f t="shared" ca="1" si="148"/>
        <v>*</v>
      </c>
      <c r="H230" s="497" t="str">
        <f t="shared" ca="1" si="148"/>
        <v>*</v>
      </c>
      <c r="I230" s="497" t="str">
        <f t="shared" ca="1" si="148"/>
        <v>*</v>
      </c>
      <c r="J230" s="497">
        <f t="shared" ca="1" si="148"/>
        <v>1</v>
      </c>
      <c r="K230" s="497" t="str">
        <f t="shared" ca="1" si="148"/>
        <v>*</v>
      </c>
      <c r="L230" s="497" t="str">
        <f t="shared" ca="1" si="148"/>
        <v>*</v>
      </c>
      <c r="M230" s="497">
        <f t="shared" ca="1" si="148"/>
        <v>1</v>
      </c>
      <c r="N230" s="497" t="str">
        <f t="shared" ca="1" si="148"/>
        <v>*</v>
      </c>
      <c r="O230" s="497" t="str">
        <f t="shared" ca="1" si="148"/>
        <v>*</v>
      </c>
      <c r="P230" s="498">
        <f t="shared" ca="1" si="149"/>
        <v>4</v>
      </c>
      <c r="Q230" s="496">
        <f ca="1">IF($Y$82,D221,C230)</f>
        <v>5</v>
      </c>
      <c r="S230" s="1341"/>
      <c r="T230" s="1341"/>
      <c r="U230" s="1342"/>
      <c r="V230" s="1341"/>
      <c r="W230" s="443" t="s">
        <v>780</v>
      </c>
      <c r="X230" s="495" t="s">
        <v>319</v>
      </c>
      <c r="Y230" s="499">
        <f t="shared" si="150"/>
        <v>4</v>
      </c>
      <c r="Z230" s="497" t="s">
        <v>181</v>
      </c>
      <c r="AA230" s="497" t="s">
        <v>181</v>
      </c>
      <c r="AB230" s="497">
        <v>1</v>
      </c>
      <c r="AC230" s="497" t="s">
        <v>181</v>
      </c>
      <c r="AD230" s="497" t="s">
        <v>181</v>
      </c>
      <c r="AE230" s="497">
        <v>1</v>
      </c>
      <c r="AF230" s="497" t="s">
        <v>181</v>
      </c>
      <c r="AG230" s="497" t="s">
        <v>181</v>
      </c>
      <c r="AH230" s="497" t="s">
        <v>181</v>
      </c>
      <c r="AI230" s="497">
        <v>1</v>
      </c>
      <c r="AJ230" s="497">
        <v>1</v>
      </c>
      <c r="AK230" s="497" t="s">
        <v>181</v>
      </c>
      <c r="AL230" s="500" t="str">
        <f t="shared" si="151"/>
        <v>*</v>
      </c>
      <c r="AM230" s="497" t="str">
        <f t="shared" si="151"/>
        <v>*</v>
      </c>
      <c r="AN230" s="497">
        <f t="shared" si="151"/>
        <v>1</v>
      </c>
      <c r="AO230" s="497" t="str">
        <f t="shared" si="151"/>
        <v>*</v>
      </c>
      <c r="AP230" s="497" t="str">
        <f t="shared" si="151"/>
        <v>*</v>
      </c>
      <c r="AQ230" s="497">
        <f t="shared" si="151"/>
        <v>1</v>
      </c>
      <c r="AR230" s="497" t="str">
        <f t="shared" si="151"/>
        <v>*</v>
      </c>
      <c r="AS230" s="497" t="str">
        <f t="shared" si="151"/>
        <v>*</v>
      </c>
      <c r="AT230" s="497" t="str">
        <f t="shared" si="151"/>
        <v>*</v>
      </c>
      <c r="AU230" s="497">
        <f t="shared" si="151"/>
        <v>1</v>
      </c>
      <c r="AV230" s="497">
        <f t="shared" si="151"/>
        <v>1</v>
      </c>
      <c r="AW230" s="501" t="str">
        <f t="shared" si="151"/>
        <v>*</v>
      </c>
      <c r="AX230" s="443" t="str">
        <f>MIN($Y$160,$Y$174,$Y$188,$Y$202,$Y$216,$Y$230,$Y$244,$Y$258)&amp;"-"&amp;MAX($Y$160,$Y$174,$Y$188,$Y$202,$Y$216,$Y$230,$Y$244,$Y$258)</f>
        <v>4-9</v>
      </c>
      <c r="AY230" s="443" t="s">
        <v>780</v>
      </c>
    </row>
    <row r="231" spans="1:51">
      <c r="A231" s="457" t="str">
        <f>A221&amp;"-"&amp;B231</f>
        <v>Moon-Moon</v>
      </c>
      <c r="B231" s="502" t="str">
        <f>B221</f>
        <v>Moon</v>
      </c>
      <c r="C231" s="503"/>
      <c r="D231" s="503">
        <f t="shared" ref="D231:O231" ca="1" si="152">SUM(D223:D230)</f>
        <v>3</v>
      </c>
      <c r="E231" s="503">
        <f t="shared" ca="1" si="152"/>
        <v>6</v>
      </c>
      <c r="F231" s="503">
        <f t="shared" ca="1" si="152"/>
        <v>3</v>
      </c>
      <c r="G231" s="503">
        <f t="shared" ca="1" si="152"/>
        <v>3</v>
      </c>
      <c r="H231" s="503">
        <f t="shared" ca="1" si="152"/>
        <v>2</v>
      </c>
      <c r="I231" s="503">
        <f t="shared" ca="1" si="152"/>
        <v>5</v>
      </c>
      <c r="J231" s="503">
        <f t="shared" ca="1" si="152"/>
        <v>6</v>
      </c>
      <c r="K231" s="503">
        <f t="shared" ca="1" si="152"/>
        <v>4</v>
      </c>
      <c r="L231" s="503">
        <f t="shared" ca="1" si="152"/>
        <v>3</v>
      </c>
      <c r="M231" s="503">
        <f t="shared" ca="1" si="152"/>
        <v>4</v>
      </c>
      <c r="N231" s="503">
        <f t="shared" ca="1" si="152"/>
        <v>6</v>
      </c>
      <c r="O231" s="503">
        <f t="shared" ca="1" si="152"/>
        <v>4</v>
      </c>
      <c r="P231" s="504">
        <f t="shared" ca="1" si="149"/>
        <v>49</v>
      </c>
      <c r="Q231" s="504"/>
      <c r="S231" s="1341">
        <f ca="1">L231</f>
        <v>3</v>
      </c>
      <c r="T231" s="1341">
        <f ca="1">K231</f>
        <v>4</v>
      </c>
      <c r="U231" s="1341">
        <f ca="1">J231</f>
        <v>6</v>
      </c>
      <c r="V231" s="1341">
        <f ca="1">I231</f>
        <v>5</v>
      </c>
      <c r="X231" s="502"/>
      <c r="Y231" s="505">
        <f t="shared" si="150"/>
        <v>49</v>
      </c>
      <c r="Z231" s="506">
        <f t="shared" ref="Z231:AW231" si="153">SUM(Z223:Z230)</f>
        <v>3</v>
      </c>
      <c r="AA231" s="506">
        <f t="shared" si="153"/>
        <v>2</v>
      </c>
      <c r="AB231" s="506">
        <f t="shared" si="153"/>
        <v>7</v>
      </c>
      <c r="AC231" s="506">
        <f t="shared" si="153"/>
        <v>3</v>
      </c>
      <c r="AD231" s="506">
        <f t="shared" si="153"/>
        <v>4</v>
      </c>
      <c r="AE231" s="506">
        <f t="shared" si="153"/>
        <v>5</v>
      </c>
      <c r="AF231" s="506">
        <f t="shared" si="153"/>
        <v>5</v>
      </c>
      <c r="AG231" s="506">
        <f t="shared" si="153"/>
        <v>3</v>
      </c>
      <c r="AH231" s="506">
        <f t="shared" si="153"/>
        <v>2</v>
      </c>
      <c r="AI231" s="506">
        <f t="shared" si="153"/>
        <v>7</v>
      </c>
      <c r="AJ231" s="506">
        <f t="shared" si="153"/>
        <v>8</v>
      </c>
      <c r="AK231" s="506">
        <f t="shared" si="153"/>
        <v>0</v>
      </c>
      <c r="AL231" s="511">
        <f t="shared" si="153"/>
        <v>3</v>
      </c>
      <c r="AM231" s="506">
        <f t="shared" si="153"/>
        <v>2</v>
      </c>
      <c r="AN231" s="506">
        <f t="shared" si="153"/>
        <v>7</v>
      </c>
      <c r="AO231" s="506">
        <f t="shared" si="153"/>
        <v>3</v>
      </c>
      <c r="AP231" s="506">
        <f t="shared" si="153"/>
        <v>4</v>
      </c>
      <c r="AQ231" s="506">
        <f t="shared" si="153"/>
        <v>5</v>
      </c>
      <c r="AR231" s="506">
        <f t="shared" si="153"/>
        <v>5</v>
      </c>
      <c r="AS231" s="506">
        <f t="shared" si="153"/>
        <v>3</v>
      </c>
      <c r="AT231" s="506">
        <f t="shared" si="153"/>
        <v>2</v>
      </c>
      <c r="AU231" s="506">
        <f t="shared" si="153"/>
        <v>7</v>
      </c>
      <c r="AV231" s="506">
        <f t="shared" si="153"/>
        <v>8</v>
      </c>
      <c r="AW231" s="512">
        <f t="shared" si="153"/>
        <v>0</v>
      </c>
    </row>
    <row r="232" spans="1:51">
      <c r="A232" s="457" t="str">
        <f>A221&amp;"-"&amp;B232</f>
        <v>Moon-</v>
      </c>
      <c r="S232" s="1341"/>
      <c r="T232" s="1341"/>
      <c r="U232" s="1341"/>
      <c r="V232" s="1341"/>
      <c r="X232" s="443" t="s">
        <v>782</v>
      </c>
      <c r="AL232" s="443"/>
    </row>
    <row r="233" spans="1:51">
      <c r="A233" s="457" t="str">
        <f>A221&amp;"-"&amp;B233</f>
        <v>Moon-</v>
      </c>
      <c r="S233" s="1341"/>
      <c r="T233" s="1341"/>
      <c r="U233" s="1341"/>
      <c r="V233" s="1341"/>
    </row>
    <row r="234" spans="1:51">
      <c r="A234" s="457" t="str">
        <f>A221&amp;"-"&amp;B234</f>
        <v>Moon------</v>
      </c>
      <c r="B234" s="443" t="s">
        <v>776</v>
      </c>
    </row>
    <row r="235" spans="1:51">
      <c r="A235" s="457" t="str">
        <f>B235</f>
        <v>Sun</v>
      </c>
      <c r="B235" s="1346" t="str">
        <f>X235</f>
        <v>Sun</v>
      </c>
      <c r="C235" s="1346"/>
      <c r="D235" s="443">
        <f ca="1">INDIRECT(B235&amp;"house")</f>
        <v>4</v>
      </c>
      <c r="S235" s="458"/>
      <c r="T235" s="458"/>
      <c r="U235" s="458"/>
      <c r="V235" s="458"/>
      <c r="X235" s="181" t="s">
        <v>158</v>
      </c>
      <c r="Y235" s="443" t="str">
        <f>MIN(Y237:Y244)&amp;"-"&amp;MAX(Y237:Y244)</f>
        <v>3-8</v>
      </c>
      <c r="Z235" s="443" t="str">
        <f>$Z$83 &amp;  X235</f>
        <v>From Graha Good and Bad Transit of Sun</v>
      </c>
      <c r="AL235" s="443"/>
      <c r="AW235" s="443"/>
      <c r="AX235" s="443" t="s">
        <v>777</v>
      </c>
    </row>
    <row r="236" spans="1:51">
      <c r="A236" s="457" t="str">
        <f>A235&amp;"-"&amp;B236</f>
        <v>Sun-</v>
      </c>
      <c r="B236" s="487"/>
      <c r="C236" s="488" t="s">
        <v>746</v>
      </c>
      <c r="D236" s="489">
        <v>1</v>
      </c>
      <c r="E236" s="489">
        <v>2</v>
      </c>
      <c r="F236" s="489">
        <v>3</v>
      </c>
      <c r="G236" s="489">
        <v>4</v>
      </c>
      <c r="H236" s="489">
        <v>5</v>
      </c>
      <c r="I236" s="489">
        <v>6</v>
      </c>
      <c r="J236" s="489">
        <v>7</v>
      </c>
      <c r="K236" s="489">
        <v>8</v>
      </c>
      <c r="L236" s="489">
        <v>9</v>
      </c>
      <c r="M236" s="489">
        <v>10</v>
      </c>
      <c r="N236" s="489">
        <v>11</v>
      </c>
      <c r="O236" s="489">
        <v>12</v>
      </c>
      <c r="P236" s="490"/>
      <c r="Q236" s="490"/>
      <c r="S236" s="1341">
        <f ca="1">O245</f>
        <v>5</v>
      </c>
      <c r="T236" s="1341">
        <f ca="1">D245</f>
        <v>4</v>
      </c>
      <c r="U236" s="1341">
        <f ca="1">E245</f>
        <v>5</v>
      </c>
      <c r="V236" s="1341">
        <f ca="1">F245</f>
        <v>3</v>
      </c>
      <c r="X236" s="488" t="s">
        <v>778</v>
      </c>
      <c r="Y236" s="491" t="s">
        <v>779</v>
      </c>
      <c r="Z236" s="492">
        <v>1</v>
      </c>
      <c r="AA236" s="492">
        <v>2</v>
      </c>
      <c r="AB236" s="492">
        <v>3</v>
      </c>
      <c r="AC236" s="492">
        <v>4</v>
      </c>
      <c r="AD236" s="492">
        <v>5</v>
      </c>
      <c r="AE236" s="492">
        <v>6</v>
      </c>
      <c r="AF236" s="492">
        <v>7</v>
      </c>
      <c r="AG236" s="492">
        <v>8</v>
      </c>
      <c r="AH236" s="492">
        <v>9</v>
      </c>
      <c r="AI236" s="492">
        <v>10</v>
      </c>
      <c r="AJ236" s="492">
        <v>11</v>
      </c>
      <c r="AK236" s="492">
        <v>12</v>
      </c>
      <c r="AL236" s="493">
        <v>1</v>
      </c>
      <c r="AM236" s="489">
        <v>2</v>
      </c>
      <c r="AN236" s="489">
        <v>3</v>
      </c>
      <c r="AO236" s="489">
        <v>4</v>
      </c>
      <c r="AP236" s="489">
        <v>5</v>
      </c>
      <c r="AQ236" s="489">
        <v>6</v>
      </c>
      <c r="AR236" s="489">
        <v>7</v>
      </c>
      <c r="AS236" s="489">
        <v>8</v>
      </c>
      <c r="AT236" s="489">
        <v>9</v>
      </c>
      <c r="AU236" s="489">
        <v>10</v>
      </c>
      <c r="AV236" s="489">
        <v>11</v>
      </c>
      <c r="AW236" s="494">
        <v>12</v>
      </c>
    </row>
    <row r="237" spans="1:51">
      <c r="A237" s="457" t="str">
        <f>A235&amp;"-"&amp;B237</f>
        <v>Sun-Saturn</v>
      </c>
      <c r="B237" s="495" t="s">
        <v>164</v>
      </c>
      <c r="C237" s="496">
        <f ca="1">SaturnHouse</f>
        <v>2</v>
      </c>
      <c r="D237" s="497" t="str">
        <f t="shared" ref="D237:O244" ca="1" si="154">INDEX($Z237:$AW237,,12+D$152-$Q237+1)</f>
        <v>*</v>
      </c>
      <c r="E237" s="497">
        <f t="shared" ca="1" si="154"/>
        <v>1</v>
      </c>
      <c r="F237" s="497">
        <f t="shared" ca="1" si="154"/>
        <v>1</v>
      </c>
      <c r="G237" s="497" t="str">
        <f t="shared" ca="1" si="154"/>
        <v>*</v>
      </c>
      <c r="H237" s="497">
        <f t="shared" ca="1" si="154"/>
        <v>1</v>
      </c>
      <c r="I237" s="497" t="str">
        <f t="shared" ca="1" si="154"/>
        <v>*</v>
      </c>
      <c r="J237" s="497" t="str">
        <f t="shared" ca="1" si="154"/>
        <v>*</v>
      </c>
      <c r="K237" s="497">
        <f t="shared" ca="1" si="154"/>
        <v>1</v>
      </c>
      <c r="L237" s="497">
        <f t="shared" ca="1" si="154"/>
        <v>1</v>
      </c>
      <c r="M237" s="497">
        <f t="shared" ca="1" si="154"/>
        <v>1</v>
      </c>
      <c r="N237" s="497">
        <f t="shared" ca="1" si="154"/>
        <v>1</v>
      </c>
      <c r="O237" s="497">
        <f t="shared" ca="1" si="154"/>
        <v>1</v>
      </c>
      <c r="P237" s="498">
        <f t="shared" ref="P237:P245" ca="1" si="155">SUM(D237:O237)</f>
        <v>8</v>
      </c>
      <c r="Q237" s="496">
        <f ca="1">IF($Y$82,D235,C237)</f>
        <v>2</v>
      </c>
      <c r="S237" s="1341"/>
      <c r="T237" s="1341"/>
      <c r="U237" s="1341"/>
      <c r="V237" s="1341"/>
      <c r="W237" s="443" t="s">
        <v>781</v>
      </c>
      <c r="X237" s="495" t="s">
        <v>164</v>
      </c>
      <c r="Y237" s="499">
        <f t="shared" ref="Y237:Y245" si="156">SUM(Z237:AK237)</f>
        <v>8</v>
      </c>
      <c r="Z237" s="497">
        <v>1</v>
      </c>
      <c r="AA237" s="497">
        <v>1</v>
      </c>
      <c r="AB237" s="497" t="s">
        <v>181</v>
      </c>
      <c r="AC237" s="497">
        <v>1</v>
      </c>
      <c r="AD237" s="497" t="s">
        <v>181</v>
      </c>
      <c r="AE237" s="497" t="s">
        <v>181</v>
      </c>
      <c r="AF237" s="497">
        <v>1</v>
      </c>
      <c r="AG237" s="497">
        <v>1</v>
      </c>
      <c r="AH237" s="497">
        <v>1</v>
      </c>
      <c r="AI237" s="497">
        <v>1</v>
      </c>
      <c r="AJ237" s="497">
        <v>1</v>
      </c>
      <c r="AK237" s="497" t="s">
        <v>181</v>
      </c>
      <c r="AL237" s="500">
        <f t="shared" ref="AL237:AW244" si="157">Z237</f>
        <v>1</v>
      </c>
      <c r="AM237" s="497">
        <f t="shared" si="157"/>
        <v>1</v>
      </c>
      <c r="AN237" s="497" t="str">
        <f t="shared" si="157"/>
        <v>*</v>
      </c>
      <c r="AO237" s="497">
        <f t="shared" si="157"/>
        <v>1</v>
      </c>
      <c r="AP237" s="497" t="str">
        <f t="shared" si="157"/>
        <v>*</v>
      </c>
      <c r="AQ237" s="497" t="str">
        <f t="shared" si="157"/>
        <v>*</v>
      </c>
      <c r="AR237" s="497">
        <f t="shared" si="157"/>
        <v>1</v>
      </c>
      <c r="AS237" s="497">
        <f t="shared" si="157"/>
        <v>1</v>
      </c>
      <c r="AT237" s="497">
        <f t="shared" si="157"/>
        <v>1</v>
      </c>
      <c r="AU237" s="497">
        <f t="shared" si="157"/>
        <v>1</v>
      </c>
      <c r="AV237" s="497">
        <f t="shared" si="157"/>
        <v>1</v>
      </c>
      <c r="AW237" s="501" t="str">
        <f t="shared" si="157"/>
        <v>*</v>
      </c>
      <c r="AX237" s="443" t="str">
        <f>MIN($Y$153,$Y$167,$Y$181,$Y$195,$Y$209,$Y$223,$Y$237,$Y$251)&amp;"-"&amp;MAX($Y$153,$Y$167,$Y$181,$Y$195,$Y$209,$Y$223,$Y$237,$Y$251)</f>
        <v>4-8</v>
      </c>
      <c r="AY237" s="443" t="s">
        <v>781</v>
      </c>
    </row>
    <row r="238" spans="1:51">
      <c r="A238" s="457" t="str">
        <f>A235&amp;"-"&amp;B238</f>
        <v>Sun-Jupiter</v>
      </c>
      <c r="B238" s="495" t="s">
        <v>162</v>
      </c>
      <c r="C238" s="496">
        <f ca="1">JupiterHouse</f>
        <v>8</v>
      </c>
      <c r="D238" s="497">
        <f t="shared" ca="1" si="154"/>
        <v>1</v>
      </c>
      <c r="E238" s="497" t="str">
        <f t="shared" ca="1" si="154"/>
        <v>*</v>
      </c>
      <c r="F238" s="497" t="str">
        <f t="shared" ca="1" si="154"/>
        <v>*</v>
      </c>
      <c r="G238" s="497">
        <f t="shared" ca="1" si="154"/>
        <v>1</v>
      </c>
      <c r="H238" s="497" t="str">
        <f t="shared" ca="1" si="154"/>
        <v>*</v>
      </c>
      <c r="I238" s="497">
        <f t="shared" ca="1" si="154"/>
        <v>1</v>
      </c>
      <c r="J238" s="497" t="str">
        <f t="shared" ca="1" si="154"/>
        <v>*</v>
      </c>
      <c r="K238" s="497" t="str">
        <f t="shared" ca="1" si="154"/>
        <v>*</v>
      </c>
      <c r="L238" s="497" t="str">
        <f t="shared" ca="1" si="154"/>
        <v>*</v>
      </c>
      <c r="M238" s="497" t="str">
        <f t="shared" ca="1" si="154"/>
        <v>*</v>
      </c>
      <c r="N238" s="497" t="str">
        <f t="shared" ca="1" si="154"/>
        <v>*</v>
      </c>
      <c r="O238" s="497">
        <f t="shared" ca="1" si="154"/>
        <v>1</v>
      </c>
      <c r="P238" s="498">
        <f t="shared" ca="1" si="155"/>
        <v>4</v>
      </c>
      <c r="Q238" s="496">
        <f ca="1">IF($Y$82,D235,C238)</f>
        <v>8</v>
      </c>
      <c r="S238" s="1341"/>
      <c r="T238" s="1341"/>
      <c r="U238" s="1341"/>
      <c r="V238" s="1341"/>
      <c r="X238" s="495" t="s">
        <v>162</v>
      </c>
      <c r="Y238" s="499">
        <f t="shared" si="156"/>
        <v>4</v>
      </c>
      <c r="Z238" s="497" t="s">
        <v>181</v>
      </c>
      <c r="AA238" s="497" t="s">
        <v>181</v>
      </c>
      <c r="AB238" s="497" t="s">
        <v>181</v>
      </c>
      <c r="AC238" s="497" t="s">
        <v>181</v>
      </c>
      <c r="AD238" s="497">
        <v>1</v>
      </c>
      <c r="AE238" s="497">
        <v>1</v>
      </c>
      <c r="AF238" s="497" t="s">
        <v>181</v>
      </c>
      <c r="AG238" s="497" t="s">
        <v>181</v>
      </c>
      <c r="AH238" s="497">
        <v>1</v>
      </c>
      <c r="AI238" s="497" t="s">
        <v>181</v>
      </c>
      <c r="AJ238" s="497">
        <v>1</v>
      </c>
      <c r="AK238" s="497" t="s">
        <v>181</v>
      </c>
      <c r="AL238" s="500" t="str">
        <f t="shared" si="157"/>
        <v>*</v>
      </c>
      <c r="AM238" s="497" t="str">
        <f t="shared" si="157"/>
        <v>*</v>
      </c>
      <c r="AN238" s="497" t="str">
        <f t="shared" si="157"/>
        <v>*</v>
      </c>
      <c r="AO238" s="497" t="str">
        <f t="shared" si="157"/>
        <v>*</v>
      </c>
      <c r="AP238" s="497">
        <f t="shared" si="157"/>
        <v>1</v>
      </c>
      <c r="AQ238" s="497">
        <f t="shared" si="157"/>
        <v>1</v>
      </c>
      <c r="AR238" s="497" t="str">
        <f t="shared" si="157"/>
        <v>*</v>
      </c>
      <c r="AS238" s="497" t="str">
        <f t="shared" si="157"/>
        <v>*</v>
      </c>
      <c r="AT238" s="497">
        <f t="shared" si="157"/>
        <v>1</v>
      </c>
      <c r="AU238" s="497" t="str">
        <f t="shared" si="157"/>
        <v>*</v>
      </c>
      <c r="AV238" s="497">
        <f t="shared" si="157"/>
        <v>1</v>
      </c>
      <c r="AW238" s="501" t="str">
        <f t="shared" si="157"/>
        <v>*</v>
      </c>
      <c r="AX238" s="443" t="str">
        <f>MIN($Y$154,$Y$168,$Y$182,$Y$196,$Y$210,$Y$224,$Y$238,$Y$252)&amp;"-"&amp;MAX($Y$154,$Y$168,$Y$182,$Y$196,$Y$210,$Y$224,$Y$238,$Y$252)</f>
        <v>4-9</v>
      </c>
      <c r="AY238" s="443" t="s">
        <v>780</v>
      </c>
    </row>
    <row r="239" spans="1:51">
      <c r="A239" s="457" t="str">
        <f>A235&amp;"-"&amp;B239</f>
        <v>Sun-Mars</v>
      </c>
      <c r="B239" s="495" t="s">
        <v>160</v>
      </c>
      <c r="C239" s="496">
        <f ca="1">MarsHouse</f>
        <v>10</v>
      </c>
      <c r="D239" s="497">
        <f t="shared" ca="1" si="154"/>
        <v>1</v>
      </c>
      <c r="E239" s="497" t="str">
        <f t="shared" ca="1" si="154"/>
        <v>*</v>
      </c>
      <c r="F239" s="497" t="str">
        <f t="shared" ca="1" si="154"/>
        <v>*</v>
      </c>
      <c r="G239" s="497">
        <f t="shared" ca="1" si="154"/>
        <v>1</v>
      </c>
      <c r="H239" s="497">
        <f t="shared" ca="1" si="154"/>
        <v>1</v>
      </c>
      <c r="I239" s="497">
        <f t="shared" ca="1" si="154"/>
        <v>1</v>
      </c>
      <c r="J239" s="497">
        <f t="shared" ca="1" si="154"/>
        <v>1</v>
      </c>
      <c r="K239" s="497">
        <f t="shared" ca="1" si="154"/>
        <v>1</v>
      </c>
      <c r="L239" s="497" t="str">
        <f t="shared" ca="1" si="154"/>
        <v>*</v>
      </c>
      <c r="M239" s="497">
        <f t="shared" ca="1" si="154"/>
        <v>1</v>
      </c>
      <c r="N239" s="497">
        <f t="shared" ca="1" si="154"/>
        <v>1</v>
      </c>
      <c r="O239" s="497" t="str">
        <f t="shared" ca="1" si="154"/>
        <v>*</v>
      </c>
      <c r="P239" s="498">
        <f t="shared" ca="1" si="155"/>
        <v>8</v>
      </c>
      <c r="Q239" s="496">
        <f ca="1">IF($Y$82,D235,C239)</f>
        <v>10</v>
      </c>
      <c r="S239" s="1341">
        <f ca="1">N245</f>
        <v>4</v>
      </c>
      <c r="T239" s="1342" t="str">
        <f ca="1">C235&amp;"  Ashtakavarga  "&amp;P245</f>
        <v xml:space="preserve">  Ashtakavarga  48</v>
      </c>
      <c r="U239" s="1342"/>
      <c r="V239" s="1341">
        <f ca="1">G245</f>
        <v>5</v>
      </c>
      <c r="X239" s="495" t="s">
        <v>160</v>
      </c>
      <c r="Y239" s="499">
        <f t="shared" si="156"/>
        <v>8</v>
      </c>
      <c r="Z239" s="497">
        <v>1</v>
      </c>
      <c r="AA239" s="497">
        <v>1</v>
      </c>
      <c r="AB239" s="497" t="s">
        <v>181</v>
      </c>
      <c r="AC239" s="497">
        <v>1</v>
      </c>
      <c r="AD239" s="497" t="s">
        <v>181</v>
      </c>
      <c r="AE239" s="497" t="s">
        <v>181</v>
      </c>
      <c r="AF239" s="497">
        <v>1</v>
      </c>
      <c r="AG239" s="497">
        <v>1</v>
      </c>
      <c r="AH239" s="497">
        <v>1</v>
      </c>
      <c r="AI239" s="497">
        <v>1</v>
      </c>
      <c r="AJ239" s="497">
        <v>1</v>
      </c>
      <c r="AK239" s="497" t="s">
        <v>181</v>
      </c>
      <c r="AL239" s="500">
        <f t="shared" si="157"/>
        <v>1</v>
      </c>
      <c r="AM239" s="497">
        <f t="shared" si="157"/>
        <v>1</v>
      </c>
      <c r="AN239" s="497" t="str">
        <f t="shared" si="157"/>
        <v>*</v>
      </c>
      <c r="AO239" s="497">
        <f t="shared" si="157"/>
        <v>1</v>
      </c>
      <c r="AP239" s="497" t="str">
        <f t="shared" si="157"/>
        <v>*</v>
      </c>
      <c r="AQ239" s="497" t="str">
        <f t="shared" si="157"/>
        <v>*</v>
      </c>
      <c r="AR239" s="497">
        <f t="shared" si="157"/>
        <v>1</v>
      </c>
      <c r="AS239" s="497">
        <f t="shared" si="157"/>
        <v>1</v>
      </c>
      <c r="AT239" s="497">
        <f t="shared" si="157"/>
        <v>1</v>
      </c>
      <c r="AU239" s="497">
        <f t="shared" si="157"/>
        <v>1</v>
      </c>
      <c r="AV239" s="497">
        <f t="shared" si="157"/>
        <v>1</v>
      </c>
      <c r="AW239" s="501" t="str">
        <f t="shared" si="157"/>
        <v>*</v>
      </c>
      <c r="AX239" s="443" t="str">
        <f>MIN($Y$155,$Y$169,$Y$183,$Y$197,$Y$211,$Y$225,$Y$239,$Y$253)&amp;"-"&amp;MAX($Y$155,$Y$169,$Y$183,$Y$197,$Y$211,$Y$225,$Y$239,$Y$253)</f>
        <v>5-8</v>
      </c>
      <c r="AY239" s="443" t="s">
        <v>781</v>
      </c>
    </row>
    <row r="240" spans="1:51">
      <c r="A240" s="457" t="str">
        <f>A235&amp;"-"&amp;B240</f>
        <v>Sun-Sun</v>
      </c>
      <c r="B240" s="495" t="s">
        <v>158</v>
      </c>
      <c r="C240" s="496">
        <f ca="1">SunHouse</f>
        <v>4</v>
      </c>
      <c r="D240" s="497">
        <f t="shared" ca="1" si="154"/>
        <v>1</v>
      </c>
      <c r="E240" s="497">
        <f t="shared" ca="1" si="154"/>
        <v>1</v>
      </c>
      <c r="F240" s="497" t="str">
        <f t="shared" ca="1" si="154"/>
        <v>*</v>
      </c>
      <c r="G240" s="497">
        <f t="shared" ca="1" si="154"/>
        <v>1</v>
      </c>
      <c r="H240" s="497">
        <f t="shared" ca="1" si="154"/>
        <v>1</v>
      </c>
      <c r="I240" s="497" t="str">
        <f t="shared" ca="1" si="154"/>
        <v>*</v>
      </c>
      <c r="J240" s="497">
        <f t="shared" ca="1" si="154"/>
        <v>1</v>
      </c>
      <c r="K240" s="497" t="str">
        <f t="shared" ca="1" si="154"/>
        <v>*</v>
      </c>
      <c r="L240" s="497" t="str">
        <f t="shared" ca="1" si="154"/>
        <v>*</v>
      </c>
      <c r="M240" s="497">
        <f t="shared" ca="1" si="154"/>
        <v>1</v>
      </c>
      <c r="N240" s="497">
        <f t="shared" ca="1" si="154"/>
        <v>1</v>
      </c>
      <c r="O240" s="497">
        <f t="shared" ca="1" si="154"/>
        <v>1</v>
      </c>
      <c r="P240" s="498">
        <f t="shared" ca="1" si="155"/>
        <v>8</v>
      </c>
      <c r="Q240" s="496">
        <f ca="1">IF($Y$82,D235,C240)</f>
        <v>4</v>
      </c>
      <c r="S240" s="1341"/>
      <c r="T240" s="1341"/>
      <c r="U240" s="1342"/>
      <c r="V240" s="1341"/>
      <c r="W240" s="443" t="s">
        <v>781</v>
      </c>
      <c r="X240" s="495" t="s">
        <v>158</v>
      </c>
      <c r="Y240" s="499">
        <f t="shared" si="156"/>
        <v>8</v>
      </c>
      <c r="Z240" s="497">
        <v>1</v>
      </c>
      <c r="AA240" s="497">
        <v>1</v>
      </c>
      <c r="AB240" s="497" t="s">
        <v>181</v>
      </c>
      <c r="AC240" s="497">
        <v>1</v>
      </c>
      <c r="AD240" s="497" t="s">
        <v>181</v>
      </c>
      <c r="AE240" s="497" t="s">
        <v>181</v>
      </c>
      <c r="AF240" s="497">
        <v>1</v>
      </c>
      <c r="AG240" s="497">
        <v>1</v>
      </c>
      <c r="AH240" s="497">
        <v>1</v>
      </c>
      <c r="AI240" s="497">
        <v>1</v>
      </c>
      <c r="AJ240" s="497">
        <v>1</v>
      </c>
      <c r="AK240" s="497" t="s">
        <v>181</v>
      </c>
      <c r="AL240" s="500">
        <f t="shared" si="157"/>
        <v>1</v>
      </c>
      <c r="AM240" s="497">
        <f t="shared" si="157"/>
        <v>1</v>
      </c>
      <c r="AN240" s="497" t="str">
        <f t="shared" si="157"/>
        <v>*</v>
      </c>
      <c r="AO240" s="497">
        <f t="shared" si="157"/>
        <v>1</v>
      </c>
      <c r="AP240" s="497" t="str">
        <f t="shared" si="157"/>
        <v>*</v>
      </c>
      <c r="AQ240" s="497" t="str">
        <f t="shared" si="157"/>
        <v>*</v>
      </c>
      <c r="AR240" s="497">
        <f t="shared" si="157"/>
        <v>1</v>
      </c>
      <c r="AS240" s="497">
        <f t="shared" si="157"/>
        <v>1</v>
      </c>
      <c r="AT240" s="497">
        <f t="shared" si="157"/>
        <v>1</v>
      </c>
      <c r="AU240" s="497">
        <f t="shared" si="157"/>
        <v>1</v>
      </c>
      <c r="AV240" s="497">
        <f t="shared" si="157"/>
        <v>1</v>
      </c>
      <c r="AW240" s="501" t="str">
        <f t="shared" si="157"/>
        <v>*</v>
      </c>
      <c r="AX240" s="443" t="str">
        <f>MIN($Y$156,$Y$170,$Y$184,$Y$198,$Y$212,$Y$226,$Y$240,$Y$254)&amp;"-"&amp;MAX($Y$156,$Y$170,$Y$184,$Y$198,$Y$212,$Y$226,$Y$240,$Y$254)</f>
        <v>3-9</v>
      </c>
    </row>
    <row r="241" spans="1:51">
      <c r="A241" s="457" t="str">
        <f>A235&amp;"-"&amp;B241</f>
        <v>Sun-Venus</v>
      </c>
      <c r="B241" s="495" t="s">
        <v>163</v>
      </c>
      <c r="C241" s="496">
        <f ca="1">VenusHouse</f>
        <v>3</v>
      </c>
      <c r="D241" s="497" t="str">
        <f t="shared" ca="1" si="154"/>
        <v>*</v>
      </c>
      <c r="E241" s="497">
        <f t="shared" ca="1" si="154"/>
        <v>1</v>
      </c>
      <c r="F241" s="497" t="str">
        <f t="shared" ca="1" si="154"/>
        <v>*</v>
      </c>
      <c r="G241" s="497" t="str">
        <f t="shared" ca="1" si="154"/>
        <v>*</v>
      </c>
      <c r="H241" s="497" t="str">
        <f t="shared" ca="1" si="154"/>
        <v>*</v>
      </c>
      <c r="I241" s="497" t="str">
        <f t="shared" ca="1" si="154"/>
        <v>*</v>
      </c>
      <c r="J241" s="497" t="str">
        <f t="shared" ca="1" si="154"/>
        <v>*</v>
      </c>
      <c r="K241" s="497">
        <f t="shared" ca="1" si="154"/>
        <v>1</v>
      </c>
      <c r="L241" s="497">
        <f t="shared" ca="1" si="154"/>
        <v>1</v>
      </c>
      <c r="M241" s="497" t="str">
        <f t="shared" ca="1" si="154"/>
        <v>*</v>
      </c>
      <c r="N241" s="497" t="str">
        <f t="shared" ca="1" si="154"/>
        <v>*</v>
      </c>
      <c r="O241" s="497" t="str">
        <f t="shared" ca="1" si="154"/>
        <v>*</v>
      </c>
      <c r="P241" s="498">
        <f t="shared" ca="1" si="155"/>
        <v>3</v>
      </c>
      <c r="Q241" s="496">
        <f ca="1">IF($Y$82,D235,C241)</f>
        <v>3</v>
      </c>
      <c r="S241" s="1341"/>
      <c r="T241" s="1341"/>
      <c r="U241" s="1342"/>
      <c r="V241" s="1341"/>
      <c r="W241" s="443" t="s">
        <v>780</v>
      </c>
      <c r="X241" s="495" t="s">
        <v>163</v>
      </c>
      <c r="Y241" s="499">
        <f t="shared" si="156"/>
        <v>3</v>
      </c>
      <c r="Z241" s="497" t="s">
        <v>181</v>
      </c>
      <c r="AA241" s="497" t="s">
        <v>181</v>
      </c>
      <c r="AB241" s="497" t="s">
        <v>181</v>
      </c>
      <c r="AC241" s="497" t="s">
        <v>181</v>
      </c>
      <c r="AD241" s="497" t="s">
        <v>181</v>
      </c>
      <c r="AE241" s="497">
        <v>1</v>
      </c>
      <c r="AF241" s="497">
        <v>1</v>
      </c>
      <c r="AG241" s="497" t="s">
        <v>181</v>
      </c>
      <c r="AH241" s="497" t="s">
        <v>181</v>
      </c>
      <c r="AI241" s="497" t="s">
        <v>181</v>
      </c>
      <c r="AJ241" s="497" t="s">
        <v>181</v>
      </c>
      <c r="AK241" s="497">
        <v>1</v>
      </c>
      <c r="AL241" s="500" t="str">
        <f t="shared" si="157"/>
        <v>*</v>
      </c>
      <c r="AM241" s="497" t="str">
        <f t="shared" si="157"/>
        <v>*</v>
      </c>
      <c r="AN241" s="497" t="str">
        <f t="shared" si="157"/>
        <v>*</v>
      </c>
      <c r="AO241" s="497" t="str">
        <f t="shared" si="157"/>
        <v>*</v>
      </c>
      <c r="AP241" s="497" t="str">
        <f t="shared" si="157"/>
        <v>*</v>
      </c>
      <c r="AQ241" s="497">
        <f t="shared" si="157"/>
        <v>1</v>
      </c>
      <c r="AR241" s="497">
        <f t="shared" si="157"/>
        <v>1</v>
      </c>
      <c r="AS241" s="497" t="str">
        <f t="shared" si="157"/>
        <v>*</v>
      </c>
      <c r="AT241" s="497" t="str">
        <f t="shared" si="157"/>
        <v>*</v>
      </c>
      <c r="AU241" s="497" t="str">
        <f t="shared" si="157"/>
        <v>*</v>
      </c>
      <c r="AV241" s="497" t="str">
        <f t="shared" si="157"/>
        <v>*</v>
      </c>
      <c r="AW241" s="501">
        <f t="shared" si="157"/>
        <v>1</v>
      </c>
      <c r="AX241" s="443" t="str">
        <f>MIN($Y$157,$Y$171,$Y$185,$Y$199,$Y$213,$Y$227,$Y$241,$Y$255)&amp;"-"&amp;MAX($Y$157,$Y$171,$Y$185,$Y$199,$Y$213,$Y$227,$Y$241,$Y$255)</f>
        <v>3-9</v>
      </c>
      <c r="AY241" s="443" t="s">
        <v>780</v>
      </c>
    </row>
    <row r="242" spans="1:51">
      <c r="A242" s="457" t="str">
        <f>A235&amp;"-"&amp;B242</f>
        <v>Sun-Mercury</v>
      </c>
      <c r="B242" s="495" t="s">
        <v>161</v>
      </c>
      <c r="C242" s="496">
        <f ca="1">MercuryHouse</f>
        <v>4</v>
      </c>
      <c r="D242" s="497">
        <f t="shared" ca="1" si="154"/>
        <v>1</v>
      </c>
      <c r="E242" s="497">
        <f t="shared" ca="1" si="154"/>
        <v>1</v>
      </c>
      <c r="F242" s="497">
        <f t="shared" ca="1" si="154"/>
        <v>1</v>
      </c>
      <c r="G242" s="497" t="str">
        <f t="shared" ca="1" si="154"/>
        <v>*</v>
      </c>
      <c r="H242" s="497" t="str">
        <f t="shared" ca="1" si="154"/>
        <v>*</v>
      </c>
      <c r="I242" s="497">
        <f t="shared" ca="1" si="154"/>
        <v>1</v>
      </c>
      <c r="J242" s="497" t="str">
        <f t="shared" ca="1" si="154"/>
        <v>*</v>
      </c>
      <c r="K242" s="497">
        <f t="shared" ca="1" si="154"/>
        <v>1</v>
      </c>
      <c r="L242" s="497">
        <f t="shared" ca="1" si="154"/>
        <v>1</v>
      </c>
      <c r="M242" s="497" t="str">
        <f t="shared" ca="1" si="154"/>
        <v>*</v>
      </c>
      <c r="N242" s="497" t="str">
        <f t="shared" ca="1" si="154"/>
        <v>*</v>
      </c>
      <c r="O242" s="497">
        <f t="shared" ca="1" si="154"/>
        <v>1</v>
      </c>
      <c r="P242" s="498">
        <f t="shared" ca="1" si="155"/>
        <v>7</v>
      </c>
      <c r="Q242" s="496">
        <f ca="1">IF($Y$82,D235,C242)</f>
        <v>4</v>
      </c>
      <c r="S242" s="1341">
        <f ca="1">M245</f>
        <v>4</v>
      </c>
      <c r="T242" s="1342"/>
      <c r="U242" s="1342"/>
      <c r="V242" s="1341">
        <f ca="1">H245</f>
        <v>3</v>
      </c>
      <c r="X242" s="495" t="s">
        <v>161</v>
      </c>
      <c r="Y242" s="499">
        <f t="shared" si="156"/>
        <v>7</v>
      </c>
      <c r="Z242" s="497" t="s">
        <v>181</v>
      </c>
      <c r="AA242" s="497" t="s">
        <v>181</v>
      </c>
      <c r="AB242" s="497">
        <v>1</v>
      </c>
      <c r="AC242" s="497" t="s">
        <v>181</v>
      </c>
      <c r="AD242" s="497">
        <v>1</v>
      </c>
      <c r="AE242" s="497">
        <v>1</v>
      </c>
      <c r="AF242" s="497" t="s">
        <v>181</v>
      </c>
      <c r="AG242" s="497" t="s">
        <v>181</v>
      </c>
      <c r="AH242" s="497">
        <v>1</v>
      </c>
      <c r="AI242" s="497">
        <v>1</v>
      </c>
      <c r="AJ242" s="497">
        <v>1</v>
      </c>
      <c r="AK242" s="497">
        <v>1</v>
      </c>
      <c r="AL242" s="500" t="str">
        <f t="shared" si="157"/>
        <v>*</v>
      </c>
      <c r="AM242" s="497" t="str">
        <f t="shared" si="157"/>
        <v>*</v>
      </c>
      <c r="AN242" s="497">
        <f t="shared" si="157"/>
        <v>1</v>
      </c>
      <c r="AO242" s="497" t="str">
        <f t="shared" si="157"/>
        <v>*</v>
      </c>
      <c r="AP242" s="497">
        <f t="shared" si="157"/>
        <v>1</v>
      </c>
      <c r="AQ242" s="497">
        <f t="shared" si="157"/>
        <v>1</v>
      </c>
      <c r="AR242" s="497" t="str">
        <f t="shared" si="157"/>
        <v>*</v>
      </c>
      <c r="AS242" s="497" t="str">
        <f t="shared" si="157"/>
        <v>*</v>
      </c>
      <c r="AT242" s="497">
        <f t="shared" si="157"/>
        <v>1</v>
      </c>
      <c r="AU242" s="497">
        <f t="shared" si="157"/>
        <v>1</v>
      </c>
      <c r="AV242" s="497">
        <f t="shared" si="157"/>
        <v>1</v>
      </c>
      <c r="AW242" s="501">
        <f t="shared" si="157"/>
        <v>1</v>
      </c>
      <c r="AX242" s="443" t="str">
        <f>MIN($Y$158,$Y$172,$Y$186,$Y$200,$Y$214,$Y$228,$Y$242,$Y$256)&amp;"-"&amp;MAX($Y$158,$Y$172,$Y$186,$Y$200,$Y$214,$Y$228,$Y$242,$Y$256)</f>
        <v>4-8</v>
      </c>
    </row>
    <row r="243" spans="1:51">
      <c r="A243" s="457" t="str">
        <f>A235&amp;"-"&amp;B243</f>
        <v>Sun-Moon</v>
      </c>
      <c r="B243" s="495" t="s">
        <v>159</v>
      </c>
      <c r="C243" s="496">
        <f ca="1">MoonHouse</f>
        <v>2</v>
      </c>
      <c r="D243" s="497" t="str">
        <f t="shared" ca="1" si="154"/>
        <v>*</v>
      </c>
      <c r="E243" s="497" t="str">
        <f t="shared" ca="1" si="154"/>
        <v>*</v>
      </c>
      <c r="F243" s="497" t="str">
        <f t="shared" ca="1" si="154"/>
        <v>*</v>
      </c>
      <c r="G243" s="497">
        <f t="shared" ca="1" si="154"/>
        <v>1</v>
      </c>
      <c r="H243" s="497" t="str">
        <f t="shared" ca="1" si="154"/>
        <v>*</v>
      </c>
      <c r="I243" s="497" t="str">
        <f t="shared" ca="1" si="154"/>
        <v>*</v>
      </c>
      <c r="J243" s="497">
        <f t="shared" ca="1" si="154"/>
        <v>1</v>
      </c>
      <c r="K243" s="497" t="str">
        <f t="shared" ca="1" si="154"/>
        <v>*</v>
      </c>
      <c r="L243" s="497" t="str">
        <f t="shared" ca="1" si="154"/>
        <v>*</v>
      </c>
      <c r="M243" s="497" t="str">
        <f t="shared" ca="1" si="154"/>
        <v>*</v>
      </c>
      <c r="N243" s="497">
        <f t="shared" ca="1" si="154"/>
        <v>1</v>
      </c>
      <c r="O243" s="497">
        <f t="shared" ca="1" si="154"/>
        <v>1</v>
      </c>
      <c r="P243" s="498">
        <f t="shared" ca="1" si="155"/>
        <v>4</v>
      </c>
      <c r="Q243" s="496">
        <f ca="1">IF($Y$82,D235,C243)</f>
        <v>2</v>
      </c>
      <c r="S243" s="1341"/>
      <c r="T243" s="1341"/>
      <c r="U243" s="1342"/>
      <c r="V243" s="1341"/>
      <c r="X243" s="495" t="s">
        <v>159</v>
      </c>
      <c r="Y243" s="499">
        <f t="shared" si="156"/>
        <v>4</v>
      </c>
      <c r="Z243" s="497" t="s">
        <v>181</v>
      </c>
      <c r="AA243" s="497" t="s">
        <v>181</v>
      </c>
      <c r="AB243" s="497">
        <v>1</v>
      </c>
      <c r="AC243" s="497" t="s">
        <v>181</v>
      </c>
      <c r="AD243" s="497" t="s">
        <v>181</v>
      </c>
      <c r="AE243" s="497">
        <v>1</v>
      </c>
      <c r="AF243" s="497" t="s">
        <v>181</v>
      </c>
      <c r="AG243" s="497" t="s">
        <v>181</v>
      </c>
      <c r="AH243" s="497" t="s">
        <v>181</v>
      </c>
      <c r="AI243" s="497">
        <v>1</v>
      </c>
      <c r="AJ243" s="497">
        <v>1</v>
      </c>
      <c r="AK243" s="497" t="s">
        <v>181</v>
      </c>
      <c r="AL243" s="500" t="str">
        <f t="shared" si="157"/>
        <v>*</v>
      </c>
      <c r="AM243" s="497" t="str">
        <f t="shared" si="157"/>
        <v>*</v>
      </c>
      <c r="AN243" s="497">
        <f t="shared" si="157"/>
        <v>1</v>
      </c>
      <c r="AO243" s="497" t="str">
        <f t="shared" si="157"/>
        <v>*</v>
      </c>
      <c r="AP243" s="497" t="str">
        <f t="shared" si="157"/>
        <v>*</v>
      </c>
      <c r="AQ243" s="497">
        <f t="shared" si="157"/>
        <v>1</v>
      </c>
      <c r="AR243" s="497" t="str">
        <f t="shared" si="157"/>
        <v>*</v>
      </c>
      <c r="AS243" s="497" t="str">
        <f t="shared" si="157"/>
        <v>*</v>
      </c>
      <c r="AT243" s="497" t="str">
        <f t="shared" si="157"/>
        <v>*</v>
      </c>
      <c r="AU243" s="497">
        <f t="shared" si="157"/>
        <v>1</v>
      </c>
      <c r="AV243" s="497">
        <f t="shared" si="157"/>
        <v>1</v>
      </c>
      <c r="AW243" s="501" t="str">
        <f t="shared" si="157"/>
        <v>*</v>
      </c>
      <c r="AX243" s="443" t="str">
        <f>MIN($Y$159,$Y$173,$Y$187,$Y$201,$Y$215,$Y$229,$Y$243,$Y$257)&amp;"-"&amp;MAX($Y$159,$Y$173,$Y$187,$Y$201,$Y$215,$Y$229,$Y$243,$Y$257)</f>
        <v>3-9</v>
      </c>
    </row>
    <row r="244" spans="1:51">
      <c r="A244" s="457" t="str">
        <f>A235&amp;"-"&amp;B244</f>
        <v>Sun-Lagna</v>
      </c>
      <c r="B244" s="495" t="s">
        <v>319</v>
      </c>
      <c r="C244" s="496">
        <f ca="1">Lagnahouse</f>
        <v>5</v>
      </c>
      <c r="D244" s="497" t="str">
        <f t="shared" ca="1" si="154"/>
        <v>*</v>
      </c>
      <c r="E244" s="497">
        <f t="shared" ca="1" si="154"/>
        <v>1</v>
      </c>
      <c r="F244" s="497">
        <f t="shared" ca="1" si="154"/>
        <v>1</v>
      </c>
      <c r="G244" s="497">
        <f t="shared" ca="1" si="154"/>
        <v>1</v>
      </c>
      <c r="H244" s="497" t="str">
        <f t="shared" ca="1" si="154"/>
        <v>*</v>
      </c>
      <c r="I244" s="497" t="str">
        <f t="shared" ca="1" si="154"/>
        <v>*</v>
      </c>
      <c r="J244" s="497">
        <f t="shared" ca="1" si="154"/>
        <v>1</v>
      </c>
      <c r="K244" s="497">
        <f t="shared" ca="1" si="154"/>
        <v>1</v>
      </c>
      <c r="L244" s="497" t="str">
        <f t="shared" ca="1" si="154"/>
        <v>*</v>
      </c>
      <c r="M244" s="497">
        <f t="shared" ca="1" si="154"/>
        <v>1</v>
      </c>
      <c r="N244" s="497" t="str">
        <f t="shared" ca="1" si="154"/>
        <v>*</v>
      </c>
      <c r="O244" s="497" t="str">
        <f t="shared" ca="1" si="154"/>
        <v>*</v>
      </c>
      <c r="P244" s="498">
        <f t="shared" ca="1" si="155"/>
        <v>6</v>
      </c>
      <c r="Q244" s="496">
        <f ca="1">IF($Y$82,D235,C244)</f>
        <v>5</v>
      </c>
      <c r="S244" s="1341"/>
      <c r="T244" s="1341"/>
      <c r="U244" s="1342"/>
      <c r="V244" s="1341"/>
      <c r="X244" s="495" t="s">
        <v>319</v>
      </c>
      <c r="Y244" s="499">
        <f t="shared" si="156"/>
        <v>6</v>
      </c>
      <c r="Z244" s="497" t="s">
        <v>181</v>
      </c>
      <c r="AA244" s="497" t="s">
        <v>181</v>
      </c>
      <c r="AB244" s="497">
        <v>1</v>
      </c>
      <c r="AC244" s="497">
        <v>1</v>
      </c>
      <c r="AD244" s="497" t="s">
        <v>181</v>
      </c>
      <c r="AE244" s="497">
        <v>1</v>
      </c>
      <c r="AF244" s="497" t="s">
        <v>181</v>
      </c>
      <c r="AG244" s="497" t="s">
        <v>181</v>
      </c>
      <c r="AH244" s="497" t="s">
        <v>181</v>
      </c>
      <c r="AI244" s="497">
        <v>1</v>
      </c>
      <c r="AJ244" s="497">
        <v>1</v>
      </c>
      <c r="AK244" s="497">
        <v>1</v>
      </c>
      <c r="AL244" s="500" t="str">
        <f t="shared" si="157"/>
        <v>*</v>
      </c>
      <c r="AM244" s="497" t="str">
        <f t="shared" si="157"/>
        <v>*</v>
      </c>
      <c r="AN244" s="497">
        <f t="shared" si="157"/>
        <v>1</v>
      </c>
      <c r="AO244" s="497">
        <f t="shared" si="157"/>
        <v>1</v>
      </c>
      <c r="AP244" s="497" t="str">
        <f t="shared" si="157"/>
        <v>*</v>
      </c>
      <c r="AQ244" s="497">
        <f t="shared" si="157"/>
        <v>1</v>
      </c>
      <c r="AR244" s="497" t="str">
        <f t="shared" si="157"/>
        <v>*</v>
      </c>
      <c r="AS244" s="497" t="str">
        <f t="shared" si="157"/>
        <v>*</v>
      </c>
      <c r="AT244" s="497" t="str">
        <f t="shared" si="157"/>
        <v>*</v>
      </c>
      <c r="AU244" s="497">
        <f t="shared" si="157"/>
        <v>1</v>
      </c>
      <c r="AV244" s="497">
        <f t="shared" si="157"/>
        <v>1</v>
      </c>
      <c r="AW244" s="501">
        <f t="shared" si="157"/>
        <v>1</v>
      </c>
      <c r="AX244" s="443" t="str">
        <f>MIN($Y$160,$Y$174,$Y$188,$Y$202,$Y$216,$Y$230,$Y$244,$Y$258)&amp;"-"&amp;MAX($Y$160,$Y$174,$Y$188,$Y$202,$Y$216,$Y$230,$Y$244,$Y$258)</f>
        <v>4-9</v>
      </c>
    </row>
    <row r="245" spans="1:51">
      <c r="A245" s="457" t="str">
        <f>A235&amp;"-"&amp;B245</f>
        <v>Sun-Sun</v>
      </c>
      <c r="B245" s="502" t="str">
        <f>B235</f>
        <v>Sun</v>
      </c>
      <c r="C245" s="503"/>
      <c r="D245" s="503">
        <f t="shared" ref="D245:O245" ca="1" si="158">SUM(D237:D244)</f>
        <v>4</v>
      </c>
      <c r="E245" s="503">
        <f t="shared" ca="1" si="158"/>
        <v>5</v>
      </c>
      <c r="F245" s="503">
        <f t="shared" ca="1" si="158"/>
        <v>3</v>
      </c>
      <c r="G245" s="503">
        <f t="shared" ca="1" si="158"/>
        <v>5</v>
      </c>
      <c r="H245" s="503">
        <f t="shared" ca="1" si="158"/>
        <v>3</v>
      </c>
      <c r="I245" s="503">
        <f t="shared" ca="1" si="158"/>
        <v>3</v>
      </c>
      <c r="J245" s="503">
        <f t="shared" ca="1" si="158"/>
        <v>4</v>
      </c>
      <c r="K245" s="503">
        <f t="shared" ca="1" si="158"/>
        <v>5</v>
      </c>
      <c r="L245" s="503">
        <f t="shared" ca="1" si="158"/>
        <v>3</v>
      </c>
      <c r="M245" s="503">
        <f t="shared" ca="1" si="158"/>
        <v>4</v>
      </c>
      <c r="N245" s="503">
        <f t="shared" ca="1" si="158"/>
        <v>4</v>
      </c>
      <c r="O245" s="503">
        <f t="shared" ca="1" si="158"/>
        <v>5</v>
      </c>
      <c r="P245" s="504">
        <f t="shared" ca="1" si="155"/>
        <v>48</v>
      </c>
      <c r="Q245" s="504"/>
      <c r="S245" s="1341">
        <f ca="1">L245</f>
        <v>3</v>
      </c>
      <c r="T245" s="1341">
        <f ca="1">K245</f>
        <v>5</v>
      </c>
      <c r="U245" s="1341">
        <f ca="1">J245</f>
        <v>4</v>
      </c>
      <c r="V245" s="1341">
        <f ca="1">I245</f>
        <v>3</v>
      </c>
      <c r="X245" s="502"/>
      <c r="Y245" s="505">
        <f t="shared" si="156"/>
        <v>48</v>
      </c>
      <c r="Z245" s="506">
        <f t="shared" ref="Z245:AW245" si="159">SUM(Z237:Z244)</f>
        <v>3</v>
      </c>
      <c r="AA245" s="506">
        <f t="shared" si="159"/>
        <v>3</v>
      </c>
      <c r="AB245" s="506">
        <f t="shared" si="159"/>
        <v>3</v>
      </c>
      <c r="AC245" s="506">
        <f t="shared" si="159"/>
        <v>4</v>
      </c>
      <c r="AD245" s="506">
        <f t="shared" si="159"/>
        <v>2</v>
      </c>
      <c r="AE245" s="506">
        <f t="shared" si="159"/>
        <v>5</v>
      </c>
      <c r="AF245" s="506">
        <f t="shared" si="159"/>
        <v>4</v>
      </c>
      <c r="AG245" s="506">
        <f t="shared" si="159"/>
        <v>3</v>
      </c>
      <c r="AH245" s="506">
        <f t="shared" si="159"/>
        <v>5</v>
      </c>
      <c r="AI245" s="506">
        <f t="shared" si="159"/>
        <v>6</v>
      </c>
      <c r="AJ245" s="506">
        <f t="shared" si="159"/>
        <v>7</v>
      </c>
      <c r="AK245" s="506">
        <f t="shared" si="159"/>
        <v>3</v>
      </c>
      <c r="AL245" s="511">
        <f t="shared" si="159"/>
        <v>3</v>
      </c>
      <c r="AM245" s="506">
        <f t="shared" si="159"/>
        <v>3</v>
      </c>
      <c r="AN245" s="506">
        <f t="shared" si="159"/>
        <v>3</v>
      </c>
      <c r="AO245" s="506">
        <f t="shared" si="159"/>
        <v>4</v>
      </c>
      <c r="AP245" s="506">
        <f t="shared" si="159"/>
        <v>2</v>
      </c>
      <c r="AQ245" s="506">
        <f t="shared" si="159"/>
        <v>5</v>
      </c>
      <c r="AR245" s="506">
        <f t="shared" si="159"/>
        <v>4</v>
      </c>
      <c r="AS245" s="506">
        <f t="shared" si="159"/>
        <v>3</v>
      </c>
      <c r="AT245" s="506">
        <f t="shared" si="159"/>
        <v>5</v>
      </c>
      <c r="AU245" s="506">
        <f t="shared" si="159"/>
        <v>6</v>
      </c>
      <c r="AV245" s="506">
        <f t="shared" si="159"/>
        <v>7</v>
      </c>
      <c r="AW245" s="512">
        <f t="shared" si="159"/>
        <v>3</v>
      </c>
    </row>
    <row r="246" spans="1:51">
      <c r="A246" s="457" t="str">
        <f>A235&amp;"-"&amp;B246</f>
        <v>Sun-</v>
      </c>
      <c r="S246" s="1341"/>
      <c r="T246" s="1341"/>
      <c r="U246" s="1341"/>
      <c r="V246" s="1341"/>
      <c r="X246" s="443" t="s">
        <v>782</v>
      </c>
      <c r="AL246" s="443"/>
    </row>
    <row r="247" spans="1:51">
      <c r="A247" s="457" t="str">
        <f>A235&amp;"-"&amp;B247</f>
        <v>Sun-</v>
      </c>
      <c r="S247" s="1341"/>
      <c r="T247" s="1341"/>
      <c r="U247" s="1341"/>
      <c r="V247" s="1341"/>
    </row>
    <row r="248" spans="1:51">
      <c r="A248" s="457" t="str">
        <f>A235&amp;"-"&amp;B248</f>
        <v>Sun------</v>
      </c>
      <c r="B248" s="443" t="s">
        <v>776</v>
      </c>
    </row>
    <row r="249" spans="1:51">
      <c r="A249" s="457" t="str">
        <f>B249</f>
        <v>Lagna</v>
      </c>
      <c r="B249" s="1346" t="str">
        <f>X249</f>
        <v>Lagna</v>
      </c>
      <c r="C249" s="1346"/>
      <c r="D249" s="443">
        <f ca="1">INDIRECT(B249&amp;"house")</f>
        <v>5</v>
      </c>
      <c r="S249" s="458"/>
      <c r="T249" s="458"/>
      <c r="U249" s="458"/>
      <c r="V249" s="458"/>
      <c r="X249" s="181" t="s">
        <v>319</v>
      </c>
      <c r="Y249" s="443" t="str">
        <f>MIN(Y251:Y258)&amp;"-"&amp;MAX(Y251:Y258)</f>
        <v>4-9</v>
      </c>
      <c r="Z249" s="443" t="str">
        <f>$Z$83 &amp;  X249</f>
        <v>From Graha Good and Bad Transit of Lagna</v>
      </c>
      <c r="AL249" s="443"/>
      <c r="AW249" s="443"/>
      <c r="AX249" s="443" t="s">
        <v>777</v>
      </c>
    </row>
    <row r="250" spans="1:51">
      <c r="A250" s="457" t="str">
        <f>A249&amp;"-"&amp;B250</f>
        <v>Lagna-</v>
      </c>
      <c r="B250" s="487"/>
      <c r="C250" s="488" t="s">
        <v>746</v>
      </c>
      <c r="D250" s="489">
        <v>1</v>
      </c>
      <c r="E250" s="489">
        <v>2</v>
      </c>
      <c r="F250" s="489">
        <v>3</v>
      </c>
      <c r="G250" s="489">
        <v>4</v>
      </c>
      <c r="H250" s="489">
        <v>5</v>
      </c>
      <c r="I250" s="489">
        <v>6</v>
      </c>
      <c r="J250" s="489">
        <v>7</v>
      </c>
      <c r="K250" s="489">
        <v>8</v>
      </c>
      <c r="L250" s="489">
        <v>9</v>
      </c>
      <c r="M250" s="489">
        <v>10</v>
      </c>
      <c r="N250" s="489">
        <v>11</v>
      </c>
      <c r="O250" s="489">
        <v>12</v>
      </c>
      <c r="P250" s="490"/>
      <c r="Q250" s="490"/>
      <c r="S250" s="1341">
        <f ca="1">O259</f>
        <v>4</v>
      </c>
      <c r="T250" s="1341">
        <f ca="1">D259</f>
        <v>4</v>
      </c>
      <c r="U250" s="1341">
        <f ca="1">E259</f>
        <v>5</v>
      </c>
      <c r="V250" s="1341">
        <f ca="1">F259</f>
        <v>4</v>
      </c>
      <c r="X250" s="488" t="s">
        <v>778</v>
      </c>
      <c r="Y250" s="491" t="s">
        <v>779</v>
      </c>
      <c r="Z250" s="492">
        <v>1</v>
      </c>
      <c r="AA250" s="492">
        <v>2</v>
      </c>
      <c r="AB250" s="492">
        <v>3</v>
      </c>
      <c r="AC250" s="492">
        <v>4</v>
      </c>
      <c r="AD250" s="492">
        <v>5</v>
      </c>
      <c r="AE250" s="492">
        <v>6</v>
      </c>
      <c r="AF250" s="492">
        <v>7</v>
      </c>
      <c r="AG250" s="492">
        <v>8</v>
      </c>
      <c r="AH250" s="492">
        <v>9</v>
      </c>
      <c r="AI250" s="492">
        <v>10</v>
      </c>
      <c r="AJ250" s="492">
        <v>11</v>
      </c>
      <c r="AK250" s="492">
        <v>12</v>
      </c>
      <c r="AL250" s="493">
        <v>1</v>
      </c>
      <c r="AM250" s="489">
        <v>2</v>
      </c>
      <c r="AN250" s="489">
        <v>3</v>
      </c>
      <c r="AO250" s="489">
        <v>4</v>
      </c>
      <c r="AP250" s="489">
        <v>5</v>
      </c>
      <c r="AQ250" s="489">
        <v>6</v>
      </c>
      <c r="AR250" s="489">
        <v>7</v>
      </c>
      <c r="AS250" s="489">
        <v>8</v>
      </c>
      <c r="AT250" s="489">
        <v>9</v>
      </c>
      <c r="AU250" s="489">
        <v>10</v>
      </c>
      <c r="AV250" s="489">
        <v>11</v>
      </c>
      <c r="AW250" s="494">
        <v>12</v>
      </c>
    </row>
    <row r="251" spans="1:51">
      <c r="A251" s="457" t="str">
        <f>A249&amp;"-"&amp;B251</f>
        <v>Lagna-Saturn</v>
      </c>
      <c r="B251" s="495" t="s">
        <v>164</v>
      </c>
      <c r="C251" s="496">
        <f ca="1">SaturnHouse</f>
        <v>2</v>
      </c>
      <c r="D251" s="497" t="str">
        <f t="shared" ref="D251:O258" ca="1" si="160">INDEX($Z251:$AW251,,12+D$152-$Q251+1)</f>
        <v>*</v>
      </c>
      <c r="E251" s="497">
        <f t="shared" ca="1" si="160"/>
        <v>1</v>
      </c>
      <c r="F251" s="497" t="str">
        <f t="shared" ca="1" si="160"/>
        <v>*</v>
      </c>
      <c r="G251" s="497">
        <f t="shared" ca="1" si="160"/>
        <v>1</v>
      </c>
      <c r="H251" s="497">
        <f t="shared" ca="1" si="160"/>
        <v>1</v>
      </c>
      <c r="I251" s="497" t="str">
        <f t="shared" ca="1" si="160"/>
        <v>*</v>
      </c>
      <c r="J251" s="497">
        <f t="shared" ca="1" si="160"/>
        <v>1</v>
      </c>
      <c r="K251" s="497" t="str">
        <f t="shared" ca="1" si="160"/>
        <v>*</v>
      </c>
      <c r="L251" s="497" t="str">
        <f t="shared" ca="1" si="160"/>
        <v>*</v>
      </c>
      <c r="M251" s="497" t="str">
        <f t="shared" ca="1" si="160"/>
        <v>*</v>
      </c>
      <c r="N251" s="497">
        <f t="shared" ca="1" si="160"/>
        <v>1</v>
      </c>
      <c r="O251" s="497">
        <f t="shared" ca="1" si="160"/>
        <v>1</v>
      </c>
      <c r="P251" s="498">
        <f t="shared" ref="P251:P259" ca="1" si="161">SUM(D251:O251)</f>
        <v>6</v>
      </c>
      <c r="Q251" s="496">
        <f ca="1">IF($Y$82,D249,C251)</f>
        <v>2</v>
      </c>
      <c r="S251" s="1341"/>
      <c r="T251" s="1341"/>
      <c r="U251" s="1341"/>
      <c r="V251" s="1341"/>
      <c r="X251" s="495" t="s">
        <v>164</v>
      </c>
      <c r="Y251" s="499">
        <f t="shared" ref="Y251:Y259" si="162">SUM(Z251:AK251)</f>
        <v>6</v>
      </c>
      <c r="Z251" s="513">
        <v>1</v>
      </c>
      <c r="AA251" s="513" t="s">
        <v>181</v>
      </c>
      <c r="AB251" s="513">
        <v>1</v>
      </c>
      <c r="AC251" s="513">
        <v>1</v>
      </c>
      <c r="AD251" s="513" t="s">
        <v>181</v>
      </c>
      <c r="AE251" s="513">
        <v>1</v>
      </c>
      <c r="AF251" s="513" t="s">
        <v>181</v>
      </c>
      <c r="AG251" s="513" t="s">
        <v>181</v>
      </c>
      <c r="AH251" s="513" t="s">
        <v>181</v>
      </c>
      <c r="AI251" s="513">
        <v>1</v>
      </c>
      <c r="AJ251" s="513">
        <v>1</v>
      </c>
      <c r="AK251" s="513" t="s">
        <v>181</v>
      </c>
      <c r="AL251" s="514">
        <f t="shared" ref="AL251:AW258" si="163">Z251</f>
        <v>1</v>
      </c>
      <c r="AM251" s="513" t="str">
        <f t="shared" si="163"/>
        <v>*</v>
      </c>
      <c r="AN251" s="513">
        <f t="shared" si="163"/>
        <v>1</v>
      </c>
      <c r="AO251" s="513">
        <f t="shared" si="163"/>
        <v>1</v>
      </c>
      <c r="AP251" s="513" t="str">
        <f t="shared" si="163"/>
        <v>*</v>
      </c>
      <c r="AQ251" s="513">
        <f t="shared" si="163"/>
        <v>1</v>
      </c>
      <c r="AR251" s="513" t="str">
        <f t="shared" si="163"/>
        <v>*</v>
      </c>
      <c r="AS251" s="513" t="str">
        <f t="shared" si="163"/>
        <v>*</v>
      </c>
      <c r="AT251" s="513" t="str">
        <f t="shared" si="163"/>
        <v>*</v>
      </c>
      <c r="AU251" s="513">
        <f t="shared" si="163"/>
        <v>1</v>
      </c>
      <c r="AV251" s="513">
        <f t="shared" si="163"/>
        <v>1</v>
      </c>
      <c r="AW251" s="515" t="str">
        <f t="shared" si="163"/>
        <v>*</v>
      </c>
      <c r="AX251" s="443" t="str">
        <f>MIN($Y$153,$Y$167,$Y$181,$Y$195,$Y$209,$Y$223,$Y$237,$Y$251)&amp;"-"&amp;MAX($Y$153,$Y$167,$Y$181,$Y$195,$Y$209,$Y$223,$Y$237,$Y$251)</f>
        <v>4-8</v>
      </c>
    </row>
    <row r="252" spans="1:51">
      <c r="A252" s="457" t="str">
        <f>A249&amp;"-"&amp;B252</f>
        <v>Lagna-Jupiter</v>
      </c>
      <c r="B252" s="495" t="s">
        <v>162</v>
      </c>
      <c r="C252" s="496">
        <f ca="1">JupiterHouse</f>
        <v>8</v>
      </c>
      <c r="D252" s="497">
        <f t="shared" ca="1" si="160"/>
        <v>1</v>
      </c>
      <c r="E252" s="497">
        <f t="shared" ca="1" si="160"/>
        <v>1</v>
      </c>
      <c r="F252" s="497" t="str">
        <f t="shared" ca="1" si="160"/>
        <v>*</v>
      </c>
      <c r="G252" s="497">
        <f t="shared" ca="1" si="160"/>
        <v>1</v>
      </c>
      <c r="H252" s="497">
        <f t="shared" ca="1" si="160"/>
        <v>1</v>
      </c>
      <c r="I252" s="497">
        <f t="shared" ca="1" si="160"/>
        <v>1</v>
      </c>
      <c r="J252" s="497" t="str">
        <f t="shared" ca="1" si="160"/>
        <v>*</v>
      </c>
      <c r="K252" s="497">
        <f t="shared" ca="1" si="160"/>
        <v>1</v>
      </c>
      <c r="L252" s="497">
        <f t="shared" ca="1" si="160"/>
        <v>1</v>
      </c>
      <c r="M252" s="497" t="str">
        <f t="shared" ca="1" si="160"/>
        <v>*</v>
      </c>
      <c r="N252" s="497">
        <f t="shared" ca="1" si="160"/>
        <v>1</v>
      </c>
      <c r="O252" s="497">
        <f t="shared" ca="1" si="160"/>
        <v>1</v>
      </c>
      <c r="P252" s="498">
        <f t="shared" ca="1" si="161"/>
        <v>9</v>
      </c>
      <c r="Q252" s="496">
        <f ca="1">IF($Y$82,D249,C252)</f>
        <v>8</v>
      </c>
      <c r="S252" s="1341"/>
      <c r="T252" s="1341"/>
      <c r="U252" s="1341"/>
      <c r="V252" s="1341"/>
      <c r="W252" s="443" t="s">
        <v>781</v>
      </c>
      <c r="X252" s="495" t="s">
        <v>162</v>
      </c>
      <c r="Y252" s="499">
        <f t="shared" si="162"/>
        <v>9</v>
      </c>
      <c r="Z252" s="513">
        <v>1</v>
      </c>
      <c r="AA252" s="513">
        <v>1</v>
      </c>
      <c r="AB252" s="513" t="s">
        <v>181</v>
      </c>
      <c r="AC252" s="513">
        <v>1</v>
      </c>
      <c r="AD252" s="513">
        <v>1</v>
      </c>
      <c r="AE252" s="513">
        <v>1</v>
      </c>
      <c r="AF252" s="513">
        <v>1</v>
      </c>
      <c r="AG252" s="513" t="s">
        <v>181</v>
      </c>
      <c r="AH252" s="513">
        <v>1</v>
      </c>
      <c r="AI252" s="513">
        <v>1</v>
      </c>
      <c r="AJ252" s="513">
        <v>1</v>
      </c>
      <c r="AK252" s="513" t="s">
        <v>181</v>
      </c>
      <c r="AL252" s="514">
        <f t="shared" si="163"/>
        <v>1</v>
      </c>
      <c r="AM252" s="513">
        <f t="shared" si="163"/>
        <v>1</v>
      </c>
      <c r="AN252" s="513" t="str">
        <f t="shared" si="163"/>
        <v>*</v>
      </c>
      <c r="AO252" s="513">
        <f t="shared" si="163"/>
        <v>1</v>
      </c>
      <c r="AP252" s="513">
        <f t="shared" si="163"/>
        <v>1</v>
      </c>
      <c r="AQ252" s="513">
        <f t="shared" si="163"/>
        <v>1</v>
      </c>
      <c r="AR252" s="513">
        <f t="shared" si="163"/>
        <v>1</v>
      </c>
      <c r="AS252" s="513" t="str">
        <f t="shared" si="163"/>
        <v>*</v>
      </c>
      <c r="AT252" s="513">
        <f t="shared" si="163"/>
        <v>1</v>
      </c>
      <c r="AU252" s="513">
        <f t="shared" si="163"/>
        <v>1</v>
      </c>
      <c r="AV252" s="513">
        <f t="shared" si="163"/>
        <v>1</v>
      </c>
      <c r="AW252" s="515" t="str">
        <f t="shared" si="163"/>
        <v>*</v>
      </c>
      <c r="AX252" s="443" t="str">
        <f>MIN($Y$154,$Y$168,$Y$182,$Y$196,$Y$210,$Y$224,$Y$238,$Y$252)&amp;"-"&amp;MAX($Y$154,$Y$168,$Y$182,$Y$196,$Y$210,$Y$224,$Y$238,$Y$252)</f>
        <v>4-9</v>
      </c>
      <c r="AY252" s="443" t="s">
        <v>781</v>
      </c>
    </row>
    <row r="253" spans="1:51">
      <c r="A253" s="457" t="str">
        <f>A249&amp;"-"&amp;B253</f>
        <v>Lagna-Mars</v>
      </c>
      <c r="B253" s="495" t="s">
        <v>160</v>
      </c>
      <c r="C253" s="496">
        <f ca="1">MarsHouse</f>
        <v>10</v>
      </c>
      <c r="D253" s="497" t="str">
        <f t="shared" ca="1" si="160"/>
        <v>*</v>
      </c>
      <c r="E253" s="497" t="str">
        <f t="shared" ca="1" si="160"/>
        <v>*</v>
      </c>
      <c r="F253" s="497">
        <f t="shared" ca="1" si="160"/>
        <v>1</v>
      </c>
      <c r="G253" s="497" t="str">
        <f t="shared" ca="1" si="160"/>
        <v>*</v>
      </c>
      <c r="H253" s="497" t="str">
        <f t="shared" ca="1" si="160"/>
        <v>*</v>
      </c>
      <c r="I253" s="497" t="str">
        <f t="shared" ca="1" si="160"/>
        <v>*</v>
      </c>
      <c r="J253" s="497">
        <f t="shared" ca="1" si="160"/>
        <v>1</v>
      </c>
      <c r="K253" s="497">
        <f t="shared" ca="1" si="160"/>
        <v>1</v>
      </c>
      <c r="L253" s="497" t="str">
        <f t="shared" ca="1" si="160"/>
        <v>*</v>
      </c>
      <c r="M253" s="497">
        <f t="shared" ca="1" si="160"/>
        <v>1</v>
      </c>
      <c r="N253" s="497" t="str">
        <f t="shared" ca="1" si="160"/>
        <v>*</v>
      </c>
      <c r="O253" s="497">
        <f t="shared" ca="1" si="160"/>
        <v>1</v>
      </c>
      <c r="P253" s="498">
        <f t="shared" ca="1" si="161"/>
        <v>5</v>
      </c>
      <c r="Q253" s="496">
        <f ca="1">IF($Y$82,D249,C253)</f>
        <v>10</v>
      </c>
      <c r="S253" s="1341">
        <f ca="1">N259</f>
        <v>5</v>
      </c>
      <c r="T253" s="1342" t="str">
        <f ca="1">C249&amp;"  Ashtakavarga  "&amp;P259</f>
        <v xml:space="preserve">  Ashtakavarga  49</v>
      </c>
      <c r="U253" s="1342"/>
      <c r="V253" s="1341">
        <f ca="1">G259</f>
        <v>5</v>
      </c>
      <c r="X253" s="495" t="s">
        <v>160</v>
      </c>
      <c r="Y253" s="499">
        <f t="shared" si="162"/>
        <v>5</v>
      </c>
      <c r="Z253" s="513">
        <v>1</v>
      </c>
      <c r="AA253" s="513" t="s">
        <v>181</v>
      </c>
      <c r="AB253" s="513">
        <v>1</v>
      </c>
      <c r="AC253" s="513" t="s">
        <v>181</v>
      </c>
      <c r="AD253" s="513" t="s">
        <v>181</v>
      </c>
      <c r="AE253" s="513">
        <v>1</v>
      </c>
      <c r="AF253" s="513" t="s">
        <v>181</v>
      </c>
      <c r="AG253" s="513" t="s">
        <v>181</v>
      </c>
      <c r="AH253" s="513" t="s">
        <v>181</v>
      </c>
      <c r="AI253" s="513">
        <v>1</v>
      </c>
      <c r="AJ253" s="513">
        <v>1</v>
      </c>
      <c r="AK253" s="513" t="s">
        <v>181</v>
      </c>
      <c r="AL253" s="514">
        <f t="shared" si="163"/>
        <v>1</v>
      </c>
      <c r="AM253" s="513" t="str">
        <f t="shared" si="163"/>
        <v>*</v>
      </c>
      <c r="AN253" s="513">
        <f t="shared" si="163"/>
        <v>1</v>
      </c>
      <c r="AO253" s="513" t="str">
        <f t="shared" si="163"/>
        <v>*</v>
      </c>
      <c r="AP253" s="513" t="str">
        <f t="shared" si="163"/>
        <v>*</v>
      </c>
      <c r="AQ253" s="513">
        <f t="shared" si="163"/>
        <v>1</v>
      </c>
      <c r="AR253" s="513" t="str">
        <f t="shared" si="163"/>
        <v>*</v>
      </c>
      <c r="AS253" s="513" t="str">
        <f t="shared" si="163"/>
        <v>*</v>
      </c>
      <c r="AT253" s="513" t="str">
        <f t="shared" si="163"/>
        <v>*</v>
      </c>
      <c r="AU253" s="513">
        <f t="shared" si="163"/>
        <v>1</v>
      </c>
      <c r="AV253" s="513">
        <f t="shared" si="163"/>
        <v>1</v>
      </c>
      <c r="AW253" s="515" t="str">
        <f t="shared" si="163"/>
        <v>*</v>
      </c>
      <c r="AX253" s="443" t="str">
        <f>MIN($Y$155,$Y$169,$Y$183,$Y$197,$Y$211,$Y$225,$Y$239,$Y$253)&amp;"-"&amp;MAX($Y$155,$Y$169,$Y$183,$Y$197,$Y$211,$Y$225,$Y$239,$Y$253)</f>
        <v>5-8</v>
      </c>
      <c r="AY253" s="443" t="s">
        <v>780</v>
      </c>
    </row>
    <row r="254" spans="1:51">
      <c r="A254" s="457" t="str">
        <f>A249&amp;"-"&amp;B254</f>
        <v>Lagna-Sun</v>
      </c>
      <c r="B254" s="495" t="s">
        <v>158</v>
      </c>
      <c r="C254" s="496">
        <f ca="1">SunHouse</f>
        <v>4</v>
      </c>
      <c r="D254" s="497">
        <f t="shared" ca="1" si="160"/>
        <v>1</v>
      </c>
      <c r="E254" s="497">
        <f t="shared" ca="1" si="160"/>
        <v>1</v>
      </c>
      <c r="F254" s="497">
        <f t="shared" ca="1" si="160"/>
        <v>1</v>
      </c>
      <c r="G254" s="497" t="str">
        <f t="shared" ca="1" si="160"/>
        <v>*</v>
      </c>
      <c r="H254" s="497" t="str">
        <f t="shared" ca="1" si="160"/>
        <v>*</v>
      </c>
      <c r="I254" s="497">
        <f t="shared" ca="1" si="160"/>
        <v>1</v>
      </c>
      <c r="J254" s="497">
        <f t="shared" ca="1" si="160"/>
        <v>1</v>
      </c>
      <c r="K254" s="497" t="str">
        <f t="shared" ca="1" si="160"/>
        <v>*</v>
      </c>
      <c r="L254" s="497">
        <f t="shared" ca="1" si="160"/>
        <v>1</v>
      </c>
      <c r="M254" s="497" t="str">
        <f t="shared" ca="1" si="160"/>
        <v>*</v>
      </c>
      <c r="N254" s="497" t="str">
        <f t="shared" ca="1" si="160"/>
        <v>*</v>
      </c>
      <c r="O254" s="497" t="str">
        <f t="shared" ca="1" si="160"/>
        <v>*</v>
      </c>
      <c r="P254" s="498">
        <f t="shared" ca="1" si="161"/>
        <v>6</v>
      </c>
      <c r="Q254" s="496">
        <f ca="1">IF($Y$82,D249,C254)</f>
        <v>4</v>
      </c>
      <c r="S254" s="1341"/>
      <c r="T254" s="1341"/>
      <c r="U254" s="1342"/>
      <c r="V254" s="1341"/>
      <c r="X254" s="495" t="s">
        <v>158</v>
      </c>
      <c r="Y254" s="499">
        <f t="shared" si="162"/>
        <v>6</v>
      </c>
      <c r="Z254" s="513" t="s">
        <v>181</v>
      </c>
      <c r="AA254" s="513" t="s">
        <v>181</v>
      </c>
      <c r="AB254" s="513">
        <v>1</v>
      </c>
      <c r="AC254" s="513">
        <v>1</v>
      </c>
      <c r="AD254" s="513" t="s">
        <v>181</v>
      </c>
      <c r="AE254" s="513">
        <v>1</v>
      </c>
      <c r="AF254" s="513" t="s">
        <v>181</v>
      </c>
      <c r="AG254" s="513" t="s">
        <v>181</v>
      </c>
      <c r="AH254" s="513" t="s">
        <v>181</v>
      </c>
      <c r="AI254" s="513">
        <v>1</v>
      </c>
      <c r="AJ254" s="513">
        <v>1</v>
      </c>
      <c r="AK254" s="513">
        <v>1</v>
      </c>
      <c r="AL254" s="514" t="str">
        <f t="shared" si="163"/>
        <v>*</v>
      </c>
      <c r="AM254" s="513" t="str">
        <f t="shared" si="163"/>
        <v>*</v>
      </c>
      <c r="AN254" s="513">
        <f t="shared" si="163"/>
        <v>1</v>
      </c>
      <c r="AO254" s="513">
        <f t="shared" si="163"/>
        <v>1</v>
      </c>
      <c r="AP254" s="513" t="str">
        <f t="shared" si="163"/>
        <v>*</v>
      </c>
      <c r="AQ254" s="513">
        <f t="shared" si="163"/>
        <v>1</v>
      </c>
      <c r="AR254" s="513" t="str">
        <f t="shared" si="163"/>
        <v>*</v>
      </c>
      <c r="AS254" s="513" t="str">
        <f t="shared" si="163"/>
        <v>*</v>
      </c>
      <c r="AT254" s="513" t="str">
        <f t="shared" si="163"/>
        <v>*</v>
      </c>
      <c r="AU254" s="513">
        <f t="shared" si="163"/>
        <v>1</v>
      </c>
      <c r="AV254" s="513">
        <f t="shared" si="163"/>
        <v>1</v>
      </c>
      <c r="AW254" s="515">
        <f t="shared" si="163"/>
        <v>1</v>
      </c>
      <c r="AX254" s="443" t="str">
        <f>MIN($Y$156,$Y$170,$Y$184,$Y$198,$Y$212,$Y$226,$Y$240,$Y$254)&amp;"-"&amp;MAX($Y$156,$Y$170,$Y$184,$Y$198,$Y$212,$Y$226,$Y$240,$Y$254)</f>
        <v>3-9</v>
      </c>
    </row>
    <row r="255" spans="1:51">
      <c r="A255" s="457" t="str">
        <f>A249&amp;"-"&amp;B255</f>
        <v>Lagna-Venus</v>
      </c>
      <c r="B255" s="495" t="s">
        <v>163</v>
      </c>
      <c r="C255" s="496">
        <f ca="1">VenusHouse</f>
        <v>3</v>
      </c>
      <c r="D255" s="497" t="str">
        <f t="shared" ca="1" si="160"/>
        <v>*</v>
      </c>
      <c r="E255" s="497" t="str">
        <f t="shared" ca="1" si="160"/>
        <v>*</v>
      </c>
      <c r="F255" s="497">
        <f t="shared" ca="1" si="160"/>
        <v>1</v>
      </c>
      <c r="G255" s="497">
        <f t="shared" ca="1" si="160"/>
        <v>1</v>
      </c>
      <c r="H255" s="497">
        <f t="shared" ca="1" si="160"/>
        <v>1</v>
      </c>
      <c r="I255" s="497">
        <f t="shared" ca="1" si="160"/>
        <v>1</v>
      </c>
      <c r="J255" s="497">
        <f t="shared" ca="1" si="160"/>
        <v>1</v>
      </c>
      <c r="K255" s="497" t="str">
        <f t="shared" ca="1" si="160"/>
        <v>*</v>
      </c>
      <c r="L255" s="497" t="str">
        <f t="shared" ca="1" si="160"/>
        <v>*</v>
      </c>
      <c r="M255" s="497">
        <f t="shared" ca="1" si="160"/>
        <v>1</v>
      </c>
      <c r="N255" s="497">
        <f t="shared" ca="1" si="160"/>
        <v>1</v>
      </c>
      <c r="O255" s="497" t="str">
        <f t="shared" ca="1" si="160"/>
        <v>*</v>
      </c>
      <c r="P255" s="498">
        <f t="shared" ca="1" si="161"/>
        <v>7</v>
      </c>
      <c r="Q255" s="496">
        <f ca="1">IF($Y$82,D249,C255)</f>
        <v>3</v>
      </c>
      <c r="S255" s="1341"/>
      <c r="T255" s="1341"/>
      <c r="U255" s="1342"/>
      <c r="V255" s="1341"/>
      <c r="X255" s="495" t="s">
        <v>163</v>
      </c>
      <c r="Y255" s="499">
        <f t="shared" si="162"/>
        <v>7</v>
      </c>
      <c r="Z255" s="513">
        <v>1</v>
      </c>
      <c r="AA255" s="513">
        <v>1</v>
      </c>
      <c r="AB255" s="513">
        <v>1</v>
      </c>
      <c r="AC255" s="513">
        <v>1</v>
      </c>
      <c r="AD255" s="513">
        <v>1</v>
      </c>
      <c r="AE255" s="513" t="s">
        <v>181</v>
      </c>
      <c r="AF255" s="513" t="s">
        <v>181</v>
      </c>
      <c r="AG255" s="513">
        <v>1</v>
      </c>
      <c r="AH255" s="513">
        <v>1</v>
      </c>
      <c r="AI255" s="513" t="s">
        <v>181</v>
      </c>
      <c r="AJ255" s="513" t="s">
        <v>181</v>
      </c>
      <c r="AK255" s="513" t="s">
        <v>181</v>
      </c>
      <c r="AL255" s="514">
        <f t="shared" si="163"/>
        <v>1</v>
      </c>
      <c r="AM255" s="513">
        <f t="shared" si="163"/>
        <v>1</v>
      </c>
      <c r="AN255" s="513">
        <f t="shared" si="163"/>
        <v>1</v>
      </c>
      <c r="AO255" s="513">
        <f t="shared" si="163"/>
        <v>1</v>
      </c>
      <c r="AP255" s="513">
        <f t="shared" si="163"/>
        <v>1</v>
      </c>
      <c r="AQ255" s="513" t="str">
        <f t="shared" si="163"/>
        <v>*</v>
      </c>
      <c r="AR255" s="513" t="str">
        <f t="shared" si="163"/>
        <v>*</v>
      </c>
      <c r="AS255" s="513">
        <f t="shared" si="163"/>
        <v>1</v>
      </c>
      <c r="AT255" s="513">
        <f t="shared" si="163"/>
        <v>1</v>
      </c>
      <c r="AU255" s="513" t="str">
        <f t="shared" si="163"/>
        <v>*</v>
      </c>
      <c r="AV255" s="513" t="str">
        <f t="shared" si="163"/>
        <v>*</v>
      </c>
      <c r="AW255" s="515" t="str">
        <f t="shared" si="163"/>
        <v>*</v>
      </c>
      <c r="AX255" s="443" t="str">
        <f>MIN($Y$157,$Y$171,$Y$185,$Y$199,$Y$213,$Y$227,$Y$241,$Y$255)&amp;"-"&amp;MAX($Y$157,$Y$171,$Y$185,$Y$199,$Y$213,$Y$227,$Y$241,$Y$255)</f>
        <v>3-9</v>
      </c>
    </row>
    <row r="256" spans="1:51">
      <c r="A256" s="457" t="str">
        <f>A249&amp;"-"&amp;B256</f>
        <v>Lagna-Mercury</v>
      </c>
      <c r="B256" s="495" t="s">
        <v>161</v>
      </c>
      <c r="C256" s="496">
        <f ca="1">MercuryHouse</f>
        <v>4</v>
      </c>
      <c r="D256" s="497">
        <f t="shared" ca="1" si="160"/>
        <v>1</v>
      </c>
      <c r="E256" s="497">
        <f t="shared" ca="1" si="160"/>
        <v>1</v>
      </c>
      <c r="F256" s="497" t="str">
        <f t="shared" ca="1" si="160"/>
        <v>*</v>
      </c>
      <c r="G256" s="497">
        <f t="shared" ca="1" si="160"/>
        <v>1</v>
      </c>
      <c r="H256" s="497">
        <f t="shared" ca="1" si="160"/>
        <v>1</v>
      </c>
      <c r="I256" s="497" t="str">
        <f t="shared" ca="1" si="160"/>
        <v>*</v>
      </c>
      <c r="J256" s="497">
        <f t="shared" ca="1" si="160"/>
        <v>1</v>
      </c>
      <c r="K256" s="497" t="str">
        <f t="shared" ca="1" si="160"/>
        <v>*</v>
      </c>
      <c r="L256" s="497">
        <f t="shared" ca="1" si="160"/>
        <v>1</v>
      </c>
      <c r="M256" s="497" t="str">
        <f t="shared" ca="1" si="160"/>
        <v>*</v>
      </c>
      <c r="N256" s="497">
        <f t="shared" ca="1" si="160"/>
        <v>1</v>
      </c>
      <c r="O256" s="497" t="str">
        <f t="shared" ca="1" si="160"/>
        <v>*</v>
      </c>
      <c r="P256" s="498">
        <f t="shared" ca="1" si="161"/>
        <v>7</v>
      </c>
      <c r="Q256" s="496">
        <f ca="1">IF($Y$82,D249,C256)</f>
        <v>4</v>
      </c>
      <c r="S256" s="1341">
        <f ca="1">M259</f>
        <v>3</v>
      </c>
      <c r="T256" s="1342"/>
      <c r="U256" s="1342"/>
      <c r="V256" s="1341">
        <f ca="1">H259</f>
        <v>4</v>
      </c>
      <c r="X256" s="495" t="s">
        <v>161</v>
      </c>
      <c r="Y256" s="499">
        <f t="shared" si="162"/>
        <v>7</v>
      </c>
      <c r="Z256" s="513">
        <v>1</v>
      </c>
      <c r="AA256" s="513">
        <v>1</v>
      </c>
      <c r="AB256" s="513" t="s">
        <v>181</v>
      </c>
      <c r="AC256" s="513">
        <v>1</v>
      </c>
      <c r="AD256" s="513" t="s">
        <v>181</v>
      </c>
      <c r="AE256" s="513">
        <v>1</v>
      </c>
      <c r="AF256" s="513" t="s">
        <v>181</v>
      </c>
      <c r="AG256" s="513">
        <v>1</v>
      </c>
      <c r="AH256" s="513" t="s">
        <v>181</v>
      </c>
      <c r="AI256" s="513">
        <v>1</v>
      </c>
      <c r="AJ256" s="513">
        <v>1</v>
      </c>
      <c r="AK256" s="513" t="s">
        <v>181</v>
      </c>
      <c r="AL256" s="514">
        <f t="shared" si="163"/>
        <v>1</v>
      </c>
      <c r="AM256" s="513">
        <f t="shared" si="163"/>
        <v>1</v>
      </c>
      <c r="AN256" s="513" t="str">
        <f t="shared" si="163"/>
        <v>*</v>
      </c>
      <c r="AO256" s="513">
        <f t="shared" si="163"/>
        <v>1</v>
      </c>
      <c r="AP256" s="513" t="str">
        <f t="shared" si="163"/>
        <v>*</v>
      </c>
      <c r="AQ256" s="513">
        <f t="shared" si="163"/>
        <v>1</v>
      </c>
      <c r="AR256" s="513" t="str">
        <f t="shared" si="163"/>
        <v>*</v>
      </c>
      <c r="AS256" s="513">
        <f t="shared" si="163"/>
        <v>1</v>
      </c>
      <c r="AT256" s="513" t="str">
        <f t="shared" si="163"/>
        <v>*</v>
      </c>
      <c r="AU256" s="513">
        <f t="shared" si="163"/>
        <v>1</v>
      </c>
      <c r="AV256" s="513">
        <f t="shared" si="163"/>
        <v>1</v>
      </c>
      <c r="AW256" s="515" t="str">
        <f t="shared" si="163"/>
        <v>*</v>
      </c>
      <c r="AX256" s="443" t="str">
        <f>MIN($Y$158,$Y$172,$Y$186,$Y$200,$Y$214,$Y$228,$Y$242,$Y$256)&amp;"-"&amp;MAX($Y$158,$Y$172,$Y$186,$Y$200,$Y$214,$Y$228,$Y$242,$Y$256)</f>
        <v>4-8</v>
      </c>
    </row>
    <row r="257" spans="1:51">
      <c r="A257" s="457" t="str">
        <f>A249&amp;"-"&amp;B257</f>
        <v>Lagna-Moon</v>
      </c>
      <c r="B257" s="495" t="s">
        <v>159</v>
      </c>
      <c r="C257" s="496">
        <f ca="1">MoonHouse</f>
        <v>2</v>
      </c>
      <c r="D257" s="497">
        <f t="shared" ca="1" si="160"/>
        <v>1</v>
      </c>
      <c r="E257" s="497" t="str">
        <f t="shared" ca="1" si="160"/>
        <v>*</v>
      </c>
      <c r="F257" s="497" t="str">
        <f t="shared" ca="1" si="160"/>
        <v>*</v>
      </c>
      <c r="G257" s="497">
        <f t="shared" ca="1" si="160"/>
        <v>1</v>
      </c>
      <c r="H257" s="497" t="str">
        <f t="shared" ca="1" si="160"/>
        <v>*</v>
      </c>
      <c r="I257" s="497" t="str">
        <f t="shared" ca="1" si="160"/>
        <v>*</v>
      </c>
      <c r="J257" s="497">
        <f t="shared" ca="1" si="160"/>
        <v>1</v>
      </c>
      <c r="K257" s="497" t="str">
        <f t="shared" ca="1" si="160"/>
        <v>*</v>
      </c>
      <c r="L257" s="497" t="str">
        <f t="shared" ca="1" si="160"/>
        <v>*</v>
      </c>
      <c r="M257" s="497" t="str">
        <f t="shared" ca="1" si="160"/>
        <v>*</v>
      </c>
      <c r="N257" s="497">
        <f t="shared" ca="1" si="160"/>
        <v>1</v>
      </c>
      <c r="O257" s="497">
        <f t="shared" ca="1" si="160"/>
        <v>1</v>
      </c>
      <c r="P257" s="498">
        <f t="shared" ca="1" si="161"/>
        <v>5</v>
      </c>
      <c r="Q257" s="496">
        <f ca="1">IF($Y$82,D249,C257)</f>
        <v>2</v>
      </c>
      <c r="S257" s="1341"/>
      <c r="T257" s="1341"/>
      <c r="U257" s="1342"/>
      <c r="V257" s="1341"/>
      <c r="X257" s="495" t="s">
        <v>159</v>
      </c>
      <c r="Y257" s="499">
        <f t="shared" si="162"/>
        <v>5</v>
      </c>
      <c r="Z257" s="513" t="s">
        <v>181</v>
      </c>
      <c r="AA257" s="513" t="s">
        <v>181</v>
      </c>
      <c r="AB257" s="513">
        <v>1</v>
      </c>
      <c r="AC257" s="513" t="s">
        <v>181</v>
      </c>
      <c r="AD257" s="513" t="s">
        <v>181</v>
      </c>
      <c r="AE257" s="513">
        <v>1</v>
      </c>
      <c r="AF257" s="513" t="s">
        <v>181</v>
      </c>
      <c r="AG257" s="513" t="s">
        <v>181</v>
      </c>
      <c r="AH257" s="513" t="s">
        <v>181</v>
      </c>
      <c r="AI257" s="513">
        <v>1</v>
      </c>
      <c r="AJ257" s="513">
        <v>1</v>
      </c>
      <c r="AK257" s="513">
        <v>1</v>
      </c>
      <c r="AL257" s="514" t="str">
        <f t="shared" si="163"/>
        <v>*</v>
      </c>
      <c r="AM257" s="513" t="str">
        <f t="shared" si="163"/>
        <v>*</v>
      </c>
      <c r="AN257" s="513">
        <f t="shared" si="163"/>
        <v>1</v>
      </c>
      <c r="AO257" s="513" t="str">
        <f t="shared" si="163"/>
        <v>*</v>
      </c>
      <c r="AP257" s="513" t="str">
        <f t="shared" si="163"/>
        <v>*</v>
      </c>
      <c r="AQ257" s="513">
        <f t="shared" si="163"/>
        <v>1</v>
      </c>
      <c r="AR257" s="513" t="str">
        <f t="shared" si="163"/>
        <v>*</v>
      </c>
      <c r="AS257" s="513" t="str">
        <f t="shared" si="163"/>
        <v>*</v>
      </c>
      <c r="AT257" s="513" t="str">
        <f t="shared" si="163"/>
        <v>*</v>
      </c>
      <c r="AU257" s="513">
        <f t="shared" si="163"/>
        <v>1</v>
      </c>
      <c r="AV257" s="513">
        <f t="shared" si="163"/>
        <v>1</v>
      </c>
      <c r="AW257" s="515">
        <f t="shared" si="163"/>
        <v>1</v>
      </c>
      <c r="AX257" s="443" t="str">
        <f>MIN($Y$159,$Y$173,$Y$187,$Y$201,$Y$215,$Y$229,$Y$243,$Y$257)&amp;"-"&amp;MAX($Y$159,$Y$173,$Y$187,$Y$201,$Y$215,$Y$229,$Y$243,$Y$257)</f>
        <v>3-9</v>
      </c>
    </row>
    <row r="258" spans="1:51">
      <c r="A258" s="457" t="str">
        <f>A249&amp;"-"&amp;B258</f>
        <v>Lagna-Lagna</v>
      </c>
      <c r="B258" s="495" t="s">
        <v>319</v>
      </c>
      <c r="C258" s="496">
        <f ca="1">Lagnahouse</f>
        <v>5</v>
      </c>
      <c r="D258" s="497" t="str">
        <f t="shared" ca="1" si="160"/>
        <v>*</v>
      </c>
      <c r="E258" s="497">
        <f t="shared" ca="1" si="160"/>
        <v>1</v>
      </c>
      <c r="F258" s="497">
        <f t="shared" ca="1" si="160"/>
        <v>1</v>
      </c>
      <c r="G258" s="497" t="str">
        <f t="shared" ca="1" si="160"/>
        <v>*</v>
      </c>
      <c r="H258" s="497" t="str">
        <f t="shared" ca="1" si="160"/>
        <v>*</v>
      </c>
      <c r="I258" s="497" t="str">
        <f t="shared" ca="1" si="160"/>
        <v>*</v>
      </c>
      <c r="J258" s="497">
        <f t="shared" ca="1" si="160"/>
        <v>1</v>
      </c>
      <c r="K258" s="497" t="str">
        <f t="shared" ca="1" si="160"/>
        <v>*</v>
      </c>
      <c r="L258" s="497" t="str">
        <f t="shared" ca="1" si="160"/>
        <v>*</v>
      </c>
      <c r="M258" s="497">
        <f t="shared" ca="1" si="160"/>
        <v>1</v>
      </c>
      <c r="N258" s="497" t="str">
        <f t="shared" ca="1" si="160"/>
        <v>*</v>
      </c>
      <c r="O258" s="497" t="str">
        <f t="shared" ca="1" si="160"/>
        <v>*</v>
      </c>
      <c r="P258" s="498">
        <f t="shared" ca="1" si="161"/>
        <v>4</v>
      </c>
      <c r="Q258" s="496">
        <f ca="1">IF($Y$82,D249,C258)</f>
        <v>5</v>
      </c>
      <c r="S258" s="1341"/>
      <c r="T258" s="1341"/>
      <c r="U258" s="1342"/>
      <c r="V258" s="1341"/>
      <c r="W258" s="443" t="s">
        <v>780</v>
      </c>
      <c r="X258" s="495" t="s">
        <v>319</v>
      </c>
      <c r="Y258" s="499">
        <f t="shared" si="162"/>
        <v>4</v>
      </c>
      <c r="Z258" s="513" t="s">
        <v>181</v>
      </c>
      <c r="AA258" s="513" t="s">
        <v>181</v>
      </c>
      <c r="AB258" s="513">
        <v>1</v>
      </c>
      <c r="AC258" s="513" t="s">
        <v>181</v>
      </c>
      <c r="AD258" s="513" t="s">
        <v>181</v>
      </c>
      <c r="AE258" s="513">
        <v>1</v>
      </c>
      <c r="AF258" s="513" t="s">
        <v>181</v>
      </c>
      <c r="AG258" s="513" t="s">
        <v>181</v>
      </c>
      <c r="AH258" s="513" t="s">
        <v>181</v>
      </c>
      <c r="AI258" s="513">
        <v>1</v>
      </c>
      <c r="AJ258" s="513">
        <v>1</v>
      </c>
      <c r="AK258" s="513" t="s">
        <v>181</v>
      </c>
      <c r="AL258" s="514" t="str">
        <f t="shared" si="163"/>
        <v>*</v>
      </c>
      <c r="AM258" s="513" t="str">
        <f t="shared" si="163"/>
        <v>*</v>
      </c>
      <c r="AN258" s="513">
        <f t="shared" si="163"/>
        <v>1</v>
      </c>
      <c r="AO258" s="513" t="str">
        <f t="shared" si="163"/>
        <v>*</v>
      </c>
      <c r="AP258" s="513" t="str">
        <f t="shared" si="163"/>
        <v>*</v>
      </c>
      <c r="AQ258" s="513">
        <f t="shared" si="163"/>
        <v>1</v>
      </c>
      <c r="AR258" s="513" t="str">
        <f t="shared" si="163"/>
        <v>*</v>
      </c>
      <c r="AS258" s="513" t="str">
        <f t="shared" si="163"/>
        <v>*</v>
      </c>
      <c r="AT258" s="513" t="str">
        <f t="shared" si="163"/>
        <v>*</v>
      </c>
      <c r="AU258" s="513">
        <f t="shared" si="163"/>
        <v>1</v>
      </c>
      <c r="AV258" s="513">
        <f t="shared" si="163"/>
        <v>1</v>
      </c>
      <c r="AW258" s="515" t="str">
        <f t="shared" si="163"/>
        <v>*</v>
      </c>
      <c r="AX258" s="443" t="str">
        <f>MIN($Y$160,$Y$174,$Y$188,$Y$202,$Y$216,$Y$230,$Y$244,$Y$258)&amp;"-"&amp;MAX($Y$160,$Y$174,$Y$188,$Y$202,$Y$216,$Y$230,$Y$244,$Y$258)</f>
        <v>4-9</v>
      </c>
      <c r="AY258" s="443" t="s">
        <v>780</v>
      </c>
    </row>
    <row r="259" spans="1:51">
      <c r="A259" s="457" t="str">
        <f>A249&amp;"-"&amp;B259</f>
        <v>Lagna-Lagna</v>
      </c>
      <c r="B259" s="502" t="str">
        <f>B249</f>
        <v>Lagna</v>
      </c>
      <c r="C259" s="503"/>
      <c r="D259" s="503">
        <f t="shared" ref="D259:O259" ca="1" si="164">SUM(D251:D258)</f>
        <v>4</v>
      </c>
      <c r="E259" s="503">
        <f t="shared" ca="1" si="164"/>
        <v>5</v>
      </c>
      <c r="F259" s="503">
        <f t="shared" ca="1" si="164"/>
        <v>4</v>
      </c>
      <c r="G259" s="503">
        <f t="shared" ca="1" si="164"/>
        <v>5</v>
      </c>
      <c r="H259" s="503">
        <f t="shared" ca="1" si="164"/>
        <v>4</v>
      </c>
      <c r="I259" s="503">
        <f t="shared" ca="1" si="164"/>
        <v>3</v>
      </c>
      <c r="J259" s="503">
        <f t="shared" ca="1" si="164"/>
        <v>7</v>
      </c>
      <c r="K259" s="503">
        <f t="shared" ca="1" si="164"/>
        <v>2</v>
      </c>
      <c r="L259" s="503">
        <f t="shared" ca="1" si="164"/>
        <v>3</v>
      </c>
      <c r="M259" s="503">
        <f t="shared" ca="1" si="164"/>
        <v>3</v>
      </c>
      <c r="N259" s="503">
        <f t="shared" ca="1" si="164"/>
        <v>5</v>
      </c>
      <c r="O259" s="503">
        <f t="shared" ca="1" si="164"/>
        <v>4</v>
      </c>
      <c r="P259" s="504">
        <f t="shared" ca="1" si="161"/>
        <v>49</v>
      </c>
      <c r="Q259" s="504"/>
      <c r="S259" s="1341">
        <f ca="1">L259</f>
        <v>3</v>
      </c>
      <c r="T259" s="1341">
        <f ca="1">K259</f>
        <v>2</v>
      </c>
      <c r="U259" s="1341">
        <f ca="1">J259</f>
        <v>7</v>
      </c>
      <c r="V259" s="1341">
        <f ca="1">I259</f>
        <v>3</v>
      </c>
      <c r="X259" s="502"/>
      <c r="Y259" s="505">
        <f t="shared" si="162"/>
        <v>49</v>
      </c>
      <c r="Z259" s="506">
        <f t="shared" ref="Z259:AW259" si="165">SUM(Z251:Z258)</f>
        <v>5</v>
      </c>
      <c r="AA259" s="506">
        <f t="shared" si="165"/>
        <v>3</v>
      </c>
      <c r="AB259" s="506">
        <f t="shared" si="165"/>
        <v>6</v>
      </c>
      <c r="AC259" s="506">
        <f t="shared" si="165"/>
        <v>5</v>
      </c>
      <c r="AD259" s="506">
        <f t="shared" si="165"/>
        <v>2</v>
      </c>
      <c r="AE259" s="506">
        <f t="shared" si="165"/>
        <v>7</v>
      </c>
      <c r="AF259" s="506">
        <f t="shared" si="165"/>
        <v>1</v>
      </c>
      <c r="AG259" s="506">
        <f t="shared" si="165"/>
        <v>2</v>
      </c>
      <c r="AH259" s="506">
        <f t="shared" si="165"/>
        <v>2</v>
      </c>
      <c r="AI259" s="506">
        <f t="shared" si="165"/>
        <v>7</v>
      </c>
      <c r="AJ259" s="506">
        <f t="shared" si="165"/>
        <v>7</v>
      </c>
      <c r="AK259" s="506">
        <f t="shared" si="165"/>
        <v>2</v>
      </c>
      <c r="AL259" s="507">
        <f t="shared" si="165"/>
        <v>5</v>
      </c>
      <c r="AM259" s="508">
        <f t="shared" si="165"/>
        <v>3</v>
      </c>
      <c r="AN259" s="508">
        <f t="shared" si="165"/>
        <v>6</v>
      </c>
      <c r="AO259" s="508">
        <f t="shared" si="165"/>
        <v>5</v>
      </c>
      <c r="AP259" s="508">
        <f t="shared" si="165"/>
        <v>2</v>
      </c>
      <c r="AQ259" s="508">
        <f t="shared" si="165"/>
        <v>7</v>
      </c>
      <c r="AR259" s="508">
        <f t="shared" si="165"/>
        <v>1</v>
      </c>
      <c r="AS259" s="508">
        <f t="shared" si="165"/>
        <v>2</v>
      </c>
      <c r="AT259" s="508">
        <f t="shared" si="165"/>
        <v>2</v>
      </c>
      <c r="AU259" s="508">
        <f t="shared" si="165"/>
        <v>7</v>
      </c>
      <c r="AV259" s="508">
        <f t="shared" si="165"/>
        <v>7</v>
      </c>
      <c r="AW259" s="509">
        <f t="shared" si="165"/>
        <v>2</v>
      </c>
    </row>
    <row r="260" spans="1:51">
      <c r="A260" s="457" t="str">
        <f>A249&amp;"-"&amp;B260</f>
        <v>Lagna-</v>
      </c>
      <c r="S260" s="1341"/>
      <c r="T260" s="1341"/>
      <c r="U260" s="1341"/>
      <c r="V260" s="1341"/>
      <c r="X260" s="443" t="s">
        <v>782</v>
      </c>
      <c r="AL260" s="443"/>
    </row>
    <row r="261" spans="1:51">
      <c r="A261" s="457" t="str">
        <f>A249&amp;"-"&amp;B261</f>
        <v>Lagna-</v>
      </c>
      <c r="S261" s="1341"/>
      <c r="T261" s="1341"/>
      <c r="U261" s="1341"/>
      <c r="V261" s="1341"/>
    </row>
    <row r="262" spans="1:51">
      <c r="A262" s="457" t="str">
        <f>A249&amp;"-"&amp;B262</f>
        <v>Lagna------</v>
      </c>
      <c r="B262" s="443" t="s">
        <v>776</v>
      </c>
    </row>
    <row r="263" spans="1:51" s="451" customFormat="1" ht="12.75">
      <c r="A263" s="450" t="str">
        <f>B263</f>
        <v>Sarva2</v>
      </c>
      <c r="B263" s="1340" t="s">
        <v>784</v>
      </c>
      <c r="C263" s="1340"/>
      <c r="D263" s="451">
        <f ca="1">Lagnahouse</f>
        <v>5</v>
      </c>
      <c r="P263" s="453"/>
      <c r="Q263" s="453"/>
      <c r="S263" s="454"/>
      <c r="T263" s="454"/>
      <c r="U263" s="454"/>
      <c r="V263" s="454"/>
      <c r="AL263" s="443"/>
      <c r="AM263" s="443"/>
      <c r="AN263" s="443"/>
      <c r="AO263" s="443"/>
      <c r="AP263" s="443"/>
      <c r="AQ263" s="443"/>
      <c r="AR263" s="443"/>
      <c r="AS263" s="443"/>
      <c r="AT263" s="443"/>
      <c r="AU263" s="443"/>
      <c r="AV263" s="443"/>
      <c r="AW263" s="443"/>
      <c r="AX263" s="443" t="s">
        <v>777</v>
      </c>
    </row>
    <row r="264" spans="1:51">
      <c r="A264" s="457" t="str">
        <f t="shared" ref="A264:A279" si="166">A263</f>
        <v>Sarva2</v>
      </c>
      <c r="B264" s="487"/>
      <c r="C264" s="488" t="s">
        <v>746</v>
      </c>
      <c r="D264" s="489">
        <v>1</v>
      </c>
      <c r="E264" s="489">
        <v>2</v>
      </c>
      <c r="F264" s="489">
        <v>3</v>
      </c>
      <c r="G264" s="489">
        <v>4</v>
      </c>
      <c r="H264" s="489">
        <v>5</v>
      </c>
      <c r="I264" s="489">
        <v>6</v>
      </c>
      <c r="J264" s="489">
        <v>7</v>
      </c>
      <c r="K264" s="489">
        <v>8</v>
      </c>
      <c r="L264" s="489">
        <v>9</v>
      </c>
      <c r="M264" s="489">
        <v>10</v>
      </c>
      <c r="N264" s="489">
        <v>11</v>
      </c>
      <c r="O264" s="489">
        <v>12</v>
      </c>
      <c r="P264" s="490"/>
      <c r="Q264" s="490"/>
      <c r="S264" s="1341">
        <f ca="1">O273</f>
        <v>36</v>
      </c>
      <c r="T264" s="1341">
        <f ca="1">D273</f>
        <v>33</v>
      </c>
      <c r="U264" s="1341">
        <f ca="1">E273</f>
        <v>37</v>
      </c>
      <c r="V264" s="1341">
        <f ca="1">F273</f>
        <v>30</v>
      </c>
      <c r="X264" s="487"/>
      <c r="Y264" s="491" t="s">
        <v>779</v>
      </c>
      <c r="Z264" s="489">
        <v>1</v>
      </c>
      <c r="AA264" s="489">
        <v>2</v>
      </c>
      <c r="AB264" s="489">
        <v>3</v>
      </c>
      <c r="AC264" s="489">
        <v>4</v>
      </c>
      <c r="AD264" s="489">
        <v>5</v>
      </c>
      <c r="AE264" s="489">
        <v>6</v>
      </c>
      <c r="AF264" s="489">
        <v>7</v>
      </c>
      <c r="AG264" s="489">
        <v>8</v>
      </c>
      <c r="AH264" s="489">
        <v>9</v>
      </c>
      <c r="AI264" s="489">
        <v>10</v>
      </c>
      <c r="AJ264" s="489">
        <v>11</v>
      </c>
      <c r="AK264" s="489">
        <v>12</v>
      </c>
      <c r="AL264" s="493">
        <v>1</v>
      </c>
      <c r="AM264" s="489">
        <v>2</v>
      </c>
      <c r="AN264" s="489">
        <v>3</v>
      </c>
      <c r="AO264" s="489">
        <v>4</v>
      </c>
      <c r="AP264" s="489">
        <v>5</v>
      </c>
      <c r="AQ264" s="489">
        <v>6</v>
      </c>
      <c r="AR264" s="489">
        <v>7</v>
      </c>
      <c r="AS264" s="489">
        <v>8</v>
      </c>
      <c r="AT264" s="489">
        <v>9</v>
      </c>
      <c r="AU264" s="489">
        <v>10</v>
      </c>
      <c r="AV264" s="489">
        <v>11</v>
      </c>
      <c r="AW264" s="494">
        <v>12</v>
      </c>
    </row>
    <row r="265" spans="1:51">
      <c r="A265" s="457" t="str">
        <f t="shared" si="166"/>
        <v>Sarva2</v>
      </c>
      <c r="B265" s="495" t="s">
        <v>164</v>
      </c>
      <c r="C265" s="496">
        <f ca="1">SaturnHouse</f>
        <v>2</v>
      </c>
      <c r="D265" s="497">
        <f t="shared" ref="D265:O265" ca="1" si="167">SUM(D251,D237,D223,D209,D195,D181,D167,D153)</f>
        <v>1</v>
      </c>
      <c r="E265" s="497">
        <f t="shared" ca="1" si="167"/>
        <v>4</v>
      </c>
      <c r="F265" s="497">
        <f t="shared" ca="1" si="167"/>
        <v>2</v>
      </c>
      <c r="G265" s="497">
        <f t="shared" ca="1" si="167"/>
        <v>5</v>
      </c>
      <c r="H265" s="497">
        <f t="shared" ca="1" si="167"/>
        <v>5</v>
      </c>
      <c r="I265" s="497">
        <f t="shared" ca="1" si="167"/>
        <v>4</v>
      </c>
      <c r="J265" s="497">
        <f t="shared" ca="1" si="167"/>
        <v>4</v>
      </c>
      <c r="K265" s="497">
        <f t="shared" ca="1" si="167"/>
        <v>3</v>
      </c>
      <c r="L265" s="497">
        <f t="shared" ca="1" si="167"/>
        <v>4</v>
      </c>
      <c r="M265" s="497">
        <f t="shared" ca="1" si="167"/>
        <v>4</v>
      </c>
      <c r="N265" s="497">
        <f t="shared" ca="1" si="167"/>
        <v>5</v>
      </c>
      <c r="O265" s="497">
        <f t="shared" ca="1" si="167"/>
        <v>7</v>
      </c>
      <c r="P265" s="498">
        <f t="shared" ref="P265:P273" ca="1" si="168">SUM(D265:O265)</f>
        <v>48</v>
      </c>
      <c r="Q265" s="498"/>
      <c r="S265" s="1341"/>
      <c r="T265" s="1341"/>
      <c r="U265" s="1341"/>
      <c r="V265" s="1341"/>
      <c r="X265" s="495" t="s">
        <v>164</v>
      </c>
      <c r="Y265" s="499">
        <f t="shared" ref="Y265:Y272" si="169">SUM(Z265:AK265)</f>
        <v>48</v>
      </c>
      <c r="Z265" s="194">
        <f t="shared" ref="Z265:AK265" si="170">SUM(Z251,Z237,Z223,Z209,Z195,Z181,Z167,Z153)</f>
        <v>4</v>
      </c>
      <c r="AA265" s="194">
        <f t="shared" si="170"/>
        <v>2</v>
      </c>
      <c r="AB265" s="194">
        <f t="shared" si="170"/>
        <v>5</v>
      </c>
      <c r="AC265" s="194">
        <f t="shared" si="170"/>
        <v>5</v>
      </c>
      <c r="AD265" s="194">
        <f t="shared" si="170"/>
        <v>4</v>
      </c>
      <c r="AE265" s="194">
        <f t="shared" si="170"/>
        <v>4</v>
      </c>
      <c r="AF265" s="194">
        <f t="shared" si="170"/>
        <v>3</v>
      </c>
      <c r="AG265" s="194">
        <f t="shared" si="170"/>
        <v>4</v>
      </c>
      <c r="AH265" s="194">
        <f t="shared" si="170"/>
        <v>4</v>
      </c>
      <c r="AI265" s="194">
        <f t="shared" si="170"/>
        <v>5</v>
      </c>
      <c r="AJ265" s="194">
        <f t="shared" si="170"/>
        <v>7</v>
      </c>
      <c r="AK265" s="194">
        <f t="shared" si="170"/>
        <v>1</v>
      </c>
      <c r="AL265" s="444">
        <f t="shared" ref="AL265:AW272" si="171">Z265</f>
        <v>4</v>
      </c>
      <c r="AM265" s="443">
        <f t="shared" si="171"/>
        <v>2</v>
      </c>
      <c r="AN265" s="443">
        <f t="shared" si="171"/>
        <v>5</v>
      </c>
      <c r="AO265" s="443">
        <f t="shared" si="171"/>
        <v>5</v>
      </c>
      <c r="AP265" s="443">
        <f t="shared" si="171"/>
        <v>4</v>
      </c>
      <c r="AQ265" s="443">
        <f t="shared" si="171"/>
        <v>4</v>
      </c>
      <c r="AR265" s="443">
        <f t="shared" si="171"/>
        <v>3</v>
      </c>
      <c r="AS265" s="443">
        <f t="shared" si="171"/>
        <v>4</v>
      </c>
      <c r="AT265" s="443">
        <f t="shared" si="171"/>
        <v>4</v>
      </c>
      <c r="AU265" s="443">
        <f t="shared" si="171"/>
        <v>5</v>
      </c>
      <c r="AV265" s="443">
        <f t="shared" si="171"/>
        <v>7</v>
      </c>
      <c r="AW265" s="445">
        <f t="shared" si="171"/>
        <v>1</v>
      </c>
      <c r="AX265" s="443" t="str">
        <f>MIN($Y$153,$Y$167,$Y$181,$Y$195,$Y$209,$Y$223,$Y$237,$Y$251)&amp;"-"&amp;MAX($Y$153,$Y$167,$Y$181,$Y$195,$Y$209,$Y$223,$Y$237,$Y$251)</f>
        <v>4-8</v>
      </c>
    </row>
    <row r="266" spans="1:51">
      <c r="A266" s="457" t="str">
        <f t="shared" si="166"/>
        <v>Sarva2</v>
      </c>
      <c r="B266" s="495" t="s">
        <v>162</v>
      </c>
      <c r="C266" s="496">
        <f ca="1">JupiterHouse</f>
        <v>8</v>
      </c>
      <c r="D266" s="497">
        <f t="shared" ref="D266:O266" ca="1" si="172">SUM(D252,D238,D224,D210,D196,D182,D168,D154)</f>
        <v>5</v>
      </c>
      <c r="E266" s="497">
        <f t="shared" ca="1" si="172"/>
        <v>3</v>
      </c>
      <c r="F266" s="497">
        <f t="shared" ca="1" si="172"/>
        <v>4</v>
      </c>
      <c r="G266" s="497">
        <f t="shared" ca="1" si="172"/>
        <v>3</v>
      </c>
      <c r="H266" s="497">
        <f t="shared" ca="1" si="172"/>
        <v>5</v>
      </c>
      <c r="I266" s="497">
        <f t="shared" ca="1" si="172"/>
        <v>8</v>
      </c>
      <c r="J266" s="497">
        <f t="shared" ca="1" si="172"/>
        <v>3</v>
      </c>
      <c r="K266" s="497">
        <f t="shared" ca="1" si="172"/>
        <v>3</v>
      </c>
      <c r="L266" s="497">
        <f t="shared" ca="1" si="172"/>
        <v>3</v>
      </c>
      <c r="M266" s="497">
        <f t="shared" ca="1" si="172"/>
        <v>1</v>
      </c>
      <c r="N266" s="497">
        <f t="shared" ca="1" si="172"/>
        <v>3</v>
      </c>
      <c r="O266" s="497">
        <f t="shared" ca="1" si="172"/>
        <v>4</v>
      </c>
      <c r="P266" s="498">
        <f t="shared" ca="1" si="168"/>
        <v>45</v>
      </c>
      <c r="Q266" s="498"/>
      <c r="S266" s="1341"/>
      <c r="T266" s="1341"/>
      <c r="U266" s="1341"/>
      <c r="V266" s="1341"/>
      <c r="X266" s="495" t="s">
        <v>162</v>
      </c>
      <c r="Y266" s="499">
        <f t="shared" si="169"/>
        <v>45</v>
      </c>
      <c r="Z266" s="194">
        <f t="shared" ref="Z266:AK266" si="173">SUM(Z252,Z238,Z224,Z210,Z196,Z182,Z168,Z154)</f>
        <v>3</v>
      </c>
      <c r="AA266" s="194">
        <f t="shared" si="173"/>
        <v>3</v>
      </c>
      <c r="AB266" s="194">
        <f t="shared" si="173"/>
        <v>1</v>
      </c>
      <c r="AC266" s="194">
        <f t="shared" si="173"/>
        <v>3</v>
      </c>
      <c r="AD266" s="194">
        <f t="shared" si="173"/>
        <v>4</v>
      </c>
      <c r="AE266" s="194">
        <f t="shared" si="173"/>
        <v>5</v>
      </c>
      <c r="AF266" s="194">
        <f t="shared" si="173"/>
        <v>3</v>
      </c>
      <c r="AG266" s="194">
        <f t="shared" si="173"/>
        <v>4</v>
      </c>
      <c r="AH266" s="194">
        <f t="shared" si="173"/>
        <v>3</v>
      </c>
      <c r="AI266" s="194">
        <f t="shared" si="173"/>
        <v>5</v>
      </c>
      <c r="AJ266" s="194">
        <f t="shared" si="173"/>
        <v>8</v>
      </c>
      <c r="AK266" s="194">
        <f t="shared" si="173"/>
        <v>3</v>
      </c>
      <c r="AL266" s="444">
        <f t="shared" si="171"/>
        <v>3</v>
      </c>
      <c r="AM266" s="443">
        <f t="shared" si="171"/>
        <v>3</v>
      </c>
      <c r="AN266" s="443">
        <f t="shared" si="171"/>
        <v>1</v>
      </c>
      <c r="AO266" s="443">
        <f t="shared" si="171"/>
        <v>3</v>
      </c>
      <c r="AP266" s="443">
        <f t="shared" si="171"/>
        <v>4</v>
      </c>
      <c r="AQ266" s="443">
        <f t="shared" si="171"/>
        <v>5</v>
      </c>
      <c r="AR266" s="443">
        <f t="shared" si="171"/>
        <v>3</v>
      </c>
      <c r="AS266" s="443">
        <f t="shared" si="171"/>
        <v>4</v>
      </c>
      <c r="AT266" s="443">
        <f t="shared" si="171"/>
        <v>3</v>
      </c>
      <c r="AU266" s="443">
        <f t="shared" si="171"/>
        <v>5</v>
      </c>
      <c r="AV266" s="443">
        <f t="shared" si="171"/>
        <v>8</v>
      </c>
      <c r="AW266" s="445">
        <f t="shared" si="171"/>
        <v>3</v>
      </c>
      <c r="AX266" s="443" t="str">
        <f>MIN($Y$154,$Y$168,$Y$182,$Y$196,$Y$210,$Y$224,$Y$238,$Y$252)&amp;"-"&amp;MAX($Y$154,$Y$168,$Y$182,$Y$196,$Y$210,$Y$224,$Y$238,$Y$252)</f>
        <v>4-9</v>
      </c>
    </row>
    <row r="267" spans="1:51">
      <c r="A267" s="457" t="str">
        <f t="shared" si="166"/>
        <v>Sarva2</v>
      </c>
      <c r="B267" s="495" t="s">
        <v>160</v>
      </c>
      <c r="C267" s="496">
        <f ca="1">MarsHouse</f>
        <v>10</v>
      </c>
      <c r="D267" s="497">
        <f t="shared" ref="D267:O267" ca="1" si="174">SUM(D253,D239,D225,D211,D197,D183,D169,D155)</f>
        <v>5</v>
      </c>
      <c r="E267" s="497">
        <f t="shared" ca="1" si="174"/>
        <v>2</v>
      </c>
      <c r="F267" s="497">
        <f t="shared" ca="1" si="174"/>
        <v>4</v>
      </c>
      <c r="G267" s="497">
        <f t="shared" ca="1" si="174"/>
        <v>4</v>
      </c>
      <c r="H267" s="497">
        <f t="shared" ca="1" si="174"/>
        <v>4</v>
      </c>
      <c r="I267" s="497">
        <f t="shared" ca="1" si="174"/>
        <v>3</v>
      </c>
      <c r="J267" s="497">
        <f t="shared" ca="1" si="174"/>
        <v>7</v>
      </c>
      <c r="K267" s="497">
        <f t="shared" ca="1" si="174"/>
        <v>8</v>
      </c>
      <c r="L267" s="497">
        <f t="shared" ca="1" si="174"/>
        <v>2</v>
      </c>
      <c r="M267" s="497">
        <f t="shared" ca="1" si="174"/>
        <v>5</v>
      </c>
      <c r="N267" s="497">
        <f t="shared" ca="1" si="174"/>
        <v>5</v>
      </c>
      <c r="O267" s="497">
        <f t="shared" ca="1" si="174"/>
        <v>4</v>
      </c>
      <c r="P267" s="498">
        <f t="shared" ca="1" si="168"/>
        <v>53</v>
      </c>
      <c r="Q267" s="498"/>
      <c r="S267" s="1341">
        <f ca="1">N273</f>
        <v>31</v>
      </c>
      <c r="T267" s="1342" t="str">
        <f ca="1">C263&amp;"  Ashtakavarga  "&amp;P273</f>
        <v xml:space="preserve">  Ashtakavarga  386</v>
      </c>
      <c r="U267" s="1342"/>
      <c r="V267" s="1341">
        <f ca="1">G273</f>
        <v>30</v>
      </c>
      <c r="X267" s="495" t="s">
        <v>160</v>
      </c>
      <c r="Y267" s="499">
        <f t="shared" si="169"/>
        <v>53</v>
      </c>
      <c r="Z267" s="194">
        <f t="shared" ref="Z267:AK267" si="175">SUM(Z253,Z239,Z225,Z211,Z197,Z183,Z169,Z155)</f>
        <v>5</v>
      </c>
      <c r="AA267" s="194">
        <f t="shared" si="175"/>
        <v>5</v>
      </c>
      <c r="AB267" s="194">
        <f t="shared" si="175"/>
        <v>4</v>
      </c>
      <c r="AC267" s="194">
        <f t="shared" si="175"/>
        <v>5</v>
      </c>
      <c r="AD267" s="194">
        <f t="shared" si="175"/>
        <v>2</v>
      </c>
      <c r="AE267" s="194">
        <f t="shared" si="175"/>
        <v>4</v>
      </c>
      <c r="AF267" s="194">
        <f t="shared" si="175"/>
        <v>4</v>
      </c>
      <c r="AG267" s="194">
        <f t="shared" si="175"/>
        <v>4</v>
      </c>
      <c r="AH267" s="194">
        <f t="shared" si="175"/>
        <v>3</v>
      </c>
      <c r="AI267" s="194">
        <f t="shared" si="175"/>
        <v>7</v>
      </c>
      <c r="AJ267" s="194">
        <f t="shared" si="175"/>
        <v>8</v>
      </c>
      <c r="AK267" s="194">
        <f t="shared" si="175"/>
        <v>2</v>
      </c>
      <c r="AL267" s="444">
        <f t="shared" si="171"/>
        <v>5</v>
      </c>
      <c r="AM267" s="443">
        <f t="shared" si="171"/>
        <v>5</v>
      </c>
      <c r="AN267" s="443">
        <f t="shared" si="171"/>
        <v>4</v>
      </c>
      <c r="AO267" s="443">
        <f t="shared" si="171"/>
        <v>5</v>
      </c>
      <c r="AP267" s="443">
        <f t="shared" si="171"/>
        <v>2</v>
      </c>
      <c r="AQ267" s="443">
        <f t="shared" si="171"/>
        <v>4</v>
      </c>
      <c r="AR267" s="443">
        <f t="shared" si="171"/>
        <v>4</v>
      </c>
      <c r="AS267" s="443">
        <f t="shared" si="171"/>
        <v>4</v>
      </c>
      <c r="AT267" s="443">
        <f t="shared" si="171"/>
        <v>3</v>
      </c>
      <c r="AU267" s="443">
        <f t="shared" si="171"/>
        <v>7</v>
      </c>
      <c r="AV267" s="443">
        <f t="shared" si="171"/>
        <v>8</v>
      </c>
      <c r="AW267" s="445">
        <f t="shared" si="171"/>
        <v>2</v>
      </c>
      <c r="AX267" s="443" t="str">
        <f>MIN($Y$155,$Y$169,$Y$183,$Y$197,$Y$211,$Y$225,$Y$239,$Y$253)&amp;"-"&amp;MAX($Y$155,$Y$169,$Y$183,$Y$197,$Y$211,$Y$225,$Y$239,$Y$253)</f>
        <v>5-8</v>
      </c>
    </row>
    <row r="268" spans="1:51">
      <c r="A268" s="457" t="str">
        <f t="shared" si="166"/>
        <v>Sarva2</v>
      </c>
      <c r="B268" s="495" t="s">
        <v>158</v>
      </c>
      <c r="C268" s="496">
        <f ca="1">SunHouse</f>
        <v>4</v>
      </c>
      <c r="D268" s="497">
        <f t="shared" ref="D268:O268" ca="1" si="176">SUM(D254,D240,D226,D212,D198,D184,D170,D156)</f>
        <v>6</v>
      </c>
      <c r="E268" s="497">
        <f t="shared" ca="1" si="176"/>
        <v>8</v>
      </c>
      <c r="F268" s="497">
        <f t="shared" ca="1" si="176"/>
        <v>3</v>
      </c>
      <c r="G268" s="497">
        <f t="shared" ca="1" si="176"/>
        <v>3</v>
      </c>
      <c r="H268" s="497">
        <f t="shared" ca="1" si="176"/>
        <v>3</v>
      </c>
      <c r="I268" s="497">
        <f t="shared" ca="1" si="176"/>
        <v>4</v>
      </c>
      <c r="J268" s="497">
        <f t="shared" ca="1" si="176"/>
        <v>4</v>
      </c>
      <c r="K268" s="497">
        <f t="shared" ca="1" si="176"/>
        <v>2</v>
      </c>
      <c r="L268" s="497">
        <f t="shared" ca="1" si="176"/>
        <v>4</v>
      </c>
      <c r="M268" s="497">
        <f t="shared" ca="1" si="176"/>
        <v>4</v>
      </c>
      <c r="N268" s="497">
        <f t="shared" ca="1" si="176"/>
        <v>5</v>
      </c>
      <c r="O268" s="497">
        <f t="shared" ca="1" si="176"/>
        <v>3</v>
      </c>
      <c r="P268" s="498">
        <f t="shared" ca="1" si="168"/>
        <v>49</v>
      </c>
      <c r="Q268" s="498"/>
      <c r="S268" s="1341"/>
      <c r="T268" s="1341"/>
      <c r="U268" s="1342"/>
      <c r="V268" s="1341"/>
      <c r="X268" s="495" t="s">
        <v>158</v>
      </c>
      <c r="Y268" s="499">
        <f t="shared" si="169"/>
        <v>49</v>
      </c>
      <c r="Z268" s="194">
        <f t="shared" ref="Z268:AK268" si="177">SUM(Z254,Z240,Z226,Z212,Z198,Z184,Z170,Z156)</f>
        <v>3</v>
      </c>
      <c r="AA268" s="194">
        <f t="shared" si="177"/>
        <v>3</v>
      </c>
      <c r="AB268" s="194">
        <f t="shared" si="177"/>
        <v>4</v>
      </c>
      <c r="AC268" s="194">
        <f t="shared" si="177"/>
        <v>4</v>
      </c>
      <c r="AD268" s="194">
        <f t="shared" si="177"/>
        <v>2</v>
      </c>
      <c r="AE268" s="194">
        <f t="shared" si="177"/>
        <v>4</v>
      </c>
      <c r="AF268" s="194">
        <f t="shared" si="177"/>
        <v>4</v>
      </c>
      <c r="AG268" s="194">
        <f t="shared" si="177"/>
        <v>5</v>
      </c>
      <c r="AH268" s="194">
        <f t="shared" si="177"/>
        <v>3</v>
      </c>
      <c r="AI268" s="194">
        <f t="shared" si="177"/>
        <v>6</v>
      </c>
      <c r="AJ268" s="194">
        <f t="shared" si="177"/>
        <v>8</v>
      </c>
      <c r="AK268" s="194">
        <f t="shared" si="177"/>
        <v>3</v>
      </c>
      <c r="AL268" s="444">
        <f t="shared" si="171"/>
        <v>3</v>
      </c>
      <c r="AM268" s="443">
        <f t="shared" si="171"/>
        <v>3</v>
      </c>
      <c r="AN268" s="443">
        <f t="shared" si="171"/>
        <v>4</v>
      </c>
      <c r="AO268" s="443">
        <f t="shared" si="171"/>
        <v>4</v>
      </c>
      <c r="AP268" s="443">
        <f t="shared" si="171"/>
        <v>2</v>
      </c>
      <c r="AQ268" s="443">
        <f t="shared" si="171"/>
        <v>4</v>
      </c>
      <c r="AR268" s="443">
        <f t="shared" si="171"/>
        <v>4</v>
      </c>
      <c r="AS268" s="443">
        <f t="shared" si="171"/>
        <v>5</v>
      </c>
      <c r="AT268" s="443">
        <f t="shared" si="171"/>
        <v>3</v>
      </c>
      <c r="AU268" s="443">
        <f t="shared" si="171"/>
        <v>6</v>
      </c>
      <c r="AV268" s="443">
        <f t="shared" si="171"/>
        <v>8</v>
      </c>
      <c r="AW268" s="445">
        <f t="shared" si="171"/>
        <v>3</v>
      </c>
      <c r="AX268" s="443" t="str">
        <f>MIN($Y$156,$Y$170,$Y$184,$Y$198,$Y$212,$Y$226,$Y$240,$Y$254)&amp;"-"&amp;MAX($Y$156,$Y$170,$Y$184,$Y$198,$Y$212,$Y$226,$Y$240,$Y$254)</f>
        <v>3-9</v>
      </c>
    </row>
    <row r="269" spans="1:51">
      <c r="A269" s="457" t="str">
        <f t="shared" si="166"/>
        <v>Sarva2</v>
      </c>
      <c r="B269" s="495" t="s">
        <v>163</v>
      </c>
      <c r="C269" s="496">
        <f ca="1">VenusHouse</f>
        <v>3</v>
      </c>
      <c r="D269" s="497">
        <f t="shared" ref="D269:O269" ca="1" si="178">SUM(D255,D241,D227,D213,D199,D185,D171,D157)</f>
        <v>6</v>
      </c>
      <c r="E269" s="497">
        <f t="shared" ca="1" si="178"/>
        <v>3</v>
      </c>
      <c r="F269" s="497">
        <f t="shared" ca="1" si="178"/>
        <v>3</v>
      </c>
      <c r="G269" s="497">
        <f t="shared" ca="1" si="178"/>
        <v>4</v>
      </c>
      <c r="H269" s="497">
        <f t="shared" ca="1" si="178"/>
        <v>4</v>
      </c>
      <c r="I269" s="497">
        <f t="shared" ca="1" si="178"/>
        <v>4</v>
      </c>
      <c r="J269" s="497">
        <f t="shared" ca="1" si="178"/>
        <v>5</v>
      </c>
      <c r="K269" s="497">
        <f t="shared" ca="1" si="178"/>
        <v>4</v>
      </c>
      <c r="L269" s="497">
        <f t="shared" ca="1" si="178"/>
        <v>2</v>
      </c>
      <c r="M269" s="497">
        <f t="shared" ca="1" si="178"/>
        <v>4</v>
      </c>
      <c r="N269" s="497">
        <f t="shared" ca="1" si="178"/>
        <v>5</v>
      </c>
      <c r="O269" s="497">
        <f t="shared" ca="1" si="178"/>
        <v>3</v>
      </c>
      <c r="P269" s="498">
        <f t="shared" ca="1" si="168"/>
        <v>47</v>
      </c>
      <c r="Q269" s="498"/>
      <c r="S269" s="1341"/>
      <c r="T269" s="1341"/>
      <c r="U269" s="1342"/>
      <c r="V269" s="1341"/>
      <c r="X269" s="495" t="s">
        <v>163</v>
      </c>
      <c r="Y269" s="499">
        <f t="shared" si="169"/>
        <v>47</v>
      </c>
      <c r="Z269" s="194">
        <f t="shared" ref="Z269:AK269" si="179">SUM(Z255,Z241,Z227,Z213,Z199,Z185,Z171,Z157)</f>
        <v>3</v>
      </c>
      <c r="AA269" s="194">
        <f t="shared" si="179"/>
        <v>4</v>
      </c>
      <c r="AB269" s="194">
        <f t="shared" si="179"/>
        <v>4</v>
      </c>
      <c r="AC269" s="194">
        <f t="shared" si="179"/>
        <v>4</v>
      </c>
      <c r="AD269" s="194">
        <f t="shared" si="179"/>
        <v>5</v>
      </c>
      <c r="AE269" s="194">
        <f t="shared" si="179"/>
        <v>4</v>
      </c>
      <c r="AF269" s="194">
        <f t="shared" si="179"/>
        <v>2</v>
      </c>
      <c r="AG269" s="194">
        <f t="shared" si="179"/>
        <v>4</v>
      </c>
      <c r="AH269" s="194">
        <f t="shared" si="179"/>
        <v>5</v>
      </c>
      <c r="AI269" s="194">
        <f t="shared" si="179"/>
        <v>3</v>
      </c>
      <c r="AJ269" s="194">
        <f t="shared" si="179"/>
        <v>6</v>
      </c>
      <c r="AK269" s="194">
        <f t="shared" si="179"/>
        <v>3</v>
      </c>
      <c r="AL269" s="444">
        <f t="shared" si="171"/>
        <v>3</v>
      </c>
      <c r="AM269" s="443">
        <f t="shared" si="171"/>
        <v>4</v>
      </c>
      <c r="AN269" s="443">
        <f t="shared" si="171"/>
        <v>4</v>
      </c>
      <c r="AO269" s="443">
        <f t="shared" si="171"/>
        <v>4</v>
      </c>
      <c r="AP269" s="443">
        <f t="shared" si="171"/>
        <v>5</v>
      </c>
      <c r="AQ269" s="443">
        <f t="shared" si="171"/>
        <v>4</v>
      </c>
      <c r="AR269" s="443">
        <f t="shared" si="171"/>
        <v>2</v>
      </c>
      <c r="AS269" s="443">
        <f t="shared" si="171"/>
        <v>4</v>
      </c>
      <c r="AT269" s="443">
        <f t="shared" si="171"/>
        <v>5</v>
      </c>
      <c r="AU269" s="443">
        <f t="shared" si="171"/>
        <v>3</v>
      </c>
      <c r="AV269" s="443">
        <f t="shared" si="171"/>
        <v>6</v>
      </c>
      <c r="AW269" s="445">
        <f t="shared" si="171"/>
        <v>3</v>
      </c>
      <c r="AX269" s="443" t="str">
        <f>MIN($Y$157,$Y$171,$Y$185,$Y$199,$Y$213,$Y$227,$Y$241,$Y$255)&amp;"-"&amp;MAX($Y$157,$Y$171,$Y$185,$Y$199,$Y$213,$Y$227,$Y$241,$Y$255)</f>
        <v>3-9</v>
      </c>
    </row>
    <row r="270" spans="1:51">
      <c r="A270" s="457" t="str">
        <f t="shared" si="166"/>
        <v>Sarva2</v>
      </c>
      <c r="B270" s="495" t="s">
        <v>161</v>
      </c>
      <c r="C270" s="496">
        <f ca="1">MercuryHouse</f>
        <v>4</v>
      </c>
      <c r="D270" s="497">
        <f t="shared" ref="D270:O270" ca="1" si="180">SUM(D256,D242,D228,D214,D200,D186,D172,D158)</f>
        <v>6</v>
      </c>
      <c r="E270" s="497">
        <f t="shared" ca="1" si="180"/>
        <v>8</v>
      </c>
      <c r="F270" s="497">
        <f t="shared" ca="1" si="180"/>
        <v>3</v>
      </c>
      <c r="G270" s="497">
        <f t="shared" ca="1" si="180"/>
        <v>4</v>
      </c>
      <c r="H270" s="497">
        <f t="shared" ca="1" si="180"/>
        <v>2</v>
      </c>
      <c r="I270" s="497">
        <f t="shared" ca="1" si="180"/>
        <v>5</v>
      </c>
      <c r="J270" s="497">
        <f t="shared" ca="1" si="180"/>
        <v>3</v>
      </c>
      <c r="K270" s="497">
        <f t="shared" ca="1" si="180"/>
        <v>6</v>
      </c>
      <c r="L270" s="497">
        <f t="shared" ca="1" si="180"/>
        <v>7</v>
      </c>
      <c r="M270" s="497">
        <f t="shared" ca="1" si="180"/>
        <v>1</v>
      </c>
      <c r="N270" s="497">
        <f t="shared" ca="1" si="180"/>
        <v>3</v>
      </c>
      <c r="O270" s="497">
        <f t="shared" ca="1" si="180"/>
        <v>5</v>
      </c>
      <c r="P270" s="498">
        <f t="shared" ca="1" si="168"/>
        <v>53</v>
      </c>
      <c r="Q270" s="498"/>
      <c r="S270" s="1341">
        <f ca="1">M273</f>
        <v>29</v>
      </c>
      <c r="T270" s="1342"/>
      <c r="U270" s="1342"/>
      <c r="V270" s="1341">
        <f ca="1">H273</f>
        <v>30</v>
      </c>
      <c r="X270" s="495" t="s">
        <v>161</v>
      </c>
      <c r="Y270" s="499">
        <f t="shared" si="169"/>
        <v>53</v>
      </c>
      <c r="Z270" s="194">
        <f t="shared" ref="Z270:AK270" si="181">SUM(Z256,Z242,Z228,Z214,Z200,Z186,Z172,Z158)</f>
        <v>4</v>
      </c>
      <c r="AA270" s="194">
        <f t="shared" si="181"/>
        <v>2</v>
      </c>
      <c r="AB270" s="194">
        <f t="shared" si="181"/>
        <v>5</v>
      </c>
      <c r="AC270" s="194">
        <f t="shared" si="181"/>
        <v>3</v>
      </c>
      <c r="AD270" s="194">
        <f t="shared" si="181"/>
        <v>6</v>
      </c>
      <c r="AE270" s="194">
        <f t="shared" si="181"/>
        <v>7</v>
      </c>
      <c r="AF270" s="194">
        <f t="shared" si="181"/>
        <v>1</v>
      </c>
      <c r="AG270" s="194">
        <f t="shared" si="181"/>
        <v>3</v>
      </c>
      <c r="AH270" s="194">
        <f t="shared" si="181"/>
        <v>5</v>
      </c>
      <c r="AI270" s="194">
        <f t="shared" si="181"/>
        <v>6</v>
      </c>
      <c r="AJ270" s="194">
        <f t="shared" si="181"/>
        <v>8</v>
      </c>
      <c r="AK270" s="194">
        <f t="shared" si="181"/>
        <v>3</v>
      </c>
      <c r="AL270" s="444">
        <f t="shared" si="171"/>
        <v>4</v>
      </c>
      <c r="AM270" s="443">
        <f t="shared" si="171"/>
        <v>2</v>
      </c>
      <c r="AN270" s="443">
        <f t="shared" si="171"/>
        <v>5</v>
      </c>
      <c r="AO270" s="443">
        <f t="shared" si="171"/>
        <v>3</v>
      </c>
      <c r="AP270" s="443">
        <f t="shared" si="171"/>
        <v>6</v>
      </c>
      <c r="AQ270" s="443">
        <f t="shared" si="171"/>
        <v>7</v>
      </c>
      <c r="AR270" s="443">
        <f t="shared" si="171"/>
        <v>1</v>
      </c>
      <c r="AS270" s="443">
        <f t="shared" si="171"/>
        <v>3</v>
      </c>
      <c r="AT270" s="443">
        <f t="shared" si="171"/>
        <v>5</v>
      </c>
      <c r="AU270" s="443">
        <f t="shared" si="171"/>
        <v>6</v>
      </c>
      <c r="AV270" s="443">
        <f t="shared" si="171"/>
        <v>8</v>
      </c>
      <c r="AW270" s="445">
        <f t="shared" si="171"/>
        <v>3</v>
      </c>
      <c r="AX270" s="443" t="str">
        <f>MIN($Y$158,$Y$172,$Y$186,$Y$200,$Y$214,$Y$228,$Y$242,$Y$256)&amp;"-"&amp;MAX($Y$158,$Y$172,$Y$186,$Y$200,$Y$214,$Y$228,$Y$242,$Y$256)</f>
        <v>4-8</v>
      </c>
    </row>
    <row r="271" spans="1:51">
      <c r="A271" s="457" t="str">
        <f t="shared" si="166"/>
        <v>Sarva2</v>
      </c>
      <c r="B271" s="495" t="s">
        <v>159</v>
      </c>
      <c r="C271" s="496">
        <f ca="1">MoonHouse</f>
        <v>2</v>
      </c>
      <c r="D271" s="497">
        <f t="shared" ref="D271:O271" ca="1" si="182">SUM(D257,D243,D229,D215,D201,D187,D173,D159)</f>
        <v>2</v>
      </c>
      <c r="E271" s="497">
        <f t="shared" ca="1" si="182"/>
        <v>2</v>
      </c>
      <c r="F271" s="497">
        <f t="shared" ca="1" si="182"/>
        <v>3</v>
      </c>
      <c r="G271" s="497">
        <f t="shared" ca="1" si="182"/>
        <v>6</v>
      </c>
      <c r="H271" s="497">
        <f t="shared" ca="1" si="182"/>
        <v>2</v>
      </c>
      <c r="I271" s="497">
        <f t="shared" ca="1" si="182"/>
        <v>2</v>
      </c>
      <c r="J271" s="497">
        <f t="shared" ca="1" si="182"/>
        <v>6</v>
      </c>
      <c r="K271" s="497">
        <f t="shared" ca="1" si="182"/>
        <v>2</v>
      </c>
      <c r="L271" s="497">
        <f t="shared" ca="1" si="182"/>
        <v>2</v>
      </c>
      <c r="M271" s="497">
        <f t="shared" ca="1" si="182"/>
        <v>3</v>
      </c>
      <c r="N271" s="497">
        <f t="shared" ca="1" si="182"/>
        <v>4</v>
      </c>
      <c r="O271" s="497">
        <f t="shared" ca="1" si="182"/>
        <v>8</v>
      </c>
      <c r="P271" s="498">
        <f t="shared" ca="1" si="168"/>
        <v>42</v>
      </c>
      <c r="Q271" s="498"/>
      <c r="S271" s="1341"/>
      <c r="T271" s="1341"/>
      <c r="U271" s="1342"/>
      <c r="V271" s="1341"/>
      <c r="X271" s="495" t="s">
        <v>159</v>
      </c>
      <c r="Y271" s="499">
        <f t="shared" si="169"/>
        <v>42</v>
      </c>
      <c r="Z271" s="194">
        <f t="shared" ref="Z271:AK271" si="183">SUM(Z257,Z243,Z229,Z215,Z201,Z187,Z173,Z159)</f>
        <v>2</v>
      </c>
      <c r="AA271" s="194">
        <f t="shared" si="183"/>
        <v>3</v>
      </c>
      <c r="AB271" s="194">
        <f t="shared" si="183"/>
        <v>6</v>
      </c>
      <c r="AC271" s="194">
        <f t="shared" si="183"/>
        <v>2</v>
      </c>
      <c r="AD271" s="194">
        <f t="shared" si="183"/>
        <v>2</v>
      </c>
      <c r="AE271" s="194">
        <f t="shared" si="183"/>
        <v>6</v>
      </c>
      <c r="AF271" s="194">
        <f t="shared" si="183"/>
        <v>2</v>
      </c>
      <c r="AG271" s="194">
        <f t="shared" si="183"/>
        <v>2</v>
      </c>
      <c r="AH271" s="194">
        <f t="shared" si="183"/>
        <v>3</v>
      </c>
      <c r="AI271" s="194">
        <f t="shared" si="183"/>
        <v>4</v>
      </c>
      <c r="AJ271" s="194">
        <f t="shared" si="183"/>
        <v>8</v>
      </c>
      <c r="AK271" s="194">
        <f t="shared" si="183"/>
        <v>2</v>
      </c>
      <c r="AL271" s="444">
        <f t="shared" si="171"/>
        <v>2</v>
      </c>
      <c r="AM271" s="443">
        <f t="shared" si="171"/>
        <v>3</v>
      </c>
      <c r="AN271" s="443">
        <f t="shared" si="171"/>
        <v>6</v>
      </c>
      <c r="AO271" s="443">
        <f t="shared" si="171"/>
        <v>2</v>
      </c>
      <c r="AP271" s="443">
        <f t="shared" si="171"/>
        <v>2</v>
      </c>
      <c r="AQ271" s="443">
        <f t="shared" si="171"/>
        <v>6</v>
      </c>
      <c r="AR271" s="443">
        <f t="shared" si="171"/>
        <v>2</v>
      </c>
      <c r="AS271" s="443">
        <f t="shared" si="171"/>
        <v>2</v>
      </c>
      <c r="AT271" s="443">
        <f t="shared" si="171"/>
        <v>3</v>
      </c>
      <c r="AU271" s="443">
        <f t="shared" si="171"/>
        <v>4</v>
      </c>
      <c r="AV271" s="443">
        <f t="shared" si="171"/>
        <v>8</v>
      </c>
      <c r="AW271" s="445">
        <f t="shared" si="171"/>
        <v>2</v>
      </c>
      <c r="AX271" s="443" t="str">
        <f>MIN($Y$159,$Y$173,$Y$187,$Y$201,$Y$215,$Y$229,$Y$243,$Y$257)&amp;"-"&amp;MAX($Y$159,$Y$173,$Y$187,$Y$201,$Y$215,$Y$229,$Y$243,$Y$257)</f>
        <v>3-9</v>
      </c>
    </row>
    <row r="272" spans="1:51">
      <c r="A272" s="457" t="str">
        <f t="shared" si="166"/>
        <v>Sarva2</v>
      </c>
      <c r="B272" s="495" t="s">
        <v>319</v>
      </c>
      <c r="C272" s="496">
        <f ca="1">Lagnahouse</f>
        <v>5</v>
      </c>
      <c r="D272" s="497">
        <f t="shared" ref="D272:O272" ca="1" si="184">SUM(D258,D244,D230,D216,D202,D188,D174,D160)</f>
        <v>2</v>
      </c>
      <c r="E272" s="497">
        <f t="shared" ca="1" si="184"/>
        <v>7</v>
      </c>
      <c r="F272" s="497">
        <f t="shared" ca="1" si="184"/>
        <v>8</v>
      </c>
      <c r="G272" s="497">
        <f t="shared" ca="1" si="184"/>
        <v>1</v>
      </c>
      <c r="H272" s="497">
        <f t="shared" ca="1" si="184"/>
        <v>5</v>
      </c>
      <c r="I272" s="497">
        <f t="shared" ca="1" si="184"/>
        <v>3</v>
      </c>
      <c r="J272" s="497">
        <f t="shared" ca="1" si="184"/>
        <v>6</v>
      </c>
      <c r="K272" s="497">
        <f t="shared" ca="1" si="184"/>
        <v>5</v>
      </c>
      <c r="L272" s="497">
        <f t="shared" ca="1" si="184"/>
        <v>2</v>
      </c>
      <c r="M272" s="497">
        <f t="shared" ca="1" si="184"/>
        <v>7</v>
      </c>
      <c r="N272" s="497">
        <f t="shared" ca="1" si="184"/>
        <v>1</v>
      </c>
      <c r="O272" s="497">
        <f t="shared" ca="1" si="184"/>
        <v>2</v>
      </c>
      <c r="P272" s="498">
        <f t="shared" ca="1" si="168"/>
        <v>49</v>
      </c>
      <c r="Q272" s="498"/>
      <c r="S272" s="1341"/>
      <c r="T272" s="1341"/>
      <c r="U272" s="1342"/>
      <c r="V272" s="1341"/>
      <c r="X272" s="495" t="s">
        <v>319</v>
      </c>
      <c r="Y272" s="499">
        <f t="shared" si="169"/>
        <v>49</v>
      </c>
      <c r="Z272" s="194">
        <f t="shared" ref="Z272:AK272" si="185">SUM(Z258,Z244,Z230,Z216,Z202,Z188,Z174,Z160)</f>
        <v>5</v>
      </c>
      <c r="AA272" s="194">
        <f t="shared" si="185"/>
        <v>3</v>
      </c>
      <c r="AB272" s="194">
        <f t="shared" si="185"/>
        <v>6</v>
      </c>
      <c r="AC272" s="194">
        <f t="shared" si="185"/>
        <v>5</v>
      </c>
      <c r="AD272" s="194">
        <f t="shared" si="185"/>
        <v>2</v>
      </c>
      <c r="AE272" s="194">
        <f t="shared" si="185"/>
        <v>7</v>
      </c>
      <c r="AF272" s="194">
        <f t="shared" si="185"/>
        <v>1</v>
      </c>
      <c r="AG272" s="194">
        <f t="shared" si="185"/>
        <v>2</v>
      </c>
      <c r="AH272" s="194">
        <f t="shared" si="185"/>
        <v>2</v>
      </c>
      <c r="AI272" s="194">
        <f t="shared" si="185"/>
        <v>7</v>
      </c>
      <c r="AJ272" s="194">
        <f t="shared" si="185"/>
        <v>8</v>
      </c>
      <c r="AK272" s="194">
        <f t="shared" si="185"/>
        <v>1</v>
      </c>
      <c r="AL272" s="444">
        <f t="shared" si="171"/>
        <v>5</v>
      </c>
      <c r="AM272" s="443">
        <f t="shared" si="171"/>
        <v>3</v>
      </c>
      <c r="AN272" s="443">
        <f t="shared" si="171"/>
        <v>6</v>
      </c>
      <c r="AO272" s="443">
        <f t="shared" si="171"/>
        <v>5</v>
      </c>
      <c r="AP272" s="443">
        <f t="shared" si="171"/>
        <v>2</v>
      </c>
      <c r="AQ272" s="443">
        <f t="shared" si="171"/>
        <v>7</v>
      </c>
      <c r="AR272" s="443">
        <f t="shared" si="171"/>
        <v>1</v>
      </c>
      <c r="AS272" s="443">
        <f t="shared" si="171"/>
        <v>2</v>
      </c>
      <c r="AT272" s="443">
        <f t="shared" si="171"/>
        <v>2</v>
      </c>
      <c r="AU272" s="443">
        <f t="shared" si="171"/>
        <v>7</v>
      </c>
      <c r="AV272" s="443">
        <f t="shared" si="171"/>
        <v>8</v>
      </c>
      <c r="AW272" s="445">
        <f t="shared" si="171"/>
        <v>1</v>
      </c>
      <c r="AX272" s="443" t="str">
        <f>MIN($Y$160,$Y$174,$Y$188,$Y$202,$Y$216,$Y$230,$Y$244,$Y$258)&amp;"-"&amp;MAX($Y$160,$Y$174,$Y$188,$Y$202,$Y$216,$Y$230,$Y$244,$Y$258)</f>
        <v>4-9</v>
      </c>
    </row>
    <row r="273" spans="1:49">
      <c r="A273" s="457" t="str">
        <f t="shared" si="166"/>
        <v>Sarva2</v>
      </c>
      <c r="B273" s="502" t="s">
        <v>751</v>
      </c>
      <c r="C273" s="503"/>
      <c r="D273" s="497">
        <f t="shared" ref="D273:O273" ca="1" si="186">SUM(D259,D245,D231,D217,D203,D189,D175,D161)</f>
        <v>33</v>
      </c>
      <c r="E273" s="497">
        <f t="shared" ca="1" si="186"/>
        <v>37</v>
      </c>
      <c r="F273" s="497">
        <f t="shared" ca="1" si="186"/>
        <v>30</v>
      </c>
      <c r="G273" s="497">
        <f t="shared" ca="1" si="186"/>
        <v>30</v>
      </c>
      <c r="H273" s="497">
        <f t="shared" ca="1" si="186"/>
        <v>30</v>
      </c>
      <c r="I273" s="497">
        <f t="shared" ca="1" si="186"/>
        <v>33</v>
      </c>
      <c r="J273" s="497">
        <f t="shared" ca="1" si="186"/>
        <v>38</v>
      </c>
      <c r="K273" s="497">
        <f t="shared" ca="1" si="186"/>
        <v>33</v>
      </c>
      <c r="L273" s="497">
        <f t="shared" ca="1" si="186"/>
        <v>26</v>
      </c>
      <c r="M273" s="497">
        <f t="shared" ca="1" si="186"/>
        <v>29</v>
      </c>
      <c r="N273" s="497">
        <f t="shared" ca="1" si="186"/>
        <v>31</v>
      </c>
      <c r="O273" s="497">
        <f t="shared" ca="1" si="186"/>
        <v>36</v>
      </c>
      <c r="P273" s="504">
        <f t="shared" ca="1" si="168"/>
        <v>386</v>
      </c>
      <c r="Q273" s="504"/>
      <c r="S273" s="1341">
        <f ca="1">L273</f>
        <v>26</v>
      </c>
      <c r="T273" s="1341">
        <f ca="1">K273</f>
        <v>33</v>
      </c>
      <c r="U273" s="1341">
        <f ca="1">J273</f>
        <v>38</v>
      </c>
      <c r="V273" s="1341">
        <f ca="1">I273</f>
        <v>33</v>
      </c>
      <c r="AW273" s="445">
        <f>SUM(AW265:AW272)</f>
        <v>18</v>
      </c>
    </row>
    <row r="274" spans="1:49">
      <c r="A274" s="457" t="str">
        <f t="shared" si="166"/>
        <v>Sarva2</v>
      </c>
      <c r="B274" s="443" t="s">
        <v>785</v>
      </c>
      <c r="D274" s="475">
        <f ca="1">D273-MIN(D273,H273,L273)</f>
        <v>7</v>
      </c>
      <c r="E274" s="468">
        <f ca="1">E273-MIN(E273,I273,M273)</f>
        <v>8</v>
      </c>
      <c r="F274" s="469">
        <f ca="1">F273-MIN(F273,J273,N273)</f>
        <v>0</v>
      </c>
      <c r="G274" s="476">
        <f ca="1">G273-MIN(G273,K273,O273)</f>
        <v>0</v>
      </c>
      <c r="H274" s="475">
        <f ca="1">H273-MIN(D273,H273,L273)</f>
        <v>4</v>
      </c>
      <c r="I274" s="468">
        <f ca="1">I273-MIN(E273,I273,M273)</f>
        <v>4</v>
      </c>
      <c r="J274" s="469">
        <f ca="1">J273-MIN(F273,J273,N273)</f>
        <v>8</v>
      </c>
      <c r="K274" s="476">
        <f ca="1">K273-MIN(G273,K273,O273)</f>
        <v>3</v>
      </c>
      <c r="L274" s="475">
        <f ca="1">L273-MIN(D273,H273,L273)</f>
        <v>0</v>
      </c>
      <c r="M274" s="468">
        <f ca="1">M273-MIN(E273,I273,M273)</f>
        <v>0</v>
      </c>
      <c r="N274" s="469">
        <f ca="1">N273-MIN(F273,J273,N273)</f>
        <v>1</v>
      </c>
      <c r="O274" s="476">
        <f ca="1">O273-MIN(G273,K273,O273)</f>
        <v>6</v>
      </c>
      <c r="S274" s="1341"/>
      <c r="T274" s="1341"/>
      <c r="U274" s="1341"/>
      <c r="V274" s="1341"/>
    </row>
    <row r="275" spans="1:49">
      <c r="A275" s="457" t="str">
        <f t="shared" si="166"/>
        <v>Sarva2</v>
      </c>
      <c r="B275" s="443" t="s">
        <v>786</v>
      </c>
      <c r="C275" s="194"/>
      <c r="D275" s="443">
        <f ca="1">IF(OR(D$27,$D274=0,$K274=0),D274,MIN($D274,$K274))</f>
        <v>3</v>
      </c>
      <c r="E275" s="443">
        <f ca="1">IF(OR(E$27,$E274=0,$J274=0),E274,MIN($E274,$J274))</f>
        <v>8</v>
      </c>
      <c r="F275" s="443">
        <f ca="1">IF(OR(F$27,F274=0,K274=0),F274,MIN(F274,K274))</f>
        <v>0</v>
      </c>
      <c r="G275" s="443">
        <f ca="1">G274</f>
        <v>0</v>
      </c>
      <c r="H275" s="443">
        <f ca="1">H274</f>
        <v>4</v>
      </c>
      <c r="I275" s="443">
        <f ca="1">IF(OR(I$27,I274=0,N274=0),I274,MIN(I274,N274))</f>
        <v>1</v>
      </c>
      <c r="J275" s="443">
        <f ca="1">IF(OR(J$27,$E274=0,$J274=0),J274,MIN($E274,$J274))</f>
        <v>8</v>
      </c>
      <c r="K275" s="443">
        <f ca="1">IF(OR(K$27,$D274=0,$K274=0),K274,MIN($D274,$K274))</f>
        <v>3</v>
      </c>
      <c r="L275" s="443">
        <f ca="1">IF(OR(L$27,L274=0,Q274=0),L274,MIN(L274,Q274))</f>
        <v>0</v>
      </c>
      <c r="M275" s="443">
        <f ca="1">IF(OR(M$27,M274=0,R274=0),M274,MIN(M274,R274))</f>
        <v>0</v>
      </c>
      <c r="N275" s="443">
        <f ca="1">IF(OR(N$27,N274=0,S274=0),N274,MIN(N274,S274))</f>
        <v>1</v>
      </c>
      <c r="O275" s="443">
        <f ca="1">IF(OR(O$27,O274=0,T274=0),O274,MIN(O274,T274))</f>
        <v>6</v>
      </c>
      <c r="S275" s="1341"/>
      <c r="T275" s="1341"/>
      <c r="U275" s="1341"/>
      <c r="V275" s="1341"/>
    </row>
    <row r="276" spans="1:49">
      <c r="A276" s="457" t="str">
        <f t="shared" si="166"/>
        <v>Sarva2</v>
      </c>
      <c r="B276" s="443" t="s">
        <v>752</v>
      </c>
      <c r="C276" s="459"/>
      <c r="D276" s="443">
        <f t="shared" ref="D276:P276" ca="1" si="187">SUM(D265:D271)</f>
        <v>31</v>
      </c>
      <c r="E276" s="443">
        <f t="shared" ca="1" si="187"/>
        <v>30</v>
      </c>
      <c r="F276" s="443">
        <f t="shared" ca="1" si="187"/>
        <v>22</v>
      </c>
      <c r="G276" s="443">
        <f t="shared" ca="1" si="187"/>
        <v>29</v>
      </c>
      <c r="H276" s="443">
        <f t="shared" ca="1" si="187"/>
        <v>25</v>
      </c>
      <c r="I276" s="443">
        <f t="shared" ca="1" si="187"/>
        <v>30</v>
      </c>
      <c r="J276" s="443">
        <f t="shared" ca="1" si="187"/>
        <v>32</v>
      </c>
      <c r="K276" s="443">
        <f t="shared" ca="1" si="187"/>
        <v>28</v>
      </c>
      <c r="L276" s="443">
        <f t="shared" ca="1" si="187"/>
        <v>24</v>
      </c>
      <c r="M276" s="443">
        <f t="shared" ca="1" si="187"/>
        <v>22</v>
      </c>
      <c r="N276" s="443">
        <f t="shared" ca="1" si="187"/>
        <v>30</v>
      </c>
      <c r="O276" s="443">
        <f t="shared" ca="1" si="187"/>
        <v>34</v>
      </c>
      <c r="P276" s="443">
        <f t="shared" ca="1" si="187"/>
        <v>337</v>
      </c>
      <c r="Q276" s="443"/>
      <c r="S276" s="458"/>
      <c r="T276" s="458"/>
      <c r="U276" s="458"/>
      <c r="V276" s="458"/>
    </row>
    <row r="277" spans="1:49">
      <c r="A277" s="457" t="str">
        <f t="shared" si="166"/>
        <v>Sarva2</v>
      </c>
      <c r="B277" s="443" t="s">
        <v>785</v>
      </c>
      <c r="D277" s="475">
        <f ca="1">D276-MIN(D276,H276,L276)</f>
        <v>7</v>
      </c>
      <c r="E277" s="468">
        <f ca="1">E276-MIN(E276,I276,M276)</f>
        <v>8</v>
      </c>
      <c r="F277" s="469">
        <f ca="1">F276-MIN(F276,J276,N276)</f>
        <v>0</v>
      </c>
      <c r="G277" s="476">
        <f ca="1">G276-MIN(G276,K276,O276)</f>
        <v>1</v>
      </c>
      <c r="H277" s="475">
        <f ca="1">H276-MIN(D276,H276,L276)</f>
        <v>1</v>
      </c>
      <c r="I277" s="468">
        <f ca="1">I276-MIN(E276,I276,M276)</f>
        <v>8</v>
      </c>
      <c r="J277" s="469">
        <f ca="1">J276-MIN(F276,J276,N276)</f>
        <v>10</v>
      </c>
      <c r="K277" s="476">
        <f ca="1">K276-MIN(G276,K276,O276)</f>
        <v>0</v>
      </c>
      <c r="L277" s="475">
        <f ca="1">L276-MIN(D276,H276,L276)</f>
        <v>0</v>
      </c>
      <c r="M277" s="468">
        <f ca="1">M276-MIN(E276,I276,M276)</f>
        <v>0</v>
      </c>
      <c r="N277" s="469">
        <f ca="1">N276-MIN(F276,J276,N276)</f>
        <v>8</v>
      </c>
      <c r="O277" s="476">
        <f ca="1">O276-MIN(G276,K276,O276)</f>
        <v>6</v>
      </c>
      <c r="S277" s="458"/>
      <c r="T277" s="458"/>
      <c r="U277" s="458"/>
      <c r="V277" s="458"/>
    </row>
    <row r="278" spans="1:49">
      <c r="A278" s="457" t="str">
        <f t="shared" si="166"/>
        <v>Sarva2</v>
      </c>
      <c r="B278" s="443" t="s">
        <v>786</v>
      </c>
      <c r="D278" s="443">
        <f ca="1">IF(OR(D$27,$D277=0,$K277=0),D277,MIN($D277,$K277))</f>
        <v>7</v>
      </c>
      <c r="E278" s="443">
        <f ca="1">IF(OR(E$27,$E277=0,$J277=0),E277,MIN($E277,$J277))</f>
        <v>8</v>
      </c>
      <c r="F278" s="443">
        <f ca="1">IF(OR(F$27,F277=0,K277=0),F277,MIN(F277,K277))</f>
        <v>0</v>
      </c>
      <c r="G278" s="443">
        <f ca="1">G277</f>
        <v>1</v>
      </c>
      <c r="H278" s="443">
        <f ca="1">H277</f>
        <v>1</v>
      </c>
      <c r="I278" s="443">
        <f ca="1">IF(OR(I$27,I277=0,N277=0),I277,MIN(I277,N277))</f>
        <v>8</v>
      </c>
      <c r="J278" s="443">
        <f ca="1">IF(OR(J$27,$E277=0,$J277=0),J277,MIN($E277,$J277))</f>
        <v>8</v>
      </c>
      <c r="K278" s="443">
        <f ca="1">IF(OR(K$27,$D277=0,$K277=0),K277,MIN($D277,$K277))</f>
        <v>0</v>
      </c>
      <c r="L278" s="443">
        <f ca="1">IF(OR(L$27,L277=0,Q277=0),L277,MIN(L277,Q277))</f>
        <v>0</v>
      </c>
      <c r="M278" s="443">
        <f ca="1">IF(OR(M$27,M277=0,R277=0),M277,MIN(M277,R277))</f>
        <v>0</v>
      </c>
      <c r="N278" s="443">
        <f ca="1">IF(OR(N$27,N277=0,S277=0),N277,MIN(N277,S277))</f>
        <v>8</v>
      </c>
      <c r="O278" s="443">
        <f ca="1">IF(OR(O$27,O277=0,T277=0),O277,MIN(O277,T277))</f>
        <v>6</v>
      </c>
      <c r="S278" s="458"/>
      <c r="T278" s="458"/>
      <c r="U278" s="458"/>
      <c r="V278" s="458"/>
    </row>
    <row r="279" spans="1:49">
      <c r="A279" s="457" t="str">
        <f t="shared" si="166"/>
        <v>Sarva2</v>
      </c>
      <c r="B279" s="443" t="s">
        <v>753</v>
      </c>
      <c r="C279" s="459"/>
      <c r="D279" s="443">
        <f t="shared" ref="D279:O279" ca="1" si="188">IF(ISNA(MATCH(D264,$C265:$C271,0)),0,1)</f>
        <v>0</v>
      </c>
      <c r="E279" s="443">
        <f t="shared" ca="1" si="188"/>
        <v>1</v>
      </c>
      <c r="F279" s="443">
        <f t="shared" ca="1" si="188"/>
        <v>1</v>
      </c>
      <c r="G279" s="443">
        <f t="shared" ca="1" si="188"/>
        <v>1</v>
      </c>
      <c r="H279" s="443">
        <f t="shared" ca="1" si="188"/>
        <v>0</v>
      </c>
      <c r="I279" s="443">
        <f t="shared" ca="1" si="188"/>
        <v>0</v>
      </c>
      <c r="J279" s="443">
        <f t="shared" ca="1" si="188"/>
        <v>0</v>
      </c>
      <c r="K279" s="443">
        <f t="shared" ca="1" si="188"/>
        <v>1</v>
      </c>
      <c r="L279" s="443">
        <f t="shared" ca="1" si="188"/>
        <v>0</v>
      </c>
      <c r="M279" s="443">
        <f t="shared" ca="1" si="188"/>
        <v>1</v>
      </c>
      <c r="N279" s="443">
        <f t="shared" ca="1" si="188"/>
        <v>0</v>
      </c>
      <c r="O279" s="443">
        <f t="shared" ca="1" si="188"/>
        <v>0</v>
      </c>
      <c r="S279" s="458"/>
      <c r="T279" s="458"/>
      <c r="U279" s="458"/>
      <c r="V279" s="458"/>
    </row>
    <row r="280" spans="1:49">
      <c r="A280" s="457" t="str">
        <f>A275</f>
        <v>Sarva2</v>
      </c>
      <c r="B280" s="443" t="s">
        <v>776</v>
      </c>
    </row>
    <row r="281" spans="1:49">
      <c r="A281" s="446"/>
    </row>
    <row r="285" spans="1:49">
      <c r="A285" s="457" t="str">
        <f>B285</f>
        <v>Rahu</v>
      </c>
      <c r="B285" s="1346" t="str">
        <f>X285</f>
        <v>Rahu</v>
      </c>
      <c r="C285" s="1346"/>
      <c r="D285" s="443">
        <f ca="1">INDIRECT(B285&amp;"house")</f>
        <v>10</v>
      </c>
      <c r="S285" s="458"/>
      <c r="T285" s="458"/>
      <c r="U285" s="458"/>
      <c r="V285" s="458"/>
      <c r="X285" s="181" t="s">
        <v>165</v>
      </c>
      <c r="Z285" s="1346" t="str">
        <f>$Z$83 &amp;  X285</f>
        <v>From Graha Good and Bad Transit of Rahu</v>
      </c>
      <c r="AA285" s="1346"/>
      <c r="AB285" s="1346"/>
      <c r="AC285" s="1346"/>
      <c r="AD285" s="1346"/>
      <c r="AE285" s="1346"/>
      <c r="AF285" s="1346"/>
      <c r="AG285" s="1346"/>
      <c r="AH285" s="1346"/>
      <c r="AI285" s="1346"/>
      <c r="AJ285" s="1346"/>
      <c r="AK285" s="1346"/>
      <c r="AL285" s="1346"/>
      <c r="AM285" s="1346"/>
      <c r="AN285" s="1346"/>
      <c r="AO285" s="1346"/>
      <c r="AP285" s="1346"/>
      <c r="AQ285" s="1346"/>
      <c r="AR285" s="1346"/>
      <c r="AS285" s="1346"/>
      <c r="AT285" s="1346"/>
      <c r="AU285" s="1346"/>
      <c r="AV285" s="1346"/>
      <c r="AW285" s="1346"/>
    </row>
    <row r="286" spans="1:49">
      <c r="A286" s="457" t="str">
        <f>A285&amp;"-"&amp;B286</f>
        <v>Rahu-</v>
      </c>
      <c r="B286" s="487"/>
      <c r="C286" s="488" t="s">
        <v>746</v>
      </c>
      <c r="D286" s="489">
        <v>1</v>
      </c>
      <c r="E286" s="489">
        <v>2</v>
      </c>
      <c r="F286" s="489">
        <v>3</v>
      </c>
      <c r="G286" s="489">
        <v>4</v>
      </c>
      <c r="H286" s="489">
        <v>5</v>
      </c>
      <c r="I286" s="489">
        <v>6</v>
      </c>
      <c r="J286" s="489">
        <v>7</v>
      </c>
      <c r="K286" s="489">
        <v>8</v>
      </c>
      <c r="L286" s="489">
        <v>9</v>
      </c>
      <c r="M286" s="489">
        <v>10</v>
      </c>
      <c r="N286" s="489">
        <v>11</v>
      </c>
      <c r="O286" s="489">
        <v>12</v>
      </c>
      <c r="P286" s="490"/>
      <c r="Q286" s="490"/>
      <c r="S286" s="1341">
        <f ca="1">O295</f>
        <v>2</v>
      </c>
      <c r="T286" s="1341">
        <f ca="1">D295</f>
        <v>5</v>
      </c>
      <c r="U286" s="1341">
        <f ca="1">E295</f>
        <v>3</v>
      </c>
      <c r="V286" s="1341">
        <f ca="1">F295</f>
        <v>2</v>
      </c>
      <c r="X286" s="488" t="s">
        <v>778</v>
      </c>
      <c r="Y286" s="491" t="s">
        <v>779</v>
      </c>
      <c r="Z286" s="516">
        <v>1</v>
      </c>
      <c r="AA286" s="517">
        <v>2</v>
      </c>
      <c r="AB286" s="517">
        <v>3</v>
      </c>
      <c r="AC286" s="517">
        <v>4</v>
      </c>
      <c r="AD286" s="517">
        <v>5</v>
      </c>
      <c r="AE286" s="517">
        <v>6</v>
      </c>
      <c r="AF286" s="517">
        <v>7</v>
      </c>
      <c r="AG286" s="517">
        <v>8</v>
      </c>
      <c r="AH286" s="517">
        <v>9</v>
      </c>
      <c r="AI286" s="517">
        <v>10</v>
      </c>
      <c r="AJ286" s="517">
        <v>11</v>
      </c>
      <c r="AK286" s="517">
        <v>12</v>
      </c>
      <c r="AL286" s="493">
        <v>1</v>
      </c>
      <c r="AM286" s="489">
        <v>2</v>
      </c>
      <c r="AN286" s="489">
        <v>3</v>
      </c>
      <c r="AO286" s="489">
        <v>4</v>
      </c>
      <c r="AP286" s="489">
        <v>5</v>
      </c>
      <c r="AQ286" s="489">
        <v>6</v>
      </c>
      <c r="AR286" s="489">
        <v>7</v>
      </c>
      <c r="AS286" s="489">
        <v>8</v>
      </c>
      <c r="AT286" s="489">
        <v>9</v>
      </c>
      <c r="AU286" s="489">
        <v>10</v>
      </c>
      <c r="AV286" s="489">
        <v>11</v>
      </c>
      <c r="AW286" s="494">
        <v>12</v>
      </c>
    </row>
    <row r="287" spans="1:49">
      <c r="A287" s="457" t="str">
        <f>A285&amp;"-"&amp;B287</f>
        <v>Rahu-Saturn</v>
      </c>
      <c r="B287" s="495" t="s">
        <v>164</v>
      </c>
      <c r="C287" s="496">
        <f ca="1">SaturnHouse</f>
        <v>2</v>
      </c>
      <c r="D287" s="518">
        <f t="shared" ref="D287:O294" ca="1" si="189">INDEX($Z287:$AW287,,12+D$152-$Q287+1)</f>
        <v>1</v>
      </c>
      <c r="E287" s="497" t="str">
        <f t="shared" ca="1" si="189"/>
        <v>*</v>
      </c>
      <c r="F287" s="497" t="str">
        <f t="shared" ca="1" si="189"/>
        <v>*</v>
      </c>
      <c r="G287" s="497">
        <f t="shared" ca="1" si="189"/>
        <v>1</v>
      </c>
      <c r="H287" s="497" t="str">
        <f t="shared" ca="1" si="189"/>
        <v>*</v>
      </c>
      <c r="I287" s="497">
        <f t="shared" ca="1" si="189"/>
        <v>1</v>
      </c>
      <c r="J287" s="497" t="str">
        <f t="shared" ca="1" si="189"/>
        <v>*</v>
      </c>
      <c r="K287" s="497">
        <f t="shared" ca="1" si="189"/>
        <v>1</v>
      </c>
      <c r="L287" s="497" t="str">
        <f t="shared" ca="1" si="189"/>
        <v>*</v>
      </c>
      <c r="M287" s="497" t="str">
        <f t="shared" ca="1" si="189"/>
        <v>*</v>
      </c>
      <c r="N287" s="497">
        <f t="shared" ca="1" si="189"/>
        <v>1</v>
      </c>
      <c r="O287" s="497">
        <f t="shared" ca="1" si="189"/>
        <v>1</v>
      </c>
      <c r="P287" s="498">
        <f t="shared" ref="P287:P295" ca="1" si="190">SUM(D287:O287)</f>
        <v>6</v>
      </c>
      <c r="Q287" s="496">
        <f ca="1">IF($Y$82,D285,C287)</f>
        <v>2</v>
      </c>
      <c r="S287" s="1341"/>
      <c r="T287" s="1341"/>
      <c r="U287" s="1341"/>
      <c r="V287" s="1341"/>
      <c r="X287" s="495" t="s">
        <v>164</v>
      </c>
      <c r="Y287" s="519">
        <f t="shared" ref="Y287:Y295" si="191">SUM(Z287:AK287)</f>
        <v>6</v>
      </c>
      <c r="Z287" s="520" t="s">
        <v>181</v>
      </c>
      <c r="AA287" s="518" t="s">
        <v>181</v>
      </c>
      <c r="AB287" s="518">
        <v>1</v>
      </c>
      <c r="AC287" s="518" t="s">
        <v>181</v>
      </c>
      <c r="AD287" s="518">
        <v>1</v>
      </c>
      <c r="AE287" s="518" t="s">
        <v>181</v>
      </c>
      <c r="AF287" s="518">
        <v>1</v>
      </c>
      <c r="AG287" s="518" t="s">
        <v>181</v>
      </c>
      <c r="AH287" s="518" t="s">
        <v>181</v>
      </c>
      <c r="AI287" s="518">
        <v>1</v>
      </c>
      <c r="AJ287" s="518">
        <v>1</v>
      </c>
      <c r="AK287" s="518">
        <v>1</v>
      </c>
      <c r="AL287" s="514" t="str">
        <f t="shared" ref="AL287:AW294" si="192">Z287</f>
        <v>*</v>
      </c>
      <c r="AM287" s="513" t="str">
        <f t="shared" si="192"/>
        <v>*</v>
      </c>
      <c r="AN287" s="513">
        <f t="shared" si="192"/>
        <v>1</v>
      </c>
      <c r="AO287" s="513" t="str">
        <f t="shared" si="192"/>
        <v>*</v>
      </c>
      <c r="AP287" s="513">
        <f t="shared" si="192"/>
        <v>1</v>
      </c>
      <c r="AQ287" s="513" t="str">
        <f t="shared" si="192"/>
        <v>*</v>
      </c>
      <c r="AR287" s="513">
        <f t="shared" si="192"/>
        <v>1</v>
      </c>
      <c r="AS287" s="513" t="str">
        <f t="shared" si="192"/>
        <v>*</v>
      </c>
      <c r="AT287" s="513" t="str">
        <f t="shared" si="192"/>
        <v>*</v>
      </c>
      <c r="AU287" s="513">
        <f t="shared" si="192"/>
        <v>1</v>
      </c>
      <c r="AV287" s="513">
        <f t="shared" si="192"/>
        <v>1</v>
      </c>
      <c r="AW287" s="515">
        <f t="shared" si="192"/>
        <v>1</v>
      </c>
    </row>
    <row r="288" spans="1:49">
      <c r="A288" s="457" t="str">
        <f>A285&amp;"-"&amp;B288</f>
        <v>Rahu-Jupiter</v>
      </c>
      <c r="B288" s="495" t="s">
        <v>162</v>
      </c>
      <c r="C288" s="496">
        <f ca="1">JupiterHouse</f>
        <v>8</v>
      </c>
      <c r="D288" s="518">
        <f t="shared" ca="1" si="189"/>
        <v>1</v>
      </c>
      <c r="E288" s="497" t="str">
        <f t="shared" ca="1" si="189"/>
        <v>*</v>
      </c>
      <c r="F288" s="518">
        <f t="shared" ca="1" si="189"/>
        <v>1</v>
      </c>
      <c r="G288" s="497" t="str">
        <f t="shared" ca="1" si="189"/>
        <v>*</v>
      </c>
      <c r="H288" s="497" t="str">
        <f t="shared" ca="1" si="189"/>
        <v>*</v>
      </c>
      <c r="I288" s="497" t="str">
        <f t="shared" ca="1" si="189"/>
        <v>*</v>
      </c>
      <c r="J288" s="497" t="str">
        <f t="shared" ca="1" si="189"/>
        <v>*</v>
      </c>
      <c r="K288" s="497">
        <f t="shared" ca="1" si="189"/>
        <v>1</v>
      </c>
      <c r="L288" s="497" t="str">
        <f t="shared" ca="1" si="189"/>
        <v>*</v>
      </c>
      <c r="M288" s="497">
        <f t="shared" ca="1" si="189"/>
        <v>1</v>
      </c>
      <c r="N288" s="497">
        <f t="shared" ca="1" si="189"/>
        <v>1</v>
      </c>
      <c r="O288" s="497" t="str">
        <f t="shared" ca="1" si="189"/>
        <v>*</v>
      </c>
      <c r="P288" s="498">
        <f t="shared" ca="1" si="190"/>
        <v>5</v>
      </c>
      <c r="Q288" s="496">
        <f ca="1">IF($Y$82,D285,C288)</f>
        <v>8</v>
      </c>
      <c r="S288" s="1341"/>
      <c r="T288" s="1341"/>
      <c r="U288" s="1341"/>
      <c r="V288" s="1341"/>
      <c r="X288" s="495" t="s">
        <v>162</v>
      </c>
      <c r="Y288" s="521">
        <f t="shared" si="191"/>
        <v>5</v>
      </c>
      <c r="Z288" s="520">
        <v>1</v>
      </c>
      <c r="AA288" s="518" t="s">
        <v>181</v>
      </c>
      <c r="AB288" s="518">
        <v>1</v>
      </c>
      <c r="AC288" s="518">
        <v>1</v>
      </c>
      <c r="AD288" s="518" t="s">
        <v>181</v>
      </c>
      <c r="AE288" s="518">
        <v>1</v>
      </c>
      <c r="AF288" s="518" t="s">
        <v>181</v>
      </c>
      <c r="AG288" s="518">
        <v>1</v>
      </c>
      <c r="AH288" s="518" t="s">
        <v>181</v>
      </c>
      <c r="AI288" s="518" t="s">
        <v>181</v>
      </c>
      <c r="AJ288" s="518" t="s">
        <v>181</v>
      </c>
      <c r="AK288" s="518" t="s">
        <v>181</v>
      </c>
      <c r="AL288" s="514">
        <f t="shared" si="192"/>
        <v>1</v>
      </c>
      <c r="AM288" s="513" t="str">
        <f t="shared" si="192"/>
        <v>*</v>
      </c>
      <c r="AN288" s="513">
        <f t="shared" si="192"/>
        <v>1</v>
      </c>
      <c r="AO288" s="513">
        <f t="shared" si="192"/>
        <v>1</v>
      </c>
      <c r="AP288" s="513" t="str">
        <f t="shared" si="192"/>
        <v>*</v>
      </c>
      <c r="AQ288" s="513">
        <f t="shared" si="192"/>
        <v>1</v>
      </c>
      <c r="AR288" s="513" t="str">
        <f t="shared" si="192"/>
        <v>*</v>
      </c>
      <c r="AS288" s="513">
        <f t="shared" si="192"/>
        <v>1</v>
      </c>
      <c r="AT288" s="513" t="str">
        <f t="shared" si="192"/>
        <v>*</v>
      </c>
      <c r="AU288" s="513" t="str">
        <f t="shared" si="192"/>
        <v>*</v>
      </c>
      <c r="AV288" s="513" t="str">
        <f t="shared" si="192"/>
        <v>*</v>
      </c>
      <c r="AW288" s="515" t="str">
        <f t="shared" si="192"/>
        <v>*</v>
      </c>
    </row>
    <row r="289" spans="1:49">
      <c r="A289" s="457" t="str">
        <f>A285&amp;"-"&amp;B289</f>
        <v>Rahu-Mars</v>
      </c>
      <c r="B289" s="495" t="s">
        <v>160</v>
      </c>
      <c r="C289" s="496">
        <f ca="1">MarsHouse</f>
        <v>10</v>
      </c>
      <c r="D289" s="497" t="str">
        <f t="shared" ca="1" si="189"/>
        <v>*</v>
      </c>
      <c r="E289" s="518">
        <f t="shared" ca="1" si="189"/>
        <v>1</v>
      </c>
      <c r="F289" s="497" t="str">
        <f t="shared" ca="1" si="189"/>
        <v>*</v>
      </c>
      <c r="G289" s="497" t="str">
        <f t="shared" ca="1" si="189"/>
        <v>*</v>
      </c>
      <c r="H289" s="497" t="str">
        <f t="shared" ca="1" si="189"/>
        <v>*</v>
      </c>
      <c r="I289" s="497" t="str">
        <f t="shared" ca="1" si="189"/>
        <v>*</v>
      </c>
      <c r="J289" s="497" t="str">
        <f t="shared" ca="1" si="189"/>
        <v>*</v>
      </c>
      <c r="K289" s="497" t="str">
        <f t="shared" ca="1" si="189"/>
        <v>*</v>
      </c>
      <c r="L289" s="518">
        <f t="shared" ca="1" si="189"/>
        <v>1</v>
      </c>
      <c r="M289" s="497" t="str">
        <f t="shared" ca="1" si="189"/>
        <v>*</v>
      </c>
      <c r="N289" s="497">
        <f t="shared" ca="1" si="189"/>
        <v>1</v>
      </c>
      <c r="O289" s="497">
        <f t="shared" ca="1" si="189"/>
        <v>1</v>
      </c>
      <c r="P289" s="498">
        <f t="shared" ca="1" si="190"/>
        <v>4</v>
      </c>
      <c r="Q289" s="496">
        <f ca="1">IF($Y$82,D285,C289)</f>
        <v>10</v>
      </c>
      <c r="S289" s="1341">
        <f ca="1">N295</f>
        <v>6</v>
      </c>
      <c r="T289" s="1342" t="str">
        <f ca="1">C285&amp;"  Ashtakavarga  "&amp;P295</f>
        <v xml:space="preserve">  Ashtakavarga  43</v>
      </c>
      <c r="U289" s="1342"/>
      <c r="V289" s="1341">
        <f ca="1">G295</f>
        <v>4</v>
      </c>
      <c r="X289" s="495" t="s">
        <v>160</v>
      </c>
      <c r="Y289" s="521">
        <f t="shared" si="191"/>
        <v>4</v>
      </c>
      <c r="Z289" s="520" t="s">
        <v>181</v>
      </c>
      <c r="AA289" s="518">
        <v>1</v>
      </c>
      <c r="AB289" s="518">
        <v>1</v>
      </c>
      <c r="AC289" s="518" t="s">
        <v>181</v>
      </c>
      <c r="AD289" s="518">
        <v>1</v>
      </c>
      <c r="AE289" s="518" t="s">
        <v>181</v>
      </c>
      <c r="AF289" s="518" t="s">
        <v>181</v>
      </c>
      <c r="AG289" s="518" t="s">
        <v>181</v>
      </c>
      <c r="AH289" s="518" t="s">
        <v>181</v>
      </c>
      <c r="AI289" s="518" t="s">
        <v>181</v>
      </c>
      <c r="AJ289" s="518" t="s">
        <v>181</v>
      </c>
      <c r="AK289" s="518">
        <v>1</v>
      </c>
      <c r="AL289" s="514" t="str">
        <f t="shared" si="192"/>
        <v>*</v>
      </c>
      <c r="AM289" s="513">
        <f t="shared" si="192"/>
        <v>1</v>
      </c>
      <c r="AN289" s="513">
        <f t="shared" si="192"/>
        <v>1</v>
      </c>
      <c r="AO289" s="513" t="str">
        <f t="shared" si="192"/>
        <v>*</v>
      </c>
      <c r="AP289" s="513">
        <f t="shared" si="192"/>
        <v>1</v>
      </c>
      <c r="AQ289" s="513" t="str">
        <f t="shared" si="192"/>
        <v>*</v>
      </c>
      <c r="AR289" s="513" t="str">
        <f t="shared" si="192"/>
        <v>*</v>
      </c>
      <c r="AS289" s="513" t="str">
        <f t="shared" si="192"/>
        <v>*</v>
      </c>
      <c r="AT289" s="513" t="str">
        <f t="shared" si="192"/>
        <v>*</v>
      </c>
      <c r="AU289" s="513" t="str">
        <f t="shared" si="192"/>
        <v>*</v>
      </c>
      <c r="AV289" s="513" t="str">
        <f t="shared" si="192"/>
        <v>*</v>
      </c>
      <c r="AW289" s="515">
        <f t="shared" si="192"/>
        <v>1</v>
      </c>
    </row>
    <row r="290" spans="1:49">
      <c r="A290" s="457" t="str">
        <f>A285&amp;"-"&amp;B290</f>
        <v>Rahu-Sun</v>
      </c>
      <c r="B290" s="495" t="s">
        <v>158</v>
      </c>
      <c r="C290" s="496">
        <f ca="1">SunHouse</f>
        <v>4</v>
      </c>
      <c r="D290" s="518">
        <f t="shared" ca="1" si="189"/>
        <v>1</v>
      </c>
      <c r="E290" s="497" t="str">
        <f t="shared" ca="1" si="189"/>
        <v>*</v>
      </c>
      <c r="F290" s="497" t="str">
        <f t="shared" ca="1" si="189"/>
        <v>*</v>
      </c>
      <c r="G290" s="497">
        <f t="shared" ca="1" si="189"/>
        <v>1</v>
      </c>
      <c r="H290" s="497">
        <f t="shared" ca="1" si="189"/>
        <v>1</v>
      </c>
      <c r="I290" s="497">
        <f t="shared" ca="1" si="189"/>
        <v>1</v>
      </c>
      <c r="J290" s="497">
        <f t="shared" ca="1" si="189"/>
        <v>1</v>
      </c>
      <c r="K290" s="497" t="str">
        <f t="shared" ca="1" si="189"/>
        <v>*</v>
      </c>
      <c r="L290" s="497" t="str">
        <f t="shared" ca="1" si="189"/>
        <v>*</v>
      </c>
      <c r="M290" s="497">
        <f t="shared" ca="1" si="189"/>
        <v>1</v>
      </c>
      <c r="N290" s="497">
        <f t="shared" ca="1" si="189"/>
        <v>1</v>
      </c>
      <c r="O290" s="497" t="str">
        <f t="shared" ca="1" si="189"/>
        <v>*</v>
      </c>
      <c r="P290" s="498">
        <f t="shared" ca="1" si="190"/>
        <v>7</v>
      </c>
      <c r="Q290" s="496">
        <f ca="1">IF($Y$82,D285,C290)</f>
        <v>4</v>
      </c>
      <c r="S290" s="1341"/>
      <c r="T290" s="1341"/>
      <c r="U290" s="1342"/>
      <c r="V290" s="1341"/>
      <c r="X290" s="495" t="s">
        <v>158</v>
      </c>
      <c r="Y290" s="521">
        <f t="shared" si="191"/>
        <v>7</v>
      </c>
      <c r="Z290" s="520">
        <v>1</v>
      </c>
      <c r="AA290" s="518">
        <v>1</v>
      </c>
      <c r="AB290" s="518">
        <v>1</v>
      </c>
      <c r="AC290" s="518">
        <v>1</v>
      </c>
      <c r="AD290" s="518" t="s">
        <v>181</v>
      </c>
      <c r="AE290" s="518" t="s">
        <v>181</v>
      </c>
      <c r="AF290" s="518">
        <v>1</v>
      </c>
      <c r="AG290" s="518">
        <v>1</v>
      </c>
      <c r="AH290" s="518" t="s">
        <v>181</v>
      </c>
      <c r="AI290" s="518">
        <v>1</v>
      </c>
      <c r="AJ290" s="518" t="s">
        <v>181</v>
      </c>
      <c r="AK290" s="518" t="s">
        <v>181</v>
      </c>
      <c r="AL290" s="514">
        <f t="shared" si="192"/>
        <v>1</v>
      </c>
      <c r="AM290" s="513">
        <f t="shared" si="192"/>
        <v>1</v>
      </c>
      <c r="AN290" s="513">
        <f t="shared" si="192"/>
        <v>1</v>
      </c>
      <c r="AO290" s="513">
        <f t="shared" si="192"/>
        <v>1</v>
      </c>
      <c r="AP290" s="513" t="str">
        <f t="shared" si="192"/>
        <v>*</v>
      </c>
      <c r="AQ290" s="513" t="str">
        <f t="shared" si="192"/>
        <v>*</v>
      </c>
      <c r="AR290" s="513">
        <f t="shared" si="192"/>
        <v>1</v>
      </c>
      <c r="AS290" s="513">
        <f t="shared" si="192"/>
        <v>1</v>
      </c>
      <c r="AT290" s="513" t="str">
        <f t="shared" si="192"/>
        <v>*</v>
      </c>
      <c r="AU290" s="513">
        <f t="shared" si="192"/>
        <v>1</v>
      </c>
      <c r="AV290" s="513" t="str">
        <f t="shared" si="192"/>
        <v>*</v>
      </c>
      <c r="AW290" s="515" t="str">
        <f t="shared" si="192"/>
        <v>*</v>
      </c>
    </row>
    <row r="291" spans="1:49">
      <c r="A291" s="457" t="str">
        <f>A285&amp;"-"&amp;B291</f>
        <v>Rahu-Venus</v>
      </c>
      <c r="B291" s="495" t="s">
        <v>163</v>
      </c>
      <c r="C291" s="496">
        <f ca="1">VenusHouse</f>
        <v>3</v>
      </c>
      <c r="D291" s="518">
        <f t="shared" ca="1" si="189"/>
        <v>1</v>
      </c>
      <c r="E291" s="518">
        <f t="shared" ca="1" si="189"/>
        <v>1</v>
      </c>
      <c r="F291" s="497" t="str">
        <f t="shared" ca="1" si="189"/>
        <v>*</v>
      </c>
      <c r="G291" s="497" t="str">
        <f t="shared" ca="1" si="189"/>
        <v>*</v>
      </c>
      <c r="H291" s="497" t="str">
        <f t="shared" ca="1" si="189"/>
        <v>*</v>
      </c>
      <c r="I291" s="497" t="str">
        <f t="shared" ca="1" si="189"/>
        <v>*</v>
      </c>
      <c r="J291" s="497" t="str">
        <f t="shared" ca="1" si="189"/>
        <v>*</v>
      </c>
      <c r="K291" s="497">
        <f t="shared" ca="1" si="189"/>
        <v>1</v>
      </c>
      <c r="L291" s="497">
        <f t="shared" ca="1" si="189"/>
        <v>1</v>
      </c>
      <c r="M291" s="497" t="str">
        <f t="shared" ca="1" si="189"/>
        <v>*</v>
      </c>
      <c r="N291" s="497" t="str">
        <f t="shared" ca="1" si="189"/>
        <v>*</v>
      </c>
      <c r="O291" s="497" t="str">
        <f t="shared" ca="1" si="189"/>
        <v>*</v>
      </c>
      <c r="P291" s="498">
        <f t="shared" ca="1" si="190"/>
        <v>4</v>
      </c>
      <c r="Q291" s="496">
        <f ca="1">IF($Y$82,D285,C291)</f>
        <v>3</v>
      </c>
      <c r="S291" s="1341"/>
      <c r="T291" s="1341"/>
      <c r="U291" s="1342"/>
      <c r="V291" s="1341"/>
      <c r="X291" s="495" t="s">
        <v>163</v>
      </c>
      <c r="Y291" s="521">
        <f t="shared" si="191"/>
        <v>4</v>
      </c>
      <c r="Z291" s="520" t="s">
        <v>181</v>
      </c>
      <c r="AA291" s="518" t="s">
        <v>181</v>
      </c>
      <c r="AB291" s="518" t="s">
        <v>181</v>
      </c>
      <c r="AC291" s="518" t="s">
        <v>181</v>
      </c>
      <c r="AD291" s="518" t="s">
        <v>181</v>
      </c>
      <c r="AE291" s="518">
        <v>1</v>
      </c>
      <c r="AF291" s="518">
        <v>1</v>
      </c>
      <c r="AG291" s="518" t="s">
        <v>181</v>
      </c>
      <c r="AH291" s="518" t="s">
        <v>181</v>
      </c>
      <c r="AI291" s="518" t="s">
        <v>181</v>
      </c>
      <c r="AJ291" s="518">
        <v>1</v>
      </c>
      <c r="AK291" s="518">
        <v>1</v>
      </c>
      <c r="AL291" s="514" t="str">
        <f t="shared" si="192"/>
        <v>*</v>
      </c>
      <c r="AM291" s="513" t="str">
        <f t="shared" si="192"/>
        <v>*</v>
      </c>
      <c r="AN291" s="513" t="str">
        <f t="shared" si="192"/>
        <v>*</v>
      </c>
      <c r="AO291" s="513" t="str">
        <f t="shared" si="192"/>
        <v>*</v>
      </c>
      <c r="AP291" s="513" t="str">
        <f t="shared" si="192"/>
        <v>*</v>
      </c>
      <c r="AQ291" s="513">
        <f t="shared" si="192"/>
        <v>1</v>
      </c>
      <c r="AR291" s="513">
        <f t="shared" si="192"/>
        <v>1</v>
      </c>
      <c r="AS291" s="513" t="str">
        <f t="shared" si="192"/>
        <v>*</v>
      </c>
      <c r="AT291" s="513" t="str">
        <f t="shared" si="192"/>
        <v>*</v>
      </c>
      <c r="AU291" s="513" t="str">
        <f t="shared" si="192"/>
        <v>*</v>
      </c>
      <c r="AV291" s="513">
        <f t="shared" si="192"/>
        <v>1</v>
      </c>
      <c r="AW291" s="515">
        <f t="shared" si="192"/>
        <v>1</v>
      </c>
    </row>
    <row r="292" spans="1:49">
      <c r="A292" s="457" t="str">
        <f>A285&amp;"-"&amp;B292</f>
        <v>Rahu-Mercury</v>
      </c>
      <c r="B292" s="495" t="s">
        <v>161</v>
      </c>
      <c r="C292" s="496">
        <f ca="1">MercuryHouse</f>
        <v>4</v>
      </c>
      <c r="D292" s="497" t="str">
        <f t="shared" ca="1" si="189"/>
        <v>*</v>
      </c>
      <c r="E292" s="497" t="str">
        <f t="shared" ca="1" si="189"/>
        <v>*</v>
      </c>
      <c r="F292" s="518">
        <f t="shared" ca="1" si="189"/>
        <v>1</v>
      </c>
      <c r="G292" s="497" t="str">
        <f t="shared" ca="1" si="189"/>
        <v>*</v>
      </c>
      <c r="H292" s="497">
        <f t="shared" ca="1" si="189"/>
        <v>1</v>
      </c>
      <c r="I292" s="497" t="str">
        <f t="shared" ca="1" si="189"/>
        <v>*</v>
      </c>
      <c r="J292" s="497">
        <f t="shared" ca="1" si="189"/>
        <v>1</v>
      </c>
      <c r="K292" s="497" t="str">
        <f t="shared" ca="1" si="189"/>
        <v>*</v>
      </c>
      <c r="L292" s="497" t="str">
        <f t="shared" ca="1" si="189"/>
        <v>*</v>
      </c>
      <c r="M292" s="497">
        <f t="shared" ca="1" si="189"/>
        <v>1</v>
      </c>
      <c r="N292" s="497">
        <f t="shared" ca="1" si="189"/>
        <v>1</v>
      </c>
      <c r="O292" s="497" t="str">
        <f t="shared" ca="1" si="189"/>
        <v>*</v>
      </c>
      <c r="P292" s="498">
        <f t="shared" ca="1" si="190"/>
        <v>5</v>
      </c>
      <c r="Q292" s="496">
        <f ca="1">IF($Y$82,D285,C292)</f>
        <v>4</v>
      </c>
      <c r="S292" s="1341">
        <f ca="1">M295</f>
        <v>4</v>
      </c>
      <c r="T292" s="1342"/>
      <c r="U292" s="1342"/>
      <c r="V292" s="1341">
        <f ca="1">H295</f>
        <v>2</v>
      </c>
      <c r="X292" s="495" t="s">
        <v>161</v>
      </c>
      <c r="Y292" s="521">
        <f t="shared" si="191"/>
        <v>5</v>
      </c>
      <c r="Z292" s="520" t="s">
        <v>181</v>
      </c>
      <c r="AA292" s="518">
        <v>1</v>
      </c>
      <c r="AB292" s="518" t="s">
        <v>181</v>
      </c>
      <c r="AC292" s="518">
        <v>1</v>
      </c>
      <c r="AD292" s="518" t="s">
        <v>181</v>
      </c>
      <c r="AE292" s="518" t="s">
        <v>181</v>
      </c>
      <c r="AF292" s="518">
        <v>1</v>
      </c>
      <c r="AG292" s="518">
        <v>1</v>
      </c>
      <c r="AH292" s="518" t="s">
        <v>181</v>
      </c>
      <c r="AI292" s="518" t="s">
        <v>181</v>
      </c>
      <c r="AJ292" s="518" t="s">
        <v>181</v>
      </c>
      <c r="AK292" s="518">
        <v>1</v>
      </c>
      <c r="AL292" s="514" t="str">
        <f t="shared" si="192"/>
        <v>*</v>
      </c>
      <c r="AM292" s="513">
        <f t="shared" si="192"/>
        <v>1</v>
      </c>
      <c r="AN292" s="513" t="str">
        <f t="shared" si="192"/>
        <v>*</v>
      </c>
      <c r="AO292" s="513">
        <f t="shared" si="192"/>
        <v>1</v>
      </c>
      <c r="AP292" s="513" t="str">
        <f t="shared" si="192"/>
        <v>*</v>
      </c>
      <c r="AQ292" s="513" t="str">
        <f t="shared" si="192"/>
        <v>*</v>
      </c>
      <c r="AR292" s="513">
        <f t="shared" si="192"/>
        <v>1</v>
      </c>
      <c r="AS292" s="513">
        <f t="shared" si="192"/>
        <v>1</v>
      </c>
      <c r="AT292" s="513" t="str">
        <f t="shared" si="192"/>
        <v>*</v>
      </c>
      <c r="AU292" s="513" t="str">
        <f t="shared" si="192"/>
        <v>*</v>
      </c>
      <c r="AV292" s="513" t="str">
        <f t="shared" si="192"/>
        <v>*</v>
      </c>
      <c r="AW292" s="515">
        <f t="shared" si="192"/>
        <v>1</v>
      </c>
    </row>
    <row r="293" spans="1:49">
      <c r="A293" s="457" t="str">
        <f>A285&amp;"-"&amp;B293</f>
        <v>Rahu-Moon</v>
      </c>
      <c r="B293" s="495" t="s">
        <v>159</v>
      </c>
      <c r="C293" s="496">
        <f ca="1">MoonHouse</f>
        <v>2</v>
      </c>
      <c r="D293" s="497" t="str">
        <f t="shared" ca="1" si="189"/>
        <v>*</v>
      </c>
      <c r="E293" s="497">
        <f t="shared" ca="1" si="189"/>
        <v>1</v>
      </c>
      <c r="F293" s="497" t="str">
        <f t="shared" ca="1" si="189"/>
        <v>*</v>
      </c>
      <c r="G293" s="497">
        <f t="shared" ca="1" si="189"/>
        <v>1</v>
      </c>
      <c r="H293" s="497" t="str">
        <f t="shared" ca="1" si="189"/>
        <v>*</v>
      </c>
      <c r="I293" s="497">
        <f t="shared" ca="1" si="189"/>
        <v>1</v>
      </c>
      <c r="J293" s="497" t="str">
        <f t="shared" ca="1" si="189"/>
        <v>*</v>
      </c>
      <c r="K293" s="497">
        <f t="shared" ca="1" si="189"/>
        <v>1</v>
      </c>
      <c r="L293" s="497">
        <f t="shared" ca="1" si="189"/>
        <v>1</v>
      </c>
      <c r="M293" s="497">
        <f t="shared" ca="1" si="189"/>
        <v>1</v>
      </c>
      <c r="N293" s="497">
        <f t="shared" ca="1" si="189"/>
        <v>1</v>
      </c>
      <c r="O293" s="497" t="str">
        <f t="shared" ca="1" si="189"/>
        <v>*</v>
      </c>
      <c r="P293" s="498">
        <f t="shared" ca="1" si="190"/>
        <v>7</v>
      </c>
      <c r="Q293" s="496">
        <f ca="1">IF($Y$82,D285,C293)</f>
        <v>2</v>
      </c>
      <c r="S293" s="1341"/>
      <c r="T293" s="1341"/>
      <c r="U293" s="1342"/>
      <c r="V293" s="1341"/>
      <c r="X293" s="495" t="s">
        <v>159</v>
      </c>
      <c r="Y293" s="521">
        <f t="shared" si="191"/>
        <v>7</v>
      </c>
      <c r="Z293" s="520">
        <v>1</v>
      </c>
      <c r="AA293" s="518" t="s">
        <v>181</v>
      </c>
      <c r="AB293" s="518">
        <v>1</v>
      </c>
      <c r="AC293" s="518" t="s">
        <v>181</v>
      </c>
      <c r="AD293" s="518">
        <v>1</v>
      </c>
      <c r="AE293" s="518" t="s">
        <v>181</v>
      </c>
      <c r="AF293" s="518">
        <v>1</v>
      </c>
      <c r="AG293" s="518">
        <v>1</v>
      </c>
      <c r="AH293" s="518">
        <v>1</v>
      </c>
      <c r="AI293" s="518">
        <v>1</v>
      </c>
      <c r="AJ293" s="518" t="s">
        <v>181</v>
      </c>
      <c r="AK293" s="518" t="s">
        <v>181</v>
      </c>
      <c r="AL293" s="514">
        <f t="shared" si="192"/>
        <v>1</v>
      </c>
      <c r="AM293" s="513" t="str">
        <f t="shared" si="192"/>
        <v>*</v>
      </c>
      <c r="AN293" s="513">
        <f t="shared" si="192"/>
        <v>1</v>
      </c>
      <c r="AO293" s="513" t="str">
        <f t="shared" si="192"/>
        <v>*</v>
      </c>
      <c r="AP293" s="513">
        <f t="shared" si="192"/>
        <v>1</v>
      </c>
      <c r="AQ293" s="513" t="str">
        <f t="shared" si="192"/>
        <v>*</v>
      </c>
      <c r="AR293" s="513">
        <f t="shared" si="192"/>
        <v>1</v>
      </c>
      <c r="AS293" s="513">
        <f t="shared" si="192"/>
        <v>1</v>
      </c>
      <c r="AT293" s="513">
        <f t="shared" si="192"/>
        <v>1</v>
      </c>
      <c r="AU293" s="513">
        <f t="shared" si="192"/>
        <v>1</v>
      </c>
      <c r="AV293" s="513" t="str">
        <f t="shared" si="192"/>
        <v>*</v>
      </c>
      <c r="AW293" s="515" t="str">
        <f t="shared" si="192"/>
        <v>*</v>
      </c>
    </row>
    <row r="294" spans="1:49">
      <c r="A294" s="457" t="str">
        <f>A285&amp;"-"&amp;B294</f>
        <v>Rahu-Lagna</v>
      </c>
      <c r="B294" s="495" t="s">
        <v>319</v>
      </c>
      <c r="C294" s="496">
        <f ca="1">Lagnahouse</f>
        <v>5</v>
      </c>
      <c r="D294" s="518">
        <f t="shared" ca="1" si="189"/>
        <v>1</v>
      </c>
      <c r="E294" s="497" t="str">
        <f t="shared" ca="1" si="189"/>
        <v>*</v>
      </c>
      <c r="F294" s="497" t="str">
        <f t="shared" ca="1" si="189"/>
        <v>*</v>
      </c>
      <c r="G294" s="518">
        <f t="shared" ca="1" si="189"/>
        <v>1</v>
      </c>
      <c r="H294" s="497" t="str">
        <f t="shared" ca="1" si="189"/>
        <v>*</v>
      </c>
      <c r="I294" s="497" t="str">
        <f t="shared" ca="1" si="189"/>
        <v>*</v>
      </c>
      <c r="J294" s="497">
        <f t="shared" ca="1" si="189"/>
        <v>1</v>
      </c>
      <c r="K294" s="497">
        <f t="shared" ca="1" si="189"/>
        <v>1</v>
      </c>
      <c r="L294" s="497">
        <f t="shared" ca="1" si="189"/>
        <v>1</v>
      </c>
      <c r="M294" s="497" t="str">
        <f t="shared" ca="1" si="189"/>
        <v>*</v>
      </c>
      <c r="N294" s="497" t="str">
        <f t="shared" ca="1" si="189"/>
        <v>*</v>
      </c>
      <c r="O294" s="497" t="str">
        <f t="shared" ca="1" si="189"/>
        <v>*</v>
      </c>
      <c r="P294" s="498">
        <f t="shared" ca="1" si="190"/>
        <v>5</v>
      </c>
      <c r="Q294" s="496">
        <f ca="1">IF($Y$82,D285,C294)</f>
        <v>5</v>
      </c>
      <c r="S294" s="1341"/>
      <c r="T294" s="1341"/>
      <c r="U294" s="1342"/>
      <c r="V294" s="1341"/>
      <c r="X294" s="495" t="s">
        <v>319</v>
      </c>
      <c r="Y294" s="521">
        <f t="shared" si="191"/>
        <v>5</v>
      </c>
      <c r="Z294" s="522" t="s">
        <v>181</v>
      </c>
      <c r="AA294" s="523" t="s">
        <v>181</v>
      </c>
      <c r="AB294" s="523">
        <v>1</v>
      </c>
      <c r="AC294" s="523">
        <v>1</v>
      </c>
      <c r="AD294" s="523">
        <v>1</v>
      </c>
      <c r="AE294" s="523" t="s">
        <v>181</v>
      </c>
      <c r="AF294" s="523" t="s">
        <v>181</v>
      </c>
      <c r="AG294" s="523" t="s">
        <v>181</v>
      </c>
      <c r="AH294" s="523">
        <v>1</v>
      </c>
      <c r="AI294" s="523" t="s">
        <v>181</v>
      </c>
      <c r="AJ294" s="523" t="s">
        <v>181</v>
      </c>
      <c r="AK294" s="523">
        <v>1</v>
      </c>
      <c r="AL294" s="514" t="str">
        <f t="shared" si="192"/>
        <v>*</v>
      </c>
      <c r="AM294" s="513" t="str">
        <f t="shared" si="192"/>
        <v>*</v>
      </c>
      <c r="AN294" s="513">
        <f t="shared" si="192"/>
        <v>1</v>
      </c>
      <c r="AO294" s="513">
        <f t="shared" si="192"/>
        <v>1</v>
      </c>
      <c r="AP294" s="513">
        <f t="shared" si="192"/>
        <v>1</v>
      </c>
      <c r="AQ294" s="513" t="str">
        <f t="shared" si="192"/>
        <v>*</v>
      </c>
      <c r="AR294" s="513" t="str">
        <f t="shared" si="192"/>
        <v>*</v>
      </c>
      <c r="AS294" s="513" t="str">
        <f t="shared" si="192"/>
        <v>*</v>
      </c>
      <c r="AT294" s="513">
        <f t="shared" si="192"/>
        <v>1</v>
      </c>
      <c r="AU294" s="513" t="str">
        <f t="shared" si="192"/>
        <v>*</v>
      </c>
      <c r="AV294" s="513" t="str">
        <f t="shared" si="192"/>
        <v>*</v>
      </c>
      <c r="AW294" s="515">
        <f t="shared" si="192"/>
        <v>1</v>
      </c>
    </row>
    <row r="295" spans="1:49">
      <c r="A295" s="457" t="str">
        <f>A285&amp;"-"&amp;B295</f>
        <v>Rahu-Rahu</v>
      </c>
      <c r="B295" s="502" t="str">
        <f>B285</f>
        <v>Rahu</v>
      </c>
      <c r="C295" s="503"/>
      <c r="D295" s="503">
        <f t="shared" ref="D295:O295" ca="1" si="193">SUM(D287:D294)</f>
        <v>5</v>
      </c>
      <c r="E295" s="503">
        <f t="shared" ca="1" si="193"/>
        <v>3</v>
      </c>
      <c r="F295" s="503">
        <f t="shared" ca="1" si="193"/>
        <v>2</v>
      </c>
      <c r="G295" s="503">
        <f t="shared" ca="1" si="193"/>
        <v>4</v>
      </c>
      <c r="H295" s="503">
        <f t="shared" ca="1" si="193"/>
        <v>2</v>
      </c>
      <c r="I295" s="503">
        <f t="shared" ca="1" si="193"/>
        <v>3</v>
      </c>
      <c r="J295" s="503">
        <f t="shared" ca="1" si="193"/>
        <v>3</v>
      </c>
      <c r="K295" s="503">
        <f t="shared" ca="1" si="193"/>
        <v>5</v>
      </c>
      <c r="L295" s="503">
        <f t="shared" ca="1" si="193"/>
        <v>4</v>
      </c>
      <c r="M295" s="503">
        <f t="shared" ca="1" si="193"/>
        <v>4</v>
      </c>
      <c r="N295" s="503">
        <f t="shared" ca="1" si="193"/>
        <v>6</v>
      </c>
      <c r="O295" s="503">
        <f t="shared" ca="1" si="193"/>
        <v>2</v>
      </c>
      <c r="P295" s="504">
        <f t="shared" ca="1" si="190"/>
        <v>43</v>
      </c>
      <c r="Q295" s="504"/>
      <c r="S295" s="1341">
        <f ca="1">L295</f>
        <v>4</v>
      </c>
      <c r="T295" s="1341">
        <f ca="1">K295</f>
        <v>5</v>
      </c>
      <c r="U295" s="1341">
        <f ca="1">J295</f>
        <v>3</v>
      </c>
      <c r="V295" s="1341">
        <f ca="1">I295</f>
        <v>3</v>
      </c>
      <c r="X295" s="502"/>
      <c r="Y295" s="505">
        <f t="shared" si="191"/>
        <v>43</v>
      </c>
      <c r="Z295" s="524">
        <f t="shared" ref="Z295:AW295" si="194">SUM(Z287:Z294)</f>
        <v>3</v>
      </c>
      <c r="AA295" s="524">
        <f t="shared" si="194"/>
        <v>3</v>
      </c>
      <c r="AB295" s="524">
        <f t="shared" si="194"/>
        <v>6</v>
      </c>
      <c r="AC295" s="524">
        <f t="shared" si="194"/>
        <v>4</v>
      </c>
      <c r="AD295" s="524">
        <f t="shared" si="194"/>
        <v>4</v>
      </c>
      <c r="AE295" s="524">
        <f t="shared" si="194"/>
        <v>2</v>
      </c>
      <c r="AF295" s="524">
        <f t="shared" si="194"/>
        <v>5</v>
      </c>
      <c r="AG295" s="524">
        <f t="shared" si="194"/>
        <v>4</v>
      </c>
      <c r="AH295" s="524">
        <f t="shared" si="194"/>
        <v>2</v>
      </c>
      <c r="AI295" s="524">
        <f t="shared" si="194"/>
        <v>3</v>
      </c>
      <c r="AJ295" s="524">
        <f t="shared" si="194"/>
        <v>2</v>
      </c>
      <c r="AK295" s="524">
        <f t="shared" si="194"/>
        <v>5</v>
      </c>
      <c r="AL295" s="507">
        <f t="shared" si="194"/>
        <v>3</v>
      </c>
      <c r="AM295" s="508">
        <f t="shared" si="194"/>
        <v>3</v>
      </c>
      <c r="AN295" s="508">
        <f t="shared" si="194"/>
        <v>6</v>
      </c>
      <c r="AO295" s="508">
        <f t="shared" si="194"/>
        <v>4</v>
      </c>
      <c r="AP295" s="508">
        <f t="shared" si="194"/>
        <v>4</v>
      </c>
      <c r="AQ295" s="508">
        <f t="shared" si="194"/>
        <v>2</v>
      </c>
      <c r="AR295" s="508">
        <f t="shared" si="194"/>
        <v>5</v>
      </c>
      <c r="AS295" s="508">
        <f t="shared" si="194"/>
        <v>4</v>
      </c>
      <c r="AT295" s="508">
        <f t="shared" si="194"/>
        <v>2</v>
      </c>
      <c r="AU295" s="508">
        <f t="shared" si="194"/>
        <v>3</v>
      </c>
      <c r="AV295" s="508">
        <f t="shared" si="194"/>
        <v>2</v>
      </c>
      <c r="AW295" s="509">
        <f t="shared" si="194"/>
        <v>5</v>
      </c>
    </row>
    <row r="296" spans="1:49">
      <c r="A296" s="457" t="str">
        <f>A285&amp;"-"&amp;B296</f>
        <v>Rahu-</v>
      </c>
      <c r="S296" s="1341"/>
      <c r="T296" s="1341"/>
      <c r="U296" s="1341"/>
      <c r="V296" s="1341"/>
      <c r="X296" s="1346" t="s">
        <v>782</v>
      </c>
      <c r="Y296" s="1346"/>
      <c r="Z296" s="1346"/>
      <c r="AA296" s="1346"/>
      <c r="AB296" s="1346"/>
      <c r="AC296" s="1346"/>
      <c r="AD296" s="1346"/>
      <c r="AE296" s="1346"/>
      <c r="AF296" s="1346"/>
      <c r="AG296" s="1346"/>
      <c r="AH296" s="1346"/>
      <c r="AI296" s="1346"/>
      <c r="AJ296" s="1346"/>
      <c r="AK296" s="1346"/>
      <c r="AL296" s="1346"/>
    </row>
    <row r="297" spans="1:49">
      <c r="A297" s="457" t="str">
        <f>A285&amp;"-"&amp;B297</f>
        <v>Rahu-</v>
      </c>
      <c r="S297" s="1341"/>
      <c r="T297" s="1341"/>
      <c r="U297" s="1341"/>
      <c r="V297" s="1341"/>
    </row>
    <row r="298" spans="1:49">
      <c r="A298" s="457" t="str">
        <f>A285&amp;"-"&amp;B298</f>
        <v>Rahu------</v>
      </c>
      <c r="B298" s="443" t="s">
        <v>776</v>
      </c>
    </row>
    <row r="301" spans="1:49">
      <c r="A301" s="525" t="s">
        <v>787</v>
      </c>
      <c r="B301" s="525" t="s">
        <v>788</v>
      </c>
      <c r="C301" s="525" t="s">
        <v>789</v>
      </c>
      <c r="D301" s="525" t="s">
        <v>790</v>
      </c>
      <c r="E301" s="525" t="s">
        <v>791</v>
      </c>
      <c r="F301" s="525" t="s">
        <v>792</v>
      </c>
      <c r="G301" s="525" t="s">
        <v>793</v>
      </c>
      <c r="H301" s="525" t="s">
        <v>794</v>
      </c>
      <c r="I301" s="525" t="s">
        <v>795</v>
      </c>
      <c r="J301" s="525" t="s">
        <v>796</v>
      </c>
      <c r="K301" s="525" t="s">
        <v>797</v>
      </c>
      <c r="L301" s="525" t="s">
        <v>798</v>
      </c>
      <c r="M301" s="525" t="s">
        <v>799</v>
      </c>
    </row>
    <row r="302" spans="1:49">
      <c r="A302" s="525" t="s">
        <v>158</v>
      </c>
      <c r="B302" s="525">
        <v>1</v>
      </c>
      <c r="C302" s="525">
        <v>2</v>
      </c>
      <c r="D302" s="525">
        <v>9</v>
      </c>
      <c r="E302" s="525">
        <v>3</v>
      </c>
      <c r="F302" s="525">
        <v>6</v>
      </c>
      <c r="G302" s="525">
        <v>12</v>
      </c>
      <c r="H302" s="525">
        <v>7</v>
      </c>
      <c r="I302" s="525">
        <v>8</v>
      </c>
      <c r="J302" s="525">
        <v>10</v>
      </c>
      <c r="K302" s="525">
        <v>4</v>
      </c>
      <c r="L302" s="525">
        <v>5</v>
      </c>
      <c r="M302" s="525">
        <v>11</v>
      </c>
    </row>
    <row r="303" spans="1:49">
      <c r="A303" s="525" t="s">
        <v>159</v>
      </c>
      <c r="B303" s="525">
        <v>5</v>
      </c>
      <c r="C303" s="525">
        <v>1</v>
      </c>
      <c r="D303" s="525">
        <v>9</v>
      </c>
      <c r="E303" s="525">
        <v>3</v>
      </c>
      <c r="F303" s="525">
        <v>6</v>
      </c>
      <c r="G303" s="525">
        <v>12</v>
      </c>
      <c r="H303" s="525">
        <v>2</v>
      </c>
      <c r="I303" s="525">
        <v>7</v>
      </c>
      <c r="J303" s="525">
        <v>10</v>
      </c>
      <c r="K303" s="525">
        <v>4</v>
      </c>
      <c r="L303" s="525">
        <v>8</v>
      </c>
      <c r="M303" s="525">
        <v>11</v>
      </c>
    </row>
    <row r="304" spans="1:49">
      <c r="A304" s="525" t="s">
        <v>160</v>
      </c>
      <c r="B304" s="525">
        <v>1</v>
      </c>
      <c r="C304" s="525">
        <v>3</v>
      </c>
      <c r="D304" s="525">
        <v>12</v>
      </c>
      <c r="E304" s="525">
        <v>3</v>
      </c>
      <c r="F304" s="525">
        <v>4</v>
      </c>
      <c r="G304" s="525">
        <v>9</v>
      </c>
      <c r="H304" s="525">
        <v>6</v>
      </c>
      <c r="I304" s="525">
        <v>7</v>
      </c>
      <c r="J304" s="525">
        <v>8</v>
      </c>
      <c r="K304" s="525">
        <v>10</v>
      </c>
      <c r="L304" s="525">
        <v>5</v>
      </c>
      <c r="M304" s="525">
        <v>11</v>
      </c>
    </row>
    <row r="305" spans="1:13">
      <c r="A305" s="525" t="s">
        <v>800</v>
      </c>
      <c r="B305" s="525">
        <v>2</v>
      </c>
      <c r="C305" s="525">
        <v>5</v>
      </c>
      <c r="D305" s="525">
        <v>4</v>
      </c>
      <c r="E305" s="525">
        <v>2</v>
      </c>
      <c r="F305" s="525">
        <v>7</v>
      </c>
      <c r="G305" s="525">
        <v>9</v>
      </c>
      <c r="H305" s="525">
        <v>6</v>
      </c>
      <c r="I305" s="525">
        <v>1</v>
      </c>
      <c r="J305" s="525">
        <v>8</v>
      </c>
      <c r="K305" s="525">
        <v>10</v>
      </c>
      <c r="L305" s="525">
        <v>12</v>
      </c>
      <c r="M305" s="525">
        <v>11</v>
      </c>
    </row>
    <row r="306" spans="1:13">
      <c r="A306" s="525" t="s">
        <v>801</v>
      </c>
      <c r="B306" s="525">
        <v>1</v>
      </c>
      <c r="C306" s="525">
        <v>12</v>
      </c>
      <c r="D306" s="525">
        <v>2</v>
      </c>
      <c r="E306" s="525">
        <v>5</v>
      </c>
      <c r="F306" s="525">
        <v>4</v>
      </c>
      <c r="G306" s="525">
        <v>6</v>
      </c>
      <c r="H306" s="525">
        <v>3</v>
      </c>
      <c r="I306" s="525">
        <v>7</v>
      </c>
      <c r="J306" s="525">
        <v>10</v>
      </c>
      <c r="K306" s="525">
        <v>9</v>
      </c>
      <c r="L306" s="525">
        <v>8</v>
      </c>
      <c r="M306" s="525">
        <v>11</v>
      </c>
    </row>
    <row r="307" spans="1:13">
      <c r="A307" s="525" t="s">
        <v>802</v>
      </c>
      <c r="B307" s="525">
        <v>8</v>
      </c>
      <c r="C307" s="525">
        <v>7</v>
      </c>
      <c r="D307" s="525">
        <v>1</v>
      </c>
      <c r="E307" s="525">
        <v>10</v>
      </c>
      <c r="F307" s="525">
        <v>9</v>
      </c>
      <c r="G307" s="525">
        <v>12</v>
      </c>
      <c r="H307" s="525">
        <v>2</v>
      </c>
      <c r="I307" s="525">
        <v>5</v>
      </c>
      <c r="J307" s="525">
        <v>11</v>
      </c>
      <c r="K307" s="525">
        <v>4</v>
      </c>
      <c r="L307" s="525">
        <v>3</v>
      </c>
      <c r="M307" s="525">
        <v>6</v>
      </c>
    </row>
    <row r="308" spans="1:13">
      <c r="A308" s="525" t="s">
        <v>462</v>
      </c>
      <c r="B308" s="525">
        <f t="shared" ref="B308:M308" si="195">B304</f>
        <v>1</v>
      </c>
      <c r="C308" s="525">
        <f t="shared" si="195"/>
        <v>3</v>
      </c>
      <c r="D308" s="525">
        <f t="shared" si="195"/>
        <v>12</v>
      </c>
      <c r="E308" s="525">
        <f t="shared" si="195"/>
        <v>3</v>
      </c>
      <c r="F308" s="525">
        <f t="shared" si="195"/>
        <v>4</v>
      </c>
      <c r="G308" s="525">
        <f t="shared" si="195"/>
        <v>9</v>
      </c>
      <c r="H308" s="525">
        <f t="shared" si="195"/>
        <v>6</v>
      </c>
      <c r="I308" s="525">
        <f t="shared" si="195"/>
        <v>7</v>
      </c>
      <c r="J308" s="525">
        <f t="shared" si="195"/>
        <v>8</v>
      </c>
      <c r="K308" s="525">
        <f t="shared" si="195"/>
        <v>10</v>
      </c>
      <c r="L308" s="525">
        <f t="shared" si="195"/>
        <v>5</v>
      </c>
      <c r="M308" s="525">
        <f t="shared" si="195"/>
        <v>11</v>
      </c>
    </row>
    <row r="309" spans="1:13">
      <c r="A309" s="525" t="s">
        <v>166</v>
      </c>
      <c r="B309" s="526">
        <f t="shared" ref="B309:M309" si="196">B304</f>
        <v>1</v>
      </c>
      <c r="C309" s="526">
        <f t="shared" si="196"/>
        <v>3</v>
      </c>
      <c r="D309" s="526">
        <f t="shared" si="196"/>
        <v>12</v>
      </c>
      <c r="E309" s="526">
        <f t="shared" si="196"/>
        <v>3</v>
      </c>
      <c r="F309" s="526">
        <f t="shared" si="196"/>
        <v>4</v>
      </c>
      <c r="G309" s="526">
        <f t="shared" si="196"/>
        <v>9</v>
      </c>
      <c r="H309" s="526">
        <f t="shared" si="196"/>
        <v>6</v>
      </c>
      <c r="I309" s="526">
        <f t="shared" si="196"/>
        <v>7</v>
      </c>
      <c r="J309" s="526">
        <f t="shared" si="196"/>
        <v>8</v>
      </c>
      <c r="K309" s="526">
        <f t="shared" si="196"/>
        <v>10</v>
      </c>
      <c r="L309" s="526">
        <f t="shared" si="196"/>
        <v>5</v>
      </c>
      <c r="M309" s="526">
        <f t="shared" si="196"/>
        <v>11</v>
      </c>
    </row>
    <row r="314" spans="1:13">
      <c r="A314" t="s">
        <v>803</v>
      </c>
      <c r="B314" s="443" t="s">
        <v>804</v>
      </c>
      <c r="C314" s="181" t="s">
        <v>805</v>
      </c>
    </row>
    <row r="315" spans="1:13">
      <c r="A315" t="s">
        <v>164</v>
      </c>
      <c r="B315" s="443">
        <v>0</v>
      </c>
      <c r="C315" s="181">
        <f t="shared" ref="C315:C322" si="197">B315+30/8</f>
        <v>3.75</v>
      </c>
    </row>
    <row r="316" spans="1:13">
      <c r="A316" t="s">
        <v>162</v>
      </c>
      <c r="B316" s="443">
        <f t="shared" ref="B316:B322" si="198">C315</f>
        <v>3.75</v>
      </c>
      <c r="C316" s="181">
        <f t="shared" si="197"/>
        <v>7.5</v>
      </c>
    </row>
    <row r="317" spans="1:13">
      <c r="A317" t="s">
        <v>160</v>
      </c>
      <c r="B317" s="443">
        <f t="shared" si="198"/>
        <v>7.5</v>
      </c>
      <c r="C317" s="181">
        <f t="shared" si="197"/>
        <v>11.25</v>
      </c>
    </row>
    <row r="318" spans="1:13">
      <c r="A318" t="s">
        <v>158</v>
      </c>
      <c r="B318" s="443">
        <f t="shared" si="198"/>
        <v>11.25</v>
      </c>
      <c r="C318" s="181">
        <f t="shared" si="197"/>
        <v>15</v>
      </c>
    </row>
    <row r="319" spans="1:13">
      <c r="A319" t="s">
        <v>163</v>
      </c>
      <c r="B319" s="443">
        <f t="shared" si="198"/>
        <v>15</v>
      </c>
      <c r="C319" s="181">
        <f t="shared" si="197"/>
        <v>18.75</v>
      </c>
    </row>
    <row r="320" spans="1:13">
      <c r="A320" t="s">
        <v>161</v>
      </c>
      <c r="B320" s="443">
        <f t="shared" si="198"/>
        <v>18.75</v>
      </c>
      <c r="C320" s="181">
        <f t="shared" si="197"/>
        <v>22.5</v>
      </c>
    </row>
    <row r="321" spans="1:3">
      <c r="A321" t="s">
        <v>159</v>
      </c>
      <c r="B321" s="443">
        <f t="shared" si="198"/>
        <v>22.5</v>
      </c>
      <c r="C321" s="181">
        <f t="shared" si="197"/>
        <v>26.25</v>
      </c>
    </row>
    <row r="322" spans="1:3">
      <c r="A322" t="s">
        <v>319</v>
      </c>
      <c r="B322" s="443">
        <f t="shared" si="198"/>
        <v>26.25</v>
      </c>
      <c r="C322" s="181">
        <f t="shared" si="197"/>
        <v>30</v>
      </c>
    </row>
  </sheetData>
  <mergeCells count="166">
    <mergeCell ref="S295:S297"/>
    <mergeCell ref="T295:T297"/>
    <mergeCell ref="U295:U297"/>
    <mergeCell ref="V295:V297"/>
    <mergeCell ref="X296:AL296"/>
    <mergeCell ref="B285:C285"/>
    <mergeCell ref="Z285:AW285"/>
    <mergeCell ref="S286:S288"/>
    <mergeCell ref="T286:T288"/>
    <mergeCell ref="U286:U288"/>
    <mergeCell ref="V286:V288"/>
    <mergeCell ref="S289:S291"/>
    <mergeCell ref="T289:U294"/>
    <mergeCell ref="V289:V291"/>
    <mergeCell ref="S292:S294"/>
    <mergeCell ref="V292:V294"/>
    <mergeCell ref="S267:S269"/>
    <mergeCell ref="T267:U272"/>
    <mergeCell ref="V267:V269"/>
    <mergeCell ref="S270:S272"/>
    <mergeCell ref="V270:V272"/>
    <mergeCell ref="S273:S275"/>
    <mergeCell ref="T273:T275"/>
    <mergeCell ref="U273:U275"/>
    <mergeCell ref="V273:V275"/>
    <mergeCell ref="S259:S261"/>
    <mergeCell ref="T259:T261"/>
    <mergeCell ref="U259:U261"/>
    <mergeCell ref="V259:V261"/>
    <mergeCell ref="B263:C263"/>
    <mergeCell ref="S264:S266"/>
    <mergeCell ref="T264:T266"/>
    <mergeCell ref="U264:U266"/>
    <mergeCell ref="V264:V266"/>
    <mergeCell ref="B249:C249"/>
    <mergeCell ref="S250:S252"/>
    <mergeCell ref="T250:T252"/>
    <mergeCell ref="U250:U252"/>
    <mergeCell ref="V250:V252"/>
    <mergeCell ref="S253:S255"/>
    <mergeCell ref="T253:U258"/>
    <mergeCell ref="V253:V255"/>
    <mergeCell ref="S256:S258"/>
    <mergeCell ref="V256:V258"/>
    <mergeCell ref="S239:S241"/>
    <mergeCell ref="T239:U244"/>
    <mergeCell ref="V239:V241"/>
    <mergeCell ref="S242:S244"/>
    <mergeCell ref="V242:V244"/>
    <mergeCell ref="S245:S247"/>
    <mergeCell ref="T245:T247"/>
    <mergeCell ref="U245:U247"/>
    <mergeCell ref="V245:V247"/>
    <mergeCell ref="S231:S233"/>
    <mergeCell ref="T231:T233"/>
    <mergeCell ref="U231:U233"/>
    <mergeCell ref="V231:V233"/>
    <mergeCell ref="B235:C235"/>
    <mergeCell ref="S236:S238"/>
    <mergeCell ref="T236:T238"/>
    <mergeCell ref="U236:U238"/>
    <mergeCell ref="V236:V238"/>
    <mergeCell ref="B221:C221"/>
    <mergeCell ref="S222:S224"/>
    <mergeCell ref="T222:T224"/>
    <mergeCell ref="U222:U224"/>
    <mergeCell ref="V222:V224"/>
    <mergeCell ref="S225:S227"/>
    <mergeCell ref="T225:U230"/>
    <mergeCell ref="V225:V227"/>
    <mergeCell ref="S228:S230"/>
    <mergeCell ref="V228:V230"/>
    <mergeCell ref="S211:S213"/>
    <mergeCell ref="T211:U216"/>
    <mergeCell ref="V211:V213"/>
    <mergeCell ref="S214:S216"/>
    <mergeCell ref="V214:V216"/>
    <mergeCell ref="S217:S219"/>
    <mergeCell ref="T217:T219"/>
    <mergeCell ref="U217:U219"/>
    <mergeCell ref="V217:V219"/>
    <mergeCell ref="S203:S205"/>
    <mergeCell ref="T203:T205"/>
    <mergeCell ref="U203:U205"/>
    <mergeCell ref="V203:V205"/>
    <mergeCell ref="B207:C207"/>
    <mergeCell ref="S208:S210"/>
    <mergeCell ref="T208:T210"/>
    <mergeCell ref="U208:U210"/>
    <mergeCell ref="V208:V210"/>
    <mergeCell ref="B193:C193"/>
    <mergeCell ref="S194:S196"/>
    <mergeCell ref="T194:T196"/>
    <mergeCell ref="U194:U196"/>
    <mergeCell ref="V194:V196"/>
    <mergeCell ref="S197:S199"/>
    <mergeCell ref="T197:U202"/>
    <mergeCell ref="V197:V199"/>
    <mergeCell ref="S200:S202"/>
    <mergeCell ref="V200:V202"/>
    <mergeCell ref="S183:S185"/>
    <mergeCell ref="T183:U188"/>
    <mergeCell ref="V183:V185"/>
    <mergeCell ref="S186:S188"/>
    <mergeCell ref="V186:V188"/>
    <mergeCell ref="S189:S191"/>
    <mergeCell ref="T189:T191"/>
    <mergeCell ref="U189:U191"/>
    <mergeCell ref="V189:V191"/>
    <mergeCell ref="S175:S177"/>
    <mergeCell ref="T175:T177"/>
    <mergeCell ref="U175:U177"/>
    <mergeCell ref="V175:V177"/>
    <mergeCell ref="B179:C179"/>
    <mergeCell ref="S180:S182"/>
    <mergeCell ref="T180:T182"/>
    <mergeCell ref="U180:U182"/>
    <mergeCell ref="V180:V182"/>
    <mergeCell ref="B165:C165"/>
    <mergeCell ref="S166:S168"/>
    <mergeCell ref="T166:T168"/>
    <mergeCell ref="U166:U168"/>
    <mergeCell ref="V166:V168"/>
    <mergeCell ref="S169:S171"/>
    <mergeCell ref="T169:U174"/>
    <mergeCell ref="V169:V171"/>
    <mergeCell ref="S172:S174"/>
    <mergeCell ref="V172:V174"/>
    <mergeCell ref="V152:V154"/>
    <mergeCell ref="S155:S157"/>
    <mergeCell ref="T155:U160"/>
    <mergeCell ref="V155:V157"/>
    <mergeCell ref="S158:S160"/>
    <mergeCell ref="V158:V160"/>
    <mergeCell ref="S161:S163"/>
    <mergeCell ref="T161:T163"/>
    <mergeCell ref="U161:U163"/>
    <mergeCell ref="V161:V163"/>
    <mergeCell ref="B85:O85"/>
    <mergeCell ref="B96:O96"/>
    <mergeCell ref="B110:O110"/>
    <mergeCell ref="B120:O120"/>
    <mergeCell ref="B130:O130"/>
    <mergeCell ref="B151:C151"/>
    <mergeCell ref="S152:S154"/>
    <mergeCell ref="T152:T154"/>
    <mergeCell ref="U152:U154"/>
    <mergeCell ref="S25:S27"/>
    <mergeCell ref="T25:T27"/>
    <mergeCell ref="U25:U27"/>
    <mergeCell ref="V25:V27"/>
    <mergeCell ref="B29:O29"/>
    <mergeCell ref="B40:O40"/>
    <mergeCell ref="B51:O51"/>
    <mergeCell ref="B62:O62"/>
    <mergeCell ref="B73:O73"/>
    <mergeCell ref="B15:C15"/>
    <mergeCell ref="S16:S18"/>
    <mergeCell ref="T16:T18"/>
    <mergeCell ref="U16:U18"/>
    <mergeCell ref="V16:V18"/>
    <mergeCell ref="S19:S21"/>
    <mergeCell ref="T19:U24"/>
    <mergeCell ref="V19:V21"/>
    <mergeCell ref="S22:S24"/>
    <mergeCell ref="V22:V24"/>
  </mergeCells>
  <conditionalFormatting sqref="D265:O273">
    <cfRule type="cellIs" dxfId="17" priority="2" operator="between">
      <formula>6</formula>
      <formula>8</formula>
    </cfRule>
    <cfRule type="cellIs" dxfId="16" priority="3" operator="between">
      <formula>0</formula>
      <formula>3</formula>
    </cfRule>
  </conditionalFormatting>
  <conditionalFormatting sqref="D264:O264 D194:O194 D208:O208 D222:O222 Z264:AK264">
    <cfRule type="cellIs" dxfId="15" priority="4" operator="equal">
      <formula>$D53</formula>
    </cfRule>
  </conditionalFormatting>
  <conditionalFormatting sqref="D153:O160 D167:O174 D181:O188 D195:O202 D209:O216 D223:O230 D237:O244 D251:O258 Z153:AW160 Z167:AW174 Z181:AW188 Z195:AW202 Z209:AW216 Z223:AW230 Z237:AW244 Z251:AW258 D287:O294 Z287:AW294">
    <cfRule type="cellIs" dxfId="14" priority="5" operator="equal">
      <formula>1</formula>
    </cfRule>
    <cfRule type="cellIs" dxfId="13" priority="6" operator="equal">
      <formula>"*"</formula>
    </cfRule>
  </conditionalFormatting>
  <conditionalFormatting sqref="D236:O236">
    <cfRule type="cellIs" dxfId="12" priority="7" operator="equal">
      <formula>$D$212</formula>
    </cfRule>
  </conditionalFormatting>
  <conditionalFormatting sqref="D250:O250 D286:O286">
    <cfRule type="cellIs" dxfId="11" priority="8" operator="equal">
      <formula>$D$226</formula>
    </cfRule>
  </conditionalFormatting>
  <conditionalFormatting sqref="D152:O152">
    <cfRule type="cellIs" dxfId="10" priority="9" operator="equal">
      <formula>#REF!</formula>
    </cfRule>
  </conditionalFormatting>
  <conditionalFormatting sqref="D180:O180 D166:O166">
    <cfRule type="cellIs" dxfId="9" priority="10" operator="equal">
      <formula>$D14</formula>
    </cfRule>
  </conditionalFormatting>
  <pageMargins left="0.74791666666666701" right="0.74791666666666701" top="0.98402777777777795" bottom="0.98402777777777795" header="0.511811023622047" footer="0.511811023622047"/>
  <pageSetup paperSize="9" scale="58" orientation="portrait" horizontalDpi="300" verticalDpi="300"/>
  <colBreaks count="1" manualBreakCount="1">
    <brk id="23" max="1048575" man="1"/>
  </colBreaks>
  <legacyDrawing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AMJ880"/>
  <sheetViews>
    <sheetView tabSelected="1" topLeftCell="A47" zoomScaleNormal="100" workbookViewId="0">
      <pane xSplit="3" ySplit="1" topLeftCell="D517" activePane="bottomRight" state="frozen"/>
      <selection activeCell="A47" sqref="A47"/>
      <selection pane="topRight" activeCell="D47" sqref="D47"/>
      <selection pane="bottomLeft" activeCell="A551" sqref="A551"/>
      <selection pane="bottomRight" activeCell="M521" sqref="M521"/>
    </sheetView>
  </sheetViews>
  <sheetFormatPr defaultColWidth="7.140625" defaultRowHeight="15"/>
  <cols>
    <col min="1" max="1" width="13.28515625" style="527" customWidth="1"/>
    <col min="2" max="2" width="15" style="527" customWidth="1"/>
    <col min="3" max="3" width="14.7109375" style="527" customWidth="1"/>
    <col min="4" max="4" width="10.42578125" style="527" customWidth="1"/>
    <col min="5" max="5" width="10.42578125" style="528" customWidth="1"/>
    <col min="6" max="7" width="10.42578125" style="527" customWidth="1"/>
    <col min="8" max="8" width="18.5703125" style="527" customWidth="1"/>
    <col min="9" max="9" width="11.5703125" style="527" customWidth="1"/>
    <col min="10" max="10" width="10.85546875" style="527" customWidth="1"/>
    <col min="11" max="11" width="11.42578125" style="527" customWidth="1"/>
    <col min="12" max="12" width="23.5703125" style="527" customWidth="1"/>
    <col min="13" max="13" width="25" style="527" customWidth="1"/>
    <col min="14" max="14" width="18" style="527" customWidth="1"/>
    <col min="15" max="15" width="21.85546875" style="527" customWidth="1"/>
    <col min="16" max="16" width="29" style="527" customWidth="1"/>
    <col min="17" max="17" width="23.5703125" style="527" customWidth="1"/>
    <col min="18" max="18" width="34.140625" style="527" customWidth="1"/>
    <col min="19" max="19" width="24.5703125" style="527" customWidth="1"/>
    <col min="20" max="20" width="23.28515625" style="527" customWidth="1"/>
    <col min="21" max="21" width="22.42578125" style="527" customWidth="1"/>
    <col min="22" max="22" width="24" style="527" customWidth="1"/>
    <col min="23" max="24" width="19.28515625" style="527" customWidth="1"/>
    <col min="25" max="25" width="13.7109375" style="527" customWidth="1"/>
    <col min="26" max="26" width="27.5703125" style="529" customWidth="1"/>
    <col min="27" max="27" width="14.28515625" style="529" customWidth="1"/>
    <col min="28" max="28" width="13.85546875" style="527" customWidth="1"/>
    <col min="29" max="29" width="22.28515625" style="527" customWidth="1"/>
    <col min="30" max="30" width="22.5703125" style="527" customWidth="1"/>
    <col min="31" max="31" width="29" style="527" customWidth="1"/>
    <col min="32" max="32" width="21.42578125" style="527" customWidth="1"/>
    <col min="33" max="33" width="21.5703125" style="527" customWidth="1"/>
    <col min="34" max="34" width="10.5703125" style="527" customWidth="1"/>
    <col min="35" max="35" width="12.85546875" style="527" customWidth="1"/>
    <col min="36" max="36" width="11.42578125" style="527" customWidth="1"/>
    <col min="37" max="37" width="20.42578125" style="527" customWidth="1"/>
    <col min="38" max="38" width="16.28515625" style="527" customWidth="1"/>
    <col min="39" max="39" width="11.5703125" style="527" customWidth="1"/>
    <col min="40" max="40" width="24.28515625" style="527" customWidth="1"/>
    <col min="41" max="41" width="25" style="527" customWidth="1"/>
    <col min="42" max="42" width="16.42578125" style="527" customWidth="1"/>
    <col min="43" max="43" width="8.42578125" style="527" customWidth="1"/>
    <col min="44" max="44" width="8.140625" style="527" customWidth="1"/>
    <col min="45" max="45" width="8.85546875" style="527" customWidth="1"/>
    <col min="46" max="46" width="19.85546875" style="527" customWidth="1"/>
    <col min="47" max="47" width="13.5703125" style="527" customWidth="1"/>
    <col min="48" max="48" width="14.28515625" style="527" customWidth="1"/>
    <col min="49" max="49" width="11.42578125" style="527" customWidth="1"/>
    <col min="50" max="50" width="14.42578125" style="527" customWidth="1"/>
    <col min="51" max="51" width="16.85546875" style="527" customWidth="1"/>
    <col min="52" max="52" width="13.5703125" style="527" customWidth="1"/>
    <col min="53" max="53" width="15.28515625" style="527" customWidth="1"/>
    <col min="54" max="54" width="14" style="527" customWidth="1"/>
    <col min="55" max="55" width="53.5703125" style="527" customWidth="1"/>
    <col min="56" max="56" width="16.85546875" style="527" customWidth="1"/>
    <col min="57" max="57" width="13.5703125" style="527" customWidth="1"/>
    <col min="58" max="58" width="33.5703125" style="530" customWidth="1"/>
    <col min="59" max="59" width="35" style="530" customWidth="1"/>
    <col min="60" max="1024" width="7.140625" style="527"/>
  </cols>
  <sheetData>
    <row r="2" spans="1:59" ht="15" customHeight="1">
      <c r="A2" s="531" t="s">
        <v>806</v>
      </c>
      <c r="B2" s="531" t="s">
        <v>361</v>
      </c>
      <c r="C2" s="531" t="s">
        <v>362</v>
      </c>
      <c r="D2" s="531" t="s">
        <v>807</v>
      </c>
      <c r="E2" s="531" t="s">
        <v>808</v>
      </c>
      <c r="F2" s="531" t="s">
        <v>595</v>
      </c>
      <c r="G2" s="531" t="s">
        <v>809</v>
      </c>
      <c r="H2" s="527" t="s">
        <v>810</v>
      </c>
      <c r="I2" s="527" t="s">
        <v>811</v>
      </c>
      <c r="J2" s="527" t="s">
        <v>812</v>
      </c>
      <c r="K2" s="528" t="s">
        <v>813</v>
      </c>
      <c r="L2" s="528" t="s">
        <v>814</v>
      </c>
      <c r="M2" s="528" t="s">
        <v>815</v>
      </c>
      <c r="N2" s="527" t="s">
        <v>816</v>
      </c>
      <c r="O2" s="527" t="s">
        <v>474</v>
      </c>
      <c r="P2" s="527" t="s">
        <v>817</v>
      </c>
      <c r="Q2" s="527" t="s">
        <v>818</v>
      </c>
      <c r="R2" s="527" t="s">
        <v>819</v>
      </c>
      <c r="S2" s="528" t="s">
        <v>820</v>
      </c>
      <c r="T2" s="527" t="s">
        <v>821</v>
      </c>
      <c r="U2" s="527" t="s">
        <v>822</v>
      </c>
      <c r="V2" s="527" t="s">
        <v>823</v>
      </c>
      <c r="W2" s="527" t="s">
        <v>824</v>
      </c>
      <c r="X2" s="527" t="s">
        <v>825</v>
      </c>
      <c r="Z2" s="527"/>
      <c r="AA2" s="527"/>
    </row>
    <row r="3" spans="1:59" ht="15" customHeight="1">
      <c r="A3" s="532" t="s">
        <v>158</v>
      </c>
      <c r="B3" s="532">
        <f>VimFactor*6</f>
        <v>6</v>
      </c>
      <c r="C3" s="171">
        <v>2</v>
      </c>
      <c r="D3" s="533" t="s">
        <v>826</v>
      </c>
      <c r="E3" s="528" t="s">
        <v>827</v>
      </c>
      <c r="F3" s="527">
        <v>1</v>
      </c>
      <c r="G3" s="527" t="s">
        <v>689</v>
      </c>
      <c r="H3" s="534">
        <v>10</v>
      </c>
      <c r="I3" s="527" t="str">
        <f t="shared" ref="I3:I11" si="0">INDEX(RasiTbl_11,INT(H3/30)+1)</f>
        <v>Aries</v>
      </c>
      <c r="J3" s="527">
        <f t="shared" ref="J3:J11" si="1">MOD(H3+180,360)</f>
        <v>190</v>
      </c>
      <c r="K3" s="527" t="s">
        <v>828</v>
      </c>
      <c r="L3" s="527">
        <v>365.25636300399998</v>
      </c>
      <c r="M3" s="535">
        <v>4320000</v>
      </c>
      <c r="N3" s="527">
        <v>5</v>
      </c>
      <c r="O3" s="536"/>
      <c r="P3" s="527" t="s">
        <v>689</v>
      </c>
      <c r="Q3" s="527">
        <v>1</v>
      </c>
      <c r="R3" s="537">
        <v>5</v>
      </c>
      <c r="T3" s="527">
        <v>0.98560265449999995</v>
      </c>
      <c r="V3" s="527" t="s">
        <v>829</v>
      </c>
      <c r="W3" s="527" t="s">
        <v>830</v>
      </c>
      <c r="X3" s="527" t="s">
        <v>639</v>
      </c>
      <c r="Z3" s="527"/>
      <c r="AA3" s="527"/>
    </row>
    <row r="4" spans="1:59" ht="15" customHeight="1">
      <c r="A4" s="532" t="s">
        <v>159</v>
      </c>
      <c r="B4" s="532">
        <f>VimFactor*10</f>
        <v>10</v>
      </c>
      <c r="C4" s="171">
        <v>3</v>
      </c>
      <c r="D4" s="533" t="s">
        <v>831</v>
      </c>
      <c r="E4" s="528" t="s">
        <v>832</v>
      </c>
      <c r="F4" s="527">
        <v>2</v>
      </c>
      <c r="G4" s="527" t="s">
        <v>693</v>
      </c>
      <c r="H4" s="527">
        <v>33</v>
      </c>
      <c r="I4" s="527" t="str">
        <f t="shared" si="0"/>
        <v>Taurus</v>
      </c>
      <c r="J4" s="527">
        <f t="shared" si="1"/>
        <v>213</v>
      </c>
      <c r="K4" s="527" t="s">
        <v>833</v>
      </c>
      <c r="L4" s="527">
        <v>27.321581999999999</v>
      </c>
      <c r="M4" s="535">
        <v>57753336</v>
      </c>
      <c r="N4" s="527">
        <v>5</v>
      </c>
      <c r="O4" s="536"/>
      <c r="P4" s="527" t="s">
        <v>711</v>
      </c>
      <c r="Q4" s="527">
        <v>2</v>
      </c>
      <c r="R4" s="537">
        <v>2</v>
      </c>
      <c r="S4" s="527">
        <v>12</v>
      </c>
      <c r="V4" s="527" t="s">
        <v>834</v>
      </c>
      <c r="W4" s="527" t="s">
        <v>835</v>
      </c>
      <c r="X4" s="527" t="s">
        <v>649</v>
      </c>
      <c r="Z4" s="527"/>
      <c r="AA4" s="527"/>
    </row>
    <row r="5" spans="1:59" ht="15" customHeight="1">
      <c r="A5" s="532" t="s">
        <v>160</v>
      </c>
      <c r="B5" s="532">
        <f>VimFactor*7</f>
        <v>7</v>
      </c>
      <c r="C5" s="171">
        <v>4</v>
      </c>
      <c r="D5" s="533" t="s">
        <v>836</v>
      </c>
      <c r="E5" s="528" t="s">
        <v>837</v>
      </c>
      <c r="F5" s="527">
        <v>3</v>
      </c>
      <c r="G5" s="527" t="s">
        <v>706</v>
      </c>
      <c r="H5" s="527">
        <v>298</v>
      </c>
      <c r="I5" s="527" t="str">
        <f t="shared" si="0"/>
        <v>Capricorn</v>
      </c>
      <c r="J5" s="527">
        <f t="shared" si="1"/>
        <v>118</v>
      </c>
      <c r="K5" s="527" t="s">
        <v>838</v>
      </c>
      <c r="L5" s="527">
        <v>686.971</v>
      </c>
      <c r="M5" s="535">
        <v>2296824</v>
      </c>
      <c r="N5" s="527">
        <v>8</v>
      </c>
      <c r="O5" s="536"/>
      <c r="P5" s="527" t="s">
        <v>708</v>
      </c>
      <c r="Q5" s="527">
        <v>3</v>
      </c>
      <c r="R5" s="537">
        <v>2</v>
      </c>
      <c r="S5" s="527">
        <v>17</v>
      </c>
      <c r="T5" s="527">
        <v>0.52401933300000003</v>
      </c>
      <c r="U5" s="527">
        <f>360/686.971</f>
        <v>0.52403958827956343</v>
      </c>
      <c r="V5" s="527" t="s">
        <v>839</v>
      </c>
      <c r="W5" s="527" t="s">
        <v>840</v>
      </c>
      <c r="X5" s="527" t="s">
        <v>841</v>
      </c>
      <c r="Z5" s="527"/>
      <c r="AA5" s="527"/>
    </row>
    <row r="6" spans="1:59" ht="15" customHeight="1">
      <c r="A6" s="532" t="s">
        <v>161</v>
      </c>
      <c r="B6" s="532">
        <f>VimFactor*17</f>
        <v>17</v>
      </c>
      <c r="C6" s="171">
        <v>8</v>
      </c>
      <c r="D6" s="533" t="s">
        <v>842</v>
      </c>
      <c r="E6" s="528" t="s">
        <v>843</v>
      </c>
      <c r="F6" s="527">
        <v>4</v>
      </c>
      <c r="G6" s="527" t="s">
        <v>711</v>
      </c>
      <c r="H6" s="527">
        <v>165</v>
      </c>
      <c r="I6" s="527" t="str">
        <f t="shared" si="0"/>
        <v>Virgo</v>
      </c>
      <c r="J6" s="527">
        <f t="shared" si="1"/>
        <v>345</v>
      </c>
      <c r="K6" s="527" t="s">
        <v>844</v>
      </c>
      <c r="L6" s="527">
        <v>87.969099999999997</v>
      </c>
      <c r="M6" s="535">
        <v>17937000</v>
      </c>
      <c r="N6" s="527">
        <v>5</v>
      </c>
      <c r="O6" s="536"/>
      <c r="P6" s="527" t="s">
        <v>699</v>
      </c>
      <c r="Q6" s="527">
        <v>4</v>
      </c>
      <c r="R6" s="537">
        <v>3</v>
      </c>
      <c r="S6" s="527" t="s">
        <v>845</v>
      </c>
      <c r="V6" s="527" t="s">
        <v>846</v>
      </c>
      <c r="W6" s="527" t="s">
        <v>847</v>
      </c>
      <c r="X6" s="527" t="s">
        <v>657</v>
      </c>
      <c r="Z6" s="527"/>
      <c r="AA6" s="527"/>
    </row>
    <row r="7" spans="1:59" ht="15" customHeight="1">
      <c r="A7" s="532" t="s">
        <v>162</v>
      </c>
      <c r="B7" s="532">
        <f>VimFactor*16</f>
        <v>16</v>
      </c>
      <c r="C7" s="171">
        <v>6</v>
      </c>
      <c r="D7" s="533" t="s">
        <v>848</v>
      </c>
      <c r="E7" s="528" t="s">
        <v>849</v>
      </c>
      <c r="F7" s="527">
        <v>5</v>
      </c>
      <c r="G7" s="527" t="s">
        <v>703</v>
      </c>
      <c r="H7" s="527">
        <v>95</v>
      </c>
      <c r="I7" s="527" t="str">
        <f t="shared" si="0"/>
        <v>Cancer</v>
      </c>
      <c r="J7" s="527">
        <f t="shared" si="1"/>
        <v>275</v>
      </c>
      <c r="K7" s="527" t="s">
        <v>850</v>
      </c>
      <c r="L7" s="527">
        <v>4332.59</v>
      </c>
      <c r="M7" s="535">
        <v>364220</v>
      </c>
      <c r="N7" s="527">
        <v>10</v>
      </c>
      <c r="O7" s="536"/>
      <c r="P7" s="527" t="s">
        <v>711</v>
      </c>
      <c r="Q7" s="527">
        <v>5</v>
      </c>
      <c r="R7" s="537">
        <v>5</v>
      </c>
      <c r="S7" s="527">
        <v>11</v>
      </c>
      <c r="T7" s="527">
        <v>8.3096332999999994E-2</v>
      </c>
      <c r="U7" s="538">
        <f>360/4332.59</f>
        <v>8.3091176409491777E-2</v>
      </c>
      <c r="V7" s="527" t="s">
        <v>851</v>
      </c>
      <c r="W7" s="527" t="s">
        <v>852</v>
      </c>
      <c r="X7" s="527" t="s">
        <v>853</v>
      </c>
      <c r="Z7" s="527"/>
      <c r="AA7" s="527"/>
    </row>
    <row r="8" spans="1:59" ht="15" customHeight="1">
      <c r="A8" s="532" t="s">
        <v>163</v>
      </c>
      <c r="B8" s="532">
        <f>VimFactor*20</f>
        <v>20</v>
      </c>
      <c r="C8" s="171">
        <v>1</v>
      </c>
      <c r="D8" s="533" t="s">
        <v>854</v>
      </c>
      <c r="E8" s="528" t="s">
        <v>855</v>
      </c>
      <c r="F8" s="527">
        <v>6</v>
      </c>
      <c r="G8" s="527" t="s">
        <v>694</v>
      </c>
      <c r="H8" s="527">
        <v>357</v>
      </c>
      <c r="I8" s="527" t="str">
        <f t="shared" si="0"/>
        <v>Pisces</v>
      </c>
      <c r="J8" s="527">
        <f t="shared" si="1"/>
        <v>177</v>
      </c>
      <c r="K8" s="527" t="s">
        <v>856</v>
      </c>
      <c r="L8" s="527">
        <v>224.70099999999999</v>
      </c>
      <c r="M8" s="535">
        <v>7022388</v>
      </c>
      <c r="N8" s="527">
        <v>7</v>
      </c>
      <c r="O8" s="536"/>
      <c r="P8" s="527" t="s">
        <v>693</v>
      </c>
      <c r="Q8" s="527">
        <v>6</v>
      </c>
      <c r="R8" s="537">
        <v>3</v>
      </c>
      <c r="S8" s="527" t="s">
        <v>857</v>
      </c>
      <c r="T8" s="527">
        <f>T9</f>
        <v>3.3439333299999999E-2</v>
      </c>
      <c r="V8" s="527" t="s">
        <v>858</v>
      </c>
      <c r="W8" s="527" t="s">
        <v>859</v>
      </c>
      <c r="X8" s="527" t="s">
        <v>860</v>
      </c>
      <c r="Z8" s="527"/>
      <c r="AA8" s="527"/>
    </row>
    <row r="9" spans="1:59" ht="15" customHeight="1">
      <c r="A9" s="532" t="s">
        <v>164</v>
      </c>
      <c r="B9" s="532">
        <f>VimFactor*19</f>
        <v>19</v>
      </c>
      <c r="C9" s="171">
        <v>7</v>
      </c>
      <c r="D9" s="533" t="s">
        <v>861</v>
      </c>
      <c r="E9" s="528" t="s">
        <v>862</v>
      </c>
      <c r="F9" s="527">
        <v>7</v>
      </c>
      <c r="G9" s="527" t="s">
        <v>710</v>
      </c>
      <c r="H9" s="527">
        <v>200</v>
      </c>
      <c r="I9" s="527" t="str">
        <f t="shared" si="0"/>
        <v>Libra</v>
      </c>
      <c r="J9" s="527">
        <f t="shared" si="1"/>
        <v>20</v>
      </c>
      <c r="K9" s="527" t="s">
        <v>863</v>
      </c>
      <c r="L9" s="527">
        <v>10759.22</v>
      </c>
      <c r="M9" s="535">
        <v>146564</v>
      </c>
      <c r="N9" s="527">
        <v>5</v>
      </c>
      <c r="O9" s="536"/>
      <c r="P9" s="527" t="s">
        <v>694</v>
      </c>
      <c r="Q9" s="527">
        <v>7</v>
      </c>
      <c r="R9" s="537">
        <v>3</v>
      </c>
      <c r="S9" s="527">
        <v>15</v>
      </c>
      <c r="T9" s="527">
        <v>3.3439333299999999E-2</v>
      </c>
      <c r="U9" s="527">
        <f>360/10759.22</f>
        <v>3.3459674586075946E-2</v>
      </c>
      <c r="V9" s="527" t="s">
        <v>864</v>
      </c>
      <c r="W9" s="527" t="s">
        <v>865</v>
      </c>
      <c r="X9" s="527" t="s">
        <v>574</v>
      </c>
      <c r="Z9" s="527"/>
      <c r="AA9" s="527"/>
    </row>
    <row r="10" spans="1:59" ht="15" customHeight="1">
      <c r="A10" s="532" t="s">
        <v>165</v>
      </c>
      <c r="B10" s="532">
        <f>VimFactor*18</f>
        <v>18</v>
      </c>
      <c r="C10" s="171">
        <v>5</v>
      </c>
      <c r="D10" s="533" t="s">
        <v>866</v>
      </c>
      <c r="E10" s="528" t="s">
        <v>867</v>
      </c>
      <c r="F10" s="527">
        <v>8</v>
      </c>
      <c r="G10" s="527" t="s">
        <v>695</v>
      </c>
      <c r="H10" s="527">
        <v>75</v>
      </c>
      <c r="I10" s="527" t="str">
        <f t="shared" si="0"/>
        <v>Gemini</v>
      </c>
      <c r="J10" s="527">
        <f t="shared" si="1"/>
        <v>255</v>
      </c>
      <c r="K10" s="527" t="s">
        <v>868</v>
      </c>
      <c r="L10" s="539">
        <v>6793.4770900000003</v>
      </c>
      <c r="M10" s="535">
        <v>232238</v>
      </c>
      <c r="O10" s="536"/>
      <c r="P10" s="527" t="s">
        <v>693</v>
      </c>
      <c r="Q10" s="527">
        <v>8</v>
      </c>
      <c r="R10" s="537">
        <v>4</v>
      </c>
      <c r="W10" s="527" t="s">
        <v>869</v>
      </c>
      <c r="X10" s="527" t="s">
        <v>639</v>
      </c>
      <c r="Z10" s="527"/>
      <c r="AA10" s="527"/>
    </row>
    <row r="11" spans="1:59" ht="15" customHeight="1">
      <c r="A11" s="532" t="s">
        <v>166</v>
      </c>
      <c r="B11" s="532">
        <f>VimFactor*7</f>
        <v>7</v>
      </c>
      <c r="C11" s="171">
        <v>0</v>
      </c>
      <c r="D11" s="533" t="s">
        <v>870</v>
      </c>
      <c r="E11" s="528" t="s">
        <v>871</v>
      </c>
      <c r="F11" s="527">
        <v>9</v>
      </c>
      <c r="G11" s="527" t="s">
        <v>708</v>
      </c>
      <c r="H11" s="527">
        <f>H10+180</f>
        <v>255</v>
      </c>
      <c r="I11" s="527" t="str">
        <f t="shared" si="0"/>
        <v>Sagitarius</v>
      </c>
      <c r="J11" s="527">
        <f t="shared" si="1"/>
        <v>75</v>
      </c>
      <c r="K11" s="527" t="s">
        <v>868</v>
      </c>
      <c r="M11" s="535">
        <f>M10</f>
        <v>232238</v>
      </c>
      <c r="O11" s="536"/>
      <c r="P11" s="527" t="s">
        <v>701</v>
      </c>
      <c r="Q11" s="527">
        <v>9</v>
      </c>
      <c r="R11" s="527">
        <v>4</v>
      </c>
      <c r="W11" s="527" t="s">
        <v>872</v>
      </c>
      <c r="X11" s="527" t="s">
        <v>644</v>
      </c>
      <c r="Z11" s="527"/>
      <c r="AA11" s="527"/>
    </row>
    <row r="12" spans="1:59">
      <c r="M12" s="535"/>
      <c r="Z12" s="527"/>
      <c r="AA12" s="527"/>
    </row>
    <row r="13" spans="1:59">
      <c r="A13" s="527" t="s">
        <v>873</v>
      </c>
      <c r="B13" s="527">
        <f>SUM(Vimshottari!B2:B10)</f>
        <v>120</v>
      </c>
      <c r="E13" s="540" t="s">
        <v>564</v>
      </c>
      <c r="M13" s="535"/>
      <c r="Z13" s="527"/>
      <c r="AA13" s="527"/>
    </row>
    <row r="14" spans="1:59">
      <c r="A14" s="541"/>
      <c r="B14" s="542"/>
      <c r="C14" s="541"/>
      <c r="D14" s="541"/>
      <c r="E14" s="542"/>
      <c r="F14" s="541"/>
      <c r="G14" s="541"/>
      <c r="H14" s="541"/>
      <c r="I14" s="541"/>
      <c r="J14" s="541"/>
      <c r="K14" s="541"/>
      <c r="L14" s="543"/>
      <c r="M14" s="544"/>
    </row>
    <row r="15" spans="1:59" s="545" customFormat="1" ht="12.75" customHeight="1">
      <c r="A15" s="545" t="s">
        <v>874</v>
      </c>
      <c r="B15" s="546" t="s">
        <v>875</v>
      </c>
      <c r="C15" s="546" t="s">
        <v>876</v>
      </c>
      <c r="D15" s="545" t="s">
        <v>877</v>
      </c>
      <c r="E15" s="531" t="s">
        <v>807</v>
      </c>
      <c r="F15" s="545" t="s">
        <v>878</v>
      </c>
      <c r="G15" s="545" t="s">
        <v>879</v>
      </c>
      <c r="H15" s="545" t="s">
        <v>880</v>
      </c>
      <c r="I15" s="545" t="s">
        <v>881</v>
      </c>
      <c r="J15" s="545" t="s">
        <v>882</v>
      </c>
      <c r="K15" s="545" t="s">
        <v>883</v>
      </c>
      <c r="L15" s="545" t="s">
        <v>884</v>
      </c>
      <c r="M15" s="545" t="s">
        <v>885</v>
      </c>
      <c r="N15" s="545" t="s">
        <v>886</v>
      </c>
      <c r="O15" s="545" t="s">
        <v>887</v>
      </c>
      <c r="P15" s="545" t="s">
        <v>888</v>
      </c>
      <c r="Q15" s="545" t="s">
        <v>889</v>
      </c>
      <c r="R15" s="545" t="s">
        <v>890</v>
      </c>
      <c r="S15" s="545" t="s">
        <v>891</v>
      </c>
      <c r="T15" s="545" t="s">
        <v>892</v>
      </c>
      <c r="U15" s="545" t="s">
        <v>893</v>
      </c>
      <c r="V15" s="545" t="s">
        <v>894</v>
      </c>
      <c r="W15" s="545" t="s">
        <v>895</v>
      </c>
      <c r="Z15" s="547"/>
      <c r="AA15" s="547"/>
      <c r="BF15" s="548"/>
      <c r="BG15" s="548"/>
    </row>
    <row r="16" spans="1:59" ht="12.75" customHeight="1">
      <c r="A16" s="527" t="s">
        <v>896</v>
      </c>
      <c r="B16" s="532" t="s">
        <v>689</v>
      </c>
      <c r="C16" s="532">
        <v>0</v>
      </c>
      <c r="D16" s="527" t="s">
        <v>897</v>
      </c>
      <c r="E16" s="528" t="s">
        <v>842</v>
      </c>
      <c r="F16" s="527" t="s">
        <v>898</v>
      </c>
      <c r="G16" s="527" t="s">
        <v>899</v>
      </c>
      <c r="H16" s="527" t="s">
        <v>849</v>
      </c>
      <c r="I16" s="545">
        <v>1</v>
      </c>
      <c r="J16" s="527" t="s">
        <v>160</v>
      </c>
      <c r="K16" s="527" t="s">
        <v>900</v>
      </c>
      <c r="L16" s="527" t="s">
        <v>901</v>
      </c>
      <c r="M16" s="527" t="s">
        <v>902</v>
      </c>
      <c r="N16" s="527" t="s">
        <v>903</v>
      </c>
      <c r="O16" s="527" t="s">
        <v>904</v>
      </c>
      <c r="P16" s="527">
        <v>7</v>
      </c>
      <c r="Q16" s="527" t="s">
        <v>905</v>
      </c>
      <c r="R16" s="527" t="s">
        <v>98</v>
      </c>
      <c r="S16" s="527" t="s">
        <v>906</v>
      </c>
      <c r="T16" s="527" t="s">
        <v>907</v>
      </c>
    </row>
    <row r="17" spans="1:27" ht="12.75" customHeight="1">
      <c r="A17" s="527" t="s">
        <v>908</v>
      </c>
      <c r="B17" s="532" t="s">
        <v>693</v>
      </c>
      <c r="C17" s="532">
        <f t="shared" ref="C17:C27" si="2">C16+30</f>
        <v>30</v>
      </c>
      <c r="D17" s="527" t="s">
        <v>909</v>
      </c>
      <c r="E17" s="528" t="s">
        <v>826</v>
      </c>
      <c r="F17" s="527" t="s">
        <v>910</v>
      </c>
      <c r="G17" s="527" t="s">
        <v>911</v>
      </c>
      <c r="H17" s="527" t="s">
        <v>912</v>
      </c>
      <c r="I17" s="545">
        <v>2</v>
      </c>
      <c r="J17" s="527" t="s">
        <v>163</v>
      </c>
      <c r="K17" s="527" t="s">
        <v>913</v>
      </c>
      <c r="L17" s="527" t="s">
        <v>914</v>
      </c>
      <c r="M17" s="527" t="s">
        <v>915</v>
      </c>
      <c r="N17" s="527" t="s">
        <v>916</v>
      </c>
      <c r="O17" s="527" t="s">
        <v>917</v>
      </c>
      <c r="P17" s="527">
        <v>10</v>
      </c>
      <c r="Q17" s="527" t="s">
        <v>905</v>
      </c>
      <c r="R17" s="527" t="s">
        <v>98</v>
      </c>
      <c r="S17" s="527" t="s">
        <v>918</v>
      </c>
      <c r="T17" s="527" t="s">
        <v>919</v>
      </c>
    </row>
    <row r="18" spans="1:27" ht="12.75" customHeight="1">
      <c r="A18" s="527" t="s">
        <v>920</v>
      </c>
      <c r="B18" s="532" t="s">
        <v>695</v>
      </c>
      <c r="C18" s="532">
        <f t="shared" si="2"/>
        <v>60</v>
      </c>
      <c r="D18" s="527" t="s">
        <v>921</v>
      </c>
      <c r="E18" s="528" t="s">
        <v>836</v>
      </c>
      <c r="F18" s="527" t="s">
        <v>922</v>
      </c>
      <c r="G18" s="527" t="s">
        <v>923</v>
      </c>
      <c r="H18" s="527" t="s">
        <v>924</v>
      </c>
      <c r="I18" s="545">
        <v>3</v>
      </c>
      <c r="J18" s="527" t="s">
        <v>161</v>
      </c>
      <c r="K18" s="527" t="s">
        <v>925</v>
      </c>
      <c r="L18" s="527" t="s">
        <v>926</v>
      </c>
      <c r="M18" s="527" t="s">
        <v>927</v>
      </c>
      <c r="N18" s="527" t="s">
        <v>928</v>
      </c>
      <c r="O18" s="527" t="s">
        <v>929</v>
      </c>
      <c r="P18" s="527">
        <v>8</v>
      </c>
      <c r="R18" s="527" t="s">
        <v>163</v>
      </c>
      <c r="S18" s="527" t="s">
        <v>930</v>
      </c>
      <c r="T18" s="527" t="s">
        <v>919</v>
      </c>
    </row>
    <row r="19" spans="1:27" ht="12.75" customHeight="1">
      <c r="A19" s="527" t="s">
        <v>931</v>
      </c>
      <c r="B19" s="532" t="s">
        <v>703</v>
      </c>
      <c r="C19" s="532">
        <f t="shared" si="2"/>
        <v>90</v>
      </c>
      <c r="D19" s="527" t="s">
        <v>932</v>
      </c>
      <c r="E19" s="528" t="s">
        <v>861</v>
      </c>
      <c r="F19" s="527" t="s">
        <v>933</v>
      </c>
      <c r="G19" s="527" t="s">
        <v>899</v>
      </c>
      <c r="H19" s="527" t="s">
        <v>934</v>
      </c>
      <c r="I19" s="545">
        <v>1</v>
      </c>
      <c r="J19" s="527" t="s">
        <v>159</v>
      </c>
      <c r="K19" s="527" t="s">
        <v>935</v>
      </c>
      <c r="L19" s="527" t="s">
        <v>936</v>
      </c>
      <c r="M19" s="527" t="s">
        <v>937</v>
      </c>
      <c r="N19" s="527" t="s">
        <v>938</v>
      </c>
      <c r="O19" s="527" t="s">
        <v>939</v>
      </c>
      <c r="P19" s="527">
        <v>4</v>
      </c>
      <c r="Q19" s="527" t="s">
        <v>940</v>
      </c>
      <c r="R19" s="527" t="s">
        <v>98</v>
      </c>
      <c r="S19" s="527" t="s">
        <v>941</v>
      </c>
      <c r="T19" s="527" t="s">
        <v>942</v>
      </c>
    </row>
    <row r="20" spans="1:27" ht="12.75" customHeight="1">
      <c r="A20" s="527" t="s">
        <v>943</v>
      </c>
      <c r="B20" s="532" t="s">
        <v>701</v>
      </c>
      <c r="C20" s="532">
        <f t="shared" si="2"/>
        <v>120</v>
      </c>
      <c r="D20" s="527" t="s">
        <v>897</v>
      </c>
      <c r="E20" s="528" t="s">
        <v>842</v>
      </c>
      <c r="F20" s="527" t="s">
        <v>898</v>
      </c>
      <c r="G20" s="527" t="s">
        <v>911</v>
      </c>
      <c r="H20" s="528" t="s">
        <v>944</v>
      </c>
      <c r="I20" s="545">
        <v>2</v>
      </c>
      <c r="J20" s="527" t="s">
        <v>158</v>
      </c>
      <c r="K20" s="527" t="s">
        <v>945</v>
      </c>
      <c r="L20" s="527" t="s">
        <v>946</v>
      </c>
      <c r="M20" s="527" t="s">
        <v>947</v>
      </c>
      <c r="N20" s="527" t="s">
        <v>948</v>
      </c>
      <c r="O20" s="527" t="s">
        <v>949</v>
      </c>
      <c r="P20" s="527">
        <v>10</v>
      </c>
      <c r="Q20" s="527" t="s">
        <v>905</v>
      </c>
      <c r="R20" s="527" t="s">
        <v>98</v>
      </c>
      <c r="S20" s="527" t="s">
        <v>950</v>
      </c>
      <c r="T20" s="527" t="s">
        <v>942</v>
      </c>
    </row>
    <row r="21" spans="1:27" ht="12.75" customHeight="1">
      <c r="A21" s="527" t="s">
        <v>951</v>
      </c>
      <c r="B21" s="532" t="s">
        <v>711</v>
      </c>
      <c r="C21" s="532">
        <f t="shared" si="2"/>
        <v>150</v>
      </c>
      <c r="D21" s="527" t="s">
        <v>909</v>
      </c>
      <c r="E21" s="528" t="s">
        <v>826</v>
      </c>
      <c r="F21" s="527" t="s">
        <v>910</v>
      </c>
      <c r="G21" s="527" t="s">
        <v>923</v>
      </c>
      <c r="H21" s="528" t="s">
        <v>952</v>
      </c>
      <c r="I21" s="545">
        <v>3</v>
      </c>
      <c r="J21" s="527" t="s">
        <v>161</v>
      </c>
      <c r="K21" s="527" t="s">
        <v>953</v>
      </c>
      <c r="L21" s="527" t="s">
        <v>954</v>
      </c>
      <c r="M21" s="527" t="s">
        <v>955</v>
      </c>
      <c r="N21" s="527" t="s">
        <v>956</v>
      </c>
      <c r="O21" s="527" t="s">
        <v>957</v>
      </c>
      <c r="P21" s="527">
        <v>5</v>
      </c>
      <c r="Q21" s="527" t="s">
        <v>958</v>
      </c>
      <c r="R21" s="527" t="s">
        <v>164</v>
      </c>
      <c r="S21" s="527" t="s">
        <v>959</v>
      </c>
      <c r="T21" s="527" t="s">
        <v>960</v>
      </c>
    </row>
    <row r="22" spans="1:27" ht="12.75" customHeight="1">
      <c r="A22" s="527" t="s">
        <v>961</v>
      </c>
      <c r="B22" s="532" t="s">
        <v>710</v>
      </c>
      <c r="C22" s="532">
        <f t="shared" si="2"/>
        <v>180</v>
      </c>
      <c r="D22" s="527" t="s">
        <v>921</v>
      </c>
      <c r="E22" s="528" t="s">
        <v>836</v>
      </c>
      <c r="F22" s="527" t="s">
        <v>922</v>
      </c>
      <c r="G22" s="527" t="s">
        <v>899</v>
      </c>
      <c r="H22" s="527" t="s">
        <v>962</v>
      </c>
      <c r="I22" s="545">
        <v>1</v>
      </c>
      <c r="J22" s="527" t="s">
        <v>163</v>
      </c>
      <c r="K22" s="527" t="s">
        <v>963</v>
      </c>
      <c r="L22" s="527" t="s">
        <v>964</v>
      </c>
      <c r="M22" s="527" t="s">
        <v>965</v>
      </c>
      <c r="N22" s="527" t="s">
        <v>966</v>
      </c>
      <c r="O22" s="527" t="s">
        <v>967</v>
      </c>
      <c r="P22" s="527">
        <v>7</v>
      </c>
      <c r="Q22" s="527" t="s">
        <v>958</v>
      </c>
      <c r="R22" s="527" t="s">
        <v>160</v>
      </c>
      <c r="S22" s="527" t="s">
        <v>968</v>
      </c>
      <c r="T22" s="527" t="s">
        <v>960</v>
      </c>
    </row>
    <row r="23" spans="1:27" ht="12.75" customHeight="1">
      <c r="A23" s="527" t="s">
        <v>969</v>
      </c>
      <c r="B23" s="532" t="s">
        <v>709</v>
      </c>
      <c r="C23" s="532">
        <f t="shared" si="2"/>
        <v>210</v>
      </c>
      <c r="D23" s="527" t="s">
        <v>932</v>
      </c>
      <c r="E23" s="528" t="s">
        <v>861</v>
      </c>
      <c r="F23" s="527" t="s">
        <v>933</v>
      </c>
      <c r="G23" s="527" t="s">
        <v>911</v>
      </c>
      <c r="H23" s="528" t="s">
        <v>970</v>
      </c>
      <c r="I23" s="545">
        <v>2</v>
      </c>
      <c r="J23" s="527" t="s">
        <v>971</v>
      </c>
      <c r="K23" s="527" t="s">
        <v>972</v>
      </c>
      <c r="L23" s="527" t="s">
        <v>973</v>
      </c>
      <c r="M23" s="527" t="s">
        <v>974</v>
      </c>
      <c r="N23" s="527" t="s">
        <v>975</v>
      </c>
      <c r="O23" s="527" t="s">
        <v>976</v>
      </c>
      <c r="P23" s="527">
        <v>8</v>
      </c>
      <c r="Q23" s="527" t="s">
        <v>940</v>
      </c>
      <c r="R23" s="527" t="s">
        <v>98</v>
      </c>
      <c r="S23" s="527" t="s">
        <v>977</v>
      </c>
      <c r="T23" s="527" t="s">
        <v>978</v>
      </c>
    </row>
    <row r="24" spans="1:27" ht="12.75" customHeight="1">
      <c r="A24" s="527" t="s">
        <v>979</v>
      </c>
      <c r="B24" s="532" t="s">
        <v>708</v>
      </c>
      <c r="C24" s="532">
        <f t="shared" si="2"/>
        <v>240</v>
      </c>
      <c r="D24" s="527" t="s">
        <v>897</v>
      </c>
      <c r="E24" s="528" t="s">
        <v>842</v>
      </c>
      <c r="F24" s="527" t="s">
        <v>898</v>
      </c>
      <c r="G24" s="527" t="s">
        <v>923</v>
      </c>
      <c r="H24" s="528" t="s">
        <v>980</v>
      </c>
      <c r="I24" s="545">
        <v>3</v>
      </c>
      <c r="J24" s="527" t="s">
        <v>162</v>
      </c>
      <c r="K24" s="527" t="s">
        <v>981</v>
      </c>
      <c r="L24" s="527" t="s">
        <v>982</v>
      </c>
      <c r="M24" s="527" t="s">
        <v>983</v>
      </c>
      <c r="N24" s="527" t="s">
        <v>984</v>
      </c>
      <c r="O24" s="527" t="s">
        <v>985</v>
      </c>
      <c r="P24" s="527">
        <v>9</v>
      </c>
      <c r="Q24" s="527" t="s">
        <v>958</v>
      </c>
      <c r="R24" s="527" t="s">
        <v>161</v>
      </c>
      <c r="S24" s="527" t="s">
        <v>986</v>
      </c>
      <c r="T24" s="527" t="s">
        <v>978</v>
      </c>
    </row>
    <row r="25" spans="1:27" ht="12.75" customHeight="1">
      <c r="A25" s="527" t="s">
        <v>987</v>
      </c>
      <c r="B25" s="532" t="s">
        <v>706</v>
      </c>
      <c r="C25" s="532">
        <f t="shared" si="2"/>
        <v>270</v>
      </c>
      <c r="D25" s="527" t="s">
        <v>909</v>
      </c>
      <c r="E25" s="528" t="s">
        <v>826</v>
      </c>
      <c r="F25" s="527" t="s">
        <v>910</v>
      </c>
      <c r="G25" s="527" t="s">
        <v>899</v>
      </c>
      <c r="H25" s="527" t="s">
        <v>988</v>
      </c>
      <c r="I25" s="545">
        <v>1</v>
      </c>
      <c r="J25" s="527" t="s">
        <v>164</v>
      </c>
      <c r="K25" s="527" t="s">
        <v>989</v>
      </c>
      <c r="L25" s="527" t="s">
        <v>990</v>
      </c>
      <c r="M25" s="527" t="s">
        <v>991</v>
      </c>
      <c r="N25" s="527" t="s">
        <v>992</v>
      </c>
      <c r="O25" s="527" t="s">
        <v>993</v>
      </c>
      <c r="P25" s="527">
        <v>5</v>
      </c>
      <c r="Q25" s="527" t="s">
        <v>994</v>
      </c>
      <c r="R25" s="527" t="s">
        <v>162</v>
      </c>
      <c r="S25" s="527" t="s">
        <v>995</v>
      </c>
      <c r="T25" s="527" t="s">
        <v>996</v>
      </c>
    </row>
    <row r="26" spans="1:27" ht="12.75" customHeight="1">
      <c r="A26" s="527" t="s">
        <v>997</v>
      </c>
      <c r="B26" s="532" t="s">
        <v>699</v>
      </c>
      <c r="C26" s="532">
        <f t="shared" si="2"/>
        <v>300</v>
      </c>
      <c r="D26" s="527" t="s">
        <v>921</v>
      </c>
      <c r="E26" s="528" t="s">
        <v>836</v>
      </c>
      <c r="F26" s="527" t="s">
        <v>922</v>
      </c>
      <c r="G26" s="527" t="s">
        <v>911</v>
      </c>
      <c r="H26" s="528" t="s">
        <v>998</v>
      </c>
      <c r="I26" s="545">
        <v>2</v>
      </c>
      <c r="J26" s="527" t="s">
        <v>999</v>
      </c>
      <c r="K26" s="527" t="s">
        <v>1000</v>
      </c>
      <c r="L26" s="527" t="s">
        <v>1001</v>
      </c>
      <c r="M26" s="527" t="s">
        <v>1002</v>
      </c>
      <c r="N26" s="527" t="s">
        <v>1003</v>
      </c>
      <c r="O26" s="527" t="s">
        <v>1004</v>
      </c>
      <c r="P26" s="527">
        <v>11</v>
      </c>
      <c r="Q26" s="527" t="s">
        <v>958</v>
      </c>
      <c r="R26" s="527" t="s">
        <v>159</v>
      </c>
      <c r="S26" s="527" t="s">
        <v>1005</v>
      </c>
      <c r="T26" s="527" t="s">
        <v>996</v>
      </c>
    </row>
    <row r="27" spans="1:27" ht="12.75" customHeight="1">
      <c r="A27" s="527" t="s">
        <v>1006</v>
      </c>
      <c r="B27" s="532" t="s">
        <v>694</v>
      </c>
      <c r="C27" s="532">
        <f t="shared" si="2"/>
        <v>330</v>
      </c>
      <c r="D27" s="527" t="s">
        <v>932</v>
      </c>
      <c r="E27" s="528" t="s">
        <v>861</v>
      </c>
      <c r="F27" s="527" t="s">
        <v>933</v>
      </c>
      <c r="G27" s="527" t="s">
        <v>923</v>
      </c>
      <c r="H27" s="527" t="s">
        <v>1007</v>
      </c>
      <c r="I27" s="545">
        <v>3</v>
      </c>
      <c r="J27" s="527" t="s">
        <v>162</v>
      </c>
      <c r="K27" s="527" t="s">
        <v>1008</v>
      </c>
      <c r="L27" s="527" t="s">
        <v>1009</v>
      </c>
      <c r="M27" s="527" t="s">
        <v>1010</v>
      </c>
      <c r="N27" s="527" t="s">
        <v>1011</v>
      </c>
      <c r="O27" s="527" t="s">
        <v>1012</v>
      </c>
      <c r="P27" s="527">
        <v>12</v>
      </c>
      <c r="Q27" s="527" t="s">
        <v>1013</v>
      </c>
      <c r="R27" s="527" t="s">
        <v>158</v>
      </c>
      <c r="S27" s="527" t="s">
        <v>1014</v>
      </c>
      <c r="T27" s="527" t="s">
        <v>907</v>
      </c>
    </row>
    <row r="28" spans="1:27">
      <c r="D28" s="535"/>
    </row>
    <row r="29" spans="1:27">
      <c r="A29" s="527" t="s">
        <v>132</v>
      </c>
      <c r="B29" s="549">
        <v>26540</v>
      </c>
      <c r="C29" s="535">
        <v>714404096641</v>
      </c>
      <c r="D29" s="535">
        <f>113.75*365.2435</f>
        <v>41546.448124999995</v>
      </c>
      <c r="E29" s="550">
        <f>Ahargana-D29</f>
        <v>714404055094.55188</v>
      </c>
    </row>
    <row r="30" spans="1:27" ht="24">
      <c r="B30" s="551"/>
      <c r="C30" s="535"/>
      <c r="E30" s="552" t="s">
        <v>1015</v>
      </c>
    </row>
    <row r="31" spans="1:27" ht="13.5" customHeight="1">
      <c r="A31" s="553" t="s">
        <v>1016</v>
      </c>
      <c r="B31" s="554" t="s">
        <v>386</v>
      </c>
      <c r="C31" s="535" t="s">
        <v>1017</v>
      </c>
      <c r="D31" s="553" t="s">
        <v>1018</v>
      </c>
      <c r="E31" s="553" t="s">
        <v>1019</v>
      </c>
      <c r="F31" s="443" t="s">
        <v>1020</v>
      </c>
      <c r="G31" s="443" t="s">
        <v>1021</v>
      </c>
      <c r="H31" s="443" t="s">
        <v>1022</v>
      </c>
      <c r="I31" s="443" t="s">
        <v>1023</v>
      </c>
      <c r="J31" s="443" t="s">
        <v>1024</v>
      </c>
      <c r="K31" s="443" t="s">
        <v>1025</v>
      </c>
      <c r="L31" s="443" t="s">
        <v>1026</v>
      </c>
      <c r="M31" s="443" t="s">
        <v>1027</v>
      </c>
      <c r="N31" s="443" t="s">
        <v>1028</v>
      </c>
      <c r="O31" s="443" t="s">
        <v>1029</v>
      </c>
      <c r="P31" s="443" t="s">
        <v>1030</v>
      </c>
      <c r="Q31" s="553" t="s">
        <v>1031</v>
      </c>
      <c r="R31" s="553" t="s">
        <v>1032</v>
      </c>
      <c r="S31" s="527" t="s">
        <v>1033</v>
      </c>
      <c r="T31" s="527" t="s">
        <v>1034</v>
      </c>
      <c r="U31" s="527" t="s">
        <v>1035</v>
      </c>
      <c r="V31" s="527" t="s">
        <v>1036</v>
      </c>
      <c r="W31" s="527" t="s">
        <v>1037</v>
      </c>
      <c r="X31" s="527" t="s">
        <v>1038</v>
      </c>
      <c r="Y31" s="527" t="s">
        <v>1039</v>
      </c>
      <c r="Z31" s="529" t="s">
        <v>1040</v>
      </c>
      <c r="AA31" s="529" t="s">
        <v>1041</v>
      </c>
    </row>
    <row r="32" spans="1:27" ht="13.5" customHeight="1">
      <c r="A32" s="553">
        <v>1</v>
      </c>
      <c r="B32" s="554" t="s">
        <v>1042</v>
      </c>
      <c r="C32" s="535" t="s">
        <v>1043</v>
      </c>
      <c r="D32" s="553">
        <v>9</v>
      </c>
      <c r="E32" s="553" t="s">
        <v>1044</v>
      </c>
      <c r="F32" s="443" t="s">
        <v>1045</v>
      </c>
      <c r="G32" s="443" t="s">
        <v>1046</v>
      </c>
      <c r="H32" s="443" t="s">
        <v>1047</v>
      </c>
      <c r="I32" s="443" t="s">
        <v>1048</v>
      </c>
      <c r="J32" s="443" t="s">
        <v>1049</v>
      </c>
      <c r="K32" s="443" t="s">
        <v>1050</v>
      </c>
      <c r="L32" s="443" t="s">
        <v>1051</v>
      </c>
      <c r="M32" s="555" t="s">
        <v>1052</v>
      </c>
      <c r="N32" s="555" t="s">
        <v>1053</v>
      </c>
      <c r="O32" s="555" t="s">
        <v>1053</v>
      </c>
      <c r="P32" s="556" t="s">
        <v>1054</v>
      </c>
      <c r="Q32" s="557" t="s">
        <v>1055</v>
      </c>
      <c r="R32" s="553"/>
      <c r="S32" s="527" t="s">
        <v>1056</v>
      </c>
      <c r="T32" s="527" t="s">
        <v>1057</v>
      </c>
      <c r="U32" s="527" t="s">
        <v>1058</v>
      </c>
      <c r="V32" s="558" t="s">
        <v>1059</v>
      </c>
      <c r="W32" s="558" t="s">
        <v>1060</v>
      </c>
      <c r="X32" s="527" t="s">
        <v>1061</v>
      </c>
      <c r="Y32" s="527" t="s">
        <v>1062</v>
      </c>
      <c r="Z32" s="558" t="s">
        <v>1063</v>
      </c>
      <c r="AA32" s="558"/>
    </row>
    <row r="33" spans="1:59" ht="13.5" customHeight="1">
      <c r="A33" s="553">
        <v>2</v>
      </c>
      <c r="B33" s="554" t="s">
        <v>1064</v>
      </c>
      <c r="C33" s="535" t="s">
        <v>1065</v>
      </c>
      <c r="D33" s="553">
        <v>1</v>
      </c>
      <c r="E33" s="553" t="s">
        <v>1066</v>
      </c>
      <c r="F33" s="443" t="s">
        <v>1067</v>
      </c>
      <c r="G33" s="443" t="s">
        <v>1068</v>
      </c>
      <c r="H33" s="443" t="s">
        <v>1069</v>
      </c>
      <c r="I33" s="443" t="s">
        <v>1070</v>
      </c>
      <c r="J33" s="443" t="s">
        <v>1071</v>
      </c>
      <c r="K33" s="443" t="s">
        <v>1072</v>
      </c>
      <c r="L33" s="443" t="s">
        <v>1073</v>
      </c>
      <c r="M33" s="555" t="s">
        <v>1074</v>
      </c>
      <c r="N33" s="555" t="s">
        <v>1075</v>
      </c>
      <c r="O33" s="555" t="s">
        <v>1076</v>
      </c>
      <c r="P33" s="556" t="s">
        <v>1077</v>
      </c>
      <c r="Q33" s="557" t="s">
        <v>1078</v>
      </c>
      <c r="R33" s="553"/>
      <c r="S33" s="527" t="s">
        <v>1079</v>
      </c>
      <c r="T33" s="527" t="s">
        <v>1080</v>
      </c>
      <c r="U33" s="527" t="s">
        <v>1081</v>
      </c>
      <c r="V33" s="558" t="s">
        <v>1082</v>
      </c>
      <c r="W33" s="558" t="s">
        <v>1083</v>
      </c>
      <c r="X33" s="527" t="s">
        <v>1084</v>
      </c>
      <c r="Y33" s="527" t="s">
        <v>1085</v>
      </c>
      <c r="Z33" s="558" t="s">
        <v>1086</v>
      </c>
      <c r="AA33" s="558"/>
    </row>
    <row r="34" spans="1:59" ht="13.5" customHeight="1">
      <c r="A34" s="553">
        <v>3</v>
      </c>
      <c r="B34" s="554" t="s">
        <v>1087</v>
      </c>
      <c r="C34" s="535" t="s">
        <v>1088</v>
      </c>
      <c r="D34" s="553">
        <v>5</v>
      </c>
      <c r="E34" s="553" t="s">
        <v>1089</v>
      </c>
      <c r="F34" s="443" t="s">
        <v>1090</v>
      </c>
      <c r="G34" s="443" t="s">
        <v>1091</v>
      </c>
      <c r="H34" s="443" t="s">
        <v>1092</v>
      </c>
      <c r="I34" s="443" t="s">
        <v>1093</v>
      </c>
      <c r="J34" s="443" t="s">
        <v>1094</v>
      </c>
      <c r="K34" s="443" t="s">
        <v>1095</v>
      </c>
      <c r="L34" s="443" t="s">
        <v>1096</v>
      </c>
      <c r="M34" s="555" t="s">
        <v>1097</v>
      </c>
      <c r="N34" s="555" t="s">
        <v>1098</v>
      </c>
      <c r="O34" s="555" t="s">
        <v>1075</v>
      </c>
      <c r="P34" s="556" t="s">
        <v>1099</v>
      </c>
      <c r="Q34" s="557" t="s">
        <v>1100</v>
      </c>
      <c r="R34" s="553"/>
      <c r="S34" s="527" t="s">
        <v>1101</v>
      </c>
      <c r="T34" s="527" t="s">
        <v>1102</v>
      </c>
      <c r="U34" s="527" t="s">
        <v>1103</v>
      </c>
      <c r="V34" s="558" t="s">
        <v>1104</v>
      </c>
      <c r="W34" s="558" t="s">
        <v>1105</v>
      </c>
      <c r="X34" s="527" t="s">
        <v>1106</v>
      </c>
      <c r="Y34" s="527" t="s">
        <v>1107</v>
      </c>
      <c r="Z34" s="558" t="s">
        <v>1108</v>
      </c>
      <c r="AA34" s="558"/>
    </row>
    <row r="35" spans="1:59" ht="13.5" customHeight="1">
      <c r="A35" s="553">
        <v>4</v>
      </c>
      <c r="B35" s="554" t="s">
        <v>1109</v>
      </c>
      <c r="C35" s="535" t="s">
        <v>1110</v>
      </c>
      <c r="D35" s="553">
        <v>10</v>
      </c>
      <c r="E35" s="553" t="s">
        <v>1111</v>
      </c>
      <c r="F35" s="443" t="s">
        <v>1112</v>
      </c>
      <c r="G35" s="443" t="s">
        <v>1113</v>
      </c>
      <c r="H35" s="443" t="s">
        <v>1114</v>
      </c>
      <c r="I35" s="443" t="s">
        <v>1115</v>
      </c>
      <c r="J35" s="443" t="s">
        <v>1116</v>
      </c>
      <c r="K35" s="443" t="s">
        <v>1114</v>
      </c>
      <c r="L35" s="443" t="s">
        <v>1116</v>
      </c>
      <c r="M35" s="555" t="s">
        <v>1117</v>
      </c>
      <c r="N35" s="555" t="s">
        <v>1118</v>
      </c>
      <c r="O35" s="555" t="s">
        <v>1119</v>
      </c>
      <c r="P35" s="556" t="s">
        <v>1118</v>
      </c>
      <c r="Q35" s="556" t="s">
        <v>1120</v>
      </c>
      <c r="R35" s="553"/>
      <c r="S35" s="527" t="s">
        <v>1121</v>
      </c>
      <c r="T35" s="527" t="s">
        <v>1122</v>
      </c>
      <c r="U35" s="527" t="s">
        <v>1123</v>
      </c>
      <c r="V35" s="559" t="s">
        <v>1124</v>
      </c>
      <c r="W35" s="558" t="s">
        <v>1125</v>
      </c>
      <c r="X35" s="527" t="s">
        <v>1126</v>
      </c>
      <c r="Y35" s="527" t="s">
        <v>1127</v>
      </c>
      <c r="Z35" s="558" t="s">
        <v>1128</v>
      </c>
      <c r="AA35" s="558"/>
    </row>
    <row r="36" spans="1:59" ht="13.5" customHeight="1">
      <c r="A36" s="553">
        <v>5</v>
      </c>
      <c r="B36" s="554" t="s">
        <v>1129</v>
      </c>
      <c r="C36" s="535" t="s">
        <v>1130</v>
      </c>
      <c r="D36" s="553">
        <v>3</v>
      </c>
      <c r="E36" s="553" t="s">
        <v>1131</v>
      </c>
      <c r="F36" s="443" t="s">
        <v>1132</v>
      </c>
      <c r="G36" s="443" t="s">
        <v>1133</v>
      </c>
      <c r="H36" s="443" t="s">
        <v>1134</v>
      </c>
      <c r="I36" s="443" t="s">
        <v>1135</v>
      </c>
      <c r="J36" s="443" t="s">
        <v>1136</v>
      </c>
      <c r="K36" s="443" t="s">
        <v>1137</v>
      </c>
      <c r="L36" s="443" t="s">
        <v>1138</v>
      </c>
      <c r="M36" s="555" t="s">
        <v>1139</v>
      </c>
      <c r="N36" s="555" t="s">
        <v>1140</v>
      </c>
      <c r="O36" s="555" t="s">
        <v>1141</v>
      </c>
      <c r="P36" s="556" t="s">
        <v>1142</v>
      </c>
      <c r="Q36" s="557" t="s">
        <v>1143</v>
      </c>
      <c r="R36" s="553"/>
      <c r="S36" s="527" t="s">
        <v>1056</v>
      </c>
      <c r="T36" s="527" t="s">
        <v>1144</v>
      </c>
      <c r="U36" s="527" t="s">
        <v>1145</v>
      </c>
      <c r="V36" s="559" t="s">
        <v>1146</v>
      </c>
      <c r="W36" s="527" t="s">
        <v>1147</v>
      </c>
      <c r="X36" s="559" t="s">
        <v>1148</v>
      </c>
      <c r="Y36" s="527" t="s">
        <v>1149</v>
      </c>
      <c r="Z36" s="558" t="s">
        <v>1150</v>
      </c>
      <c r="AA36" s="558"/>
    </row>
    <row r="37" spans="1:59" ht="13.5" customHeight="1">
      <c r="A37" s="553">
        <v>6</v>
      </c>
      <c r="B37" s="554" t="s">
        <v>1151</v>
      </c>
      <c r="C37" s="535" t="s">
        <v>1152</v>
      </c>
      <c r="D37" s="553">
        <v>6</v>
      </c>
      <c r="E37" s="553" t="s">
        <v>1153</v>
      </c>
      <c r="F37" s="443" t="s">
        <v>1154</v>
      </c>
      <c r="G37" s="443" t="s">
        <v>1155</v>
      </c>
      <c r="H37" s="443" t="s">
        <v>1156</v>
      </c>
      <c r="I37" s="443" t="s">
        <v>1157</v>
      </c>
      <c r="J37" s="443" t="s">
        <v>1158</v>
      </c>
      <c r="K37" s="443" t="s">
        <v>1157</v>
      </c>
      <c r="L37" s="443" t="s">
        <v>1159</v>
      </c>
      <c r="M37" s="555" t="s">
        <v>1160</v>
      </c>
      <c r="N37" s="555" t="s">
        <v>1161</v>
      </c>
      <c r="O37" s="555" t="s">
        <v>1162</v>
      </c>
      <c r="P37" s="556" t="s">
        <v>1163</v>
      </c>
      <c r="Q37" s="556" t="s">
        <v>1164</v>
      </c>
      <c r="R37" s="553" t="s">
        <v>1165</v>
      </c>
      <c r="S37" s="527" t="s">
        <v>1166</v>
      </c>
      <c r="T37" s="527" t="s">
        <v>1167</v>
      </c>
      <c r="U37" s="527" t="s">
        <v>1168</v>
      </c>
      <c r="V37" s="558" t="s">
        <v>1169</v>
      </c>
      <c r="W37" s="527" t="s">
        <v>1170</v>
      </c>
      <c r="X37" s="559" t="s">
        <v>1171</v>
      </c>
      <c r="Y37" s="527" t="s">
        <v>1172</v>
      </c>
      <c r="Z37" s="558" t="s">
        <v>1173</v>
      </c>
      <c r="AA37" s="558"/>
    </row>
    <row r="38" spans="1:59" ht="13.5" customHeight="1">
      <c r="A38" s="553">
        <v>7</v>
      </c>
      <c r="B38" s="554" t="s">
        <v>1174</v>
      </c>
      <c r="C38" s="535" t="s">
        <v>1175</v>
      </c>
      <c r="D38" s="553">
        <v>11</v>
      </c>
      <c r="E38" s="553" t="s">
        <v>1176</v>
      </c>
      <c r="F38" s="443" t="s">
        <v>1177</v>
      </c>
      <c r="G38" s="443" t="s">
        <v>1178</v>
      </c>
      <c r="H38" s="443" t="s">
        <v>1179</v>
      </c>
      <c r="I38" s="443" t="s">
        <v>1180</v>
      </c>
      <c r="J38" s="443" t="s">
        <v>1181</v>
      </c>
      <c r="K38" s="443" t="s">
        <v>1182</v>
      </c>
      <c r="L38" s="443" t="s">
        <v>1183</v>
      </c>
      <c r="M38" s="555" t="s">
        <v>1184</v>
      </c>
      <c r="N38" s="555" t="s">
        <v>1185</v>
      </c>
      <c r="O38" s="555" t="s">
        <v>1186</v>
      </c>
      <c r="P38" s="556" t="s">
        <v>1187</v>
      </c>
      <c r="Q38" s="557" t="s">
        <v>1078</v>
      </c>
      <c r="R38" s="553"/>
      <c r="S38" s="527" t="s">
        <v>1188</v>
      </c>
      <c r="T38" s="527" t="s">
        <v>1189</v>
      </c>
      <c r="U38" s="527" t="s">
        <v>1190</v>
      </c>
      <c r="V38" s="558" t="s">
        <v>1191</v>
      </c>
      <c r="W38" s="527" t="s">
        <v>1192</v>
      </c>
      <c r="X38" s="527" t="s">
        <v>1193</v>
      </c>
      <c r="Y38" s="527" t="s">
        <v>1194</v>
      </c>
      <c r="Z38" s="558" t="s">
        <v>1195</v>
      </c>
      <c r="AA38" s="558"/>
    </row>
    <row r="39" spans="1:59" ht="13.5" customHeight="1">
      <c r="A39" s="553">
        <v>8</v>
      </c>
      <c r="B39" s="554" t="s">
        <v>1196</v>
      </c>
      <c r="C39" s="535" t="s">
        <v>1197</v>
      </c>
      <c r="D39" s="553">
        <v>8</v>
      </c>
      <c r="E39" s="553" t="s">
        <v>1153</v>
      </c>
      <c r="F39" s="443" t="s">
        <v>1198</v>
      </c>
      <c r="G39" s="443" t="s">
        <v>1199</v>
      </c>
      <c r="H39" s="443" t="s">
        <v>1200</v>
      </c>
      <c r="I39" s="443" t="s">
        <v>1201</v>
      </c>
      <c r="J39" s="443" t="s">
        <v>1202</v>
      </c>
      <c r="K39" s="443" t="s">
        <v>1203</v>
      </c>
      <c r="L39" s="443" t="s">
        <v>1204</v>
      </c>
      <c r="M39" s="555" t="s">
        <v>1205</v>
      </c>
      <c r="N39" s="555" t="s">
        <v>1206</v>
      </c>
      <c r="O39" s="555" t="s">
        <v>1207</v>
      </c>
      <c r="P39" s="556" t="s">
        <v>1208</v>
      </c>
      <c r="Q39" s="556" t="s">
        <v>1055</v>
      </c>
      <c r="R39" s="553"/>
      <c r="S39" s="527" t="s">
        <v>1121</v>
      </c>
      <c r="T39" s="527" t="s">
        <v>1209</v>
      </c>
      <c r="U39" s="527" t="s">
        <v>1210</v>
      </c>
      <c r="V39" s="558" t="s">
        <v>1211</v>
      </c>
      <c r="W39" s="558"/>
      <c r="Z39" s="558" t="s">
        <v>1212</v>
      </c>
      <c r="AA39" s="558"/>
    </row>
    <row r="40" spans="1:59" ht="13.5" customHeight="1">
      <c r="A40" s="553">
        <v>9</v>
      </c>
      <c r="B40" s="554" t="s">
        <v>1213</v>
      </c>
      <c r="C40" s="535" t="s">
        <v>1214</v>
      </c>
      <c r="D40" s="553">
        <v>4</v>
      </c>
      <c r="E40" s="553" t="s">
        <v>1131</v>
      </c>
      <c r="F40" s="443" t="s">
        <v>1215</v>
      </c>
      <c r="G40" s="443" t="s">
        <v>1216</v>
      </c>
      <c r="H40" s="443" t="s">
        <v>1217</v>
      </c>
      <c r="I40" s="560" t="s">
        <v>1218</v>
      </c>
      <c r="J40" s="443" t="s">
        <v>1219</v>
      </c>
      <c r="K40" s="443" t="s">
        <v>1220</v>
      </c>
      <c r="L40" s="443" t="s">
        <v>1221</v>
      </c>
      <c r="M40" s="555" t="s">
        <v>1222</v>
      </c>
      <c r="N40" s="555" t="s">
        <v>1223</v>
      </c>
      <c r="O40" s="555"/>
      <c r="P40" s="556" t="s">
        <v>1223</v>
      </c>
      <c r="Q40" s="556" t="s">
        <v>1224</v>
      </c>
      <c r="R40" s="553"/>
      <c r="S40" s="527" t="s">
        <v>1056</v>
      </c>
      <c r="T40" s="527" t="s">
        <v>1225</v>
      </c>
      <c r="U40" s="527" t="s">
        <v>1226</v>
      </c>
      <c r="V40" s="558" t="s">
        <v>1227</v>
      </c>
      <c r="W40" s="558"/>
      <c r="Z40" s="558" t="s">
        <v>1228</v>
      </c>
      <c r="AA40" s="558"/>
    </row>
    <row r="41" spans="1:59" ht="13.5" customHeight="1">
      <c r="A41" s="553">
        <v>10</v>
      </c>
      <c r="B41" s="554" t="s">
        <v>1229</v>
      </c>
      <c r="C41" s="535" t="s">
        <v>1230</v>
      </c>
      <c r="D41" s="553">
        <v>12</v>
      </c>
      <c r="E41" s="553" t="s">
        <v>1111</v>
      </c>
      <c r="F41" s="443" t="s">
        <v>1231</v>
      </c>
      <c r="G41" s="443" t="s">
        <v>1232</v>
      </c>
      <c r="H41" s="443" t="s">
        <v>1233</v>
      </c>
      <c r="I41" s="443" t="s">
        <v>1234</v>
      </c>
      <c r="J41" s="443" t="s">
        <v>1235</v>
      </c>
      <c r="K41" s="443" t="s">
        <v>1236</v>
      </c>
      <c r="L41" s="443" t="s">
        <v>1235</v>
      </c>
      <c r="M41" s="555" t="s">
        <v>1237</v>
      </c>
      <c r="N41" s="555" t="s">
        <v>1238</v>
      </c>
      <c r="O41" s="555"/>
      <c r="P41" s="556" t="s">
        <v>1239</v>
      </c>
      <c r="Q41" s="556" t="s">
        <v>1240</v>
      </c>
      <c r="R41" s="553"/>
      <c r="S41" s="527" t="s">
        <v>1241</v>
      </c>
      <c r="T41" s="527" t="s">
        <v>1242</v>
      </c>
      <c r="U41" s="527" t="s">
        <v>1243</v>
      </c>
      <c r="V41" s="558" t="s">
        <v>1244</v>
      </c>
      <c r="W41" s="558"/>
      <c r="Z41" s="558" t="s">
        <v>1245</v>
      </c>
      <c r="AA41" s="558"/>
    </row>
    <row r="42" spans="1:59" ht="13.5" customHeight="1">
      <c r="A42" s="553">
        <v>11</v>
      </c>
      <c r="B42" s="554" t="s">
        <v>1246</v>
      </c>
      <c r="C42" s="535" t="s">
        <v>1247</v>
      </c>
      <c r="D42" s="553">
        <v>7</v>
      </c>
      <c r="E42" s="553" t="s">
        <v>1089</v>
      </c>
      <c r="F42" s="443" t="s">
        <v>1248</v>
      </c>
      <c r="G42" s="443" t="s">
        <v>1249</v>
      </c>
      <c r="H42" s="443" t="s">
        <v>1250</v>
      </c>
      <c r="I42" s="443" t="s">
        <v>1251</v>
      </c>
      <c r="J42" s="443" t="s">
        <v>1252</v>
      </c>
      <c r="K42" s="443" t="s">
        <v>1253</v>
      </c>
      <c r="L42" s="443" t="s">
        <v>1254</v>
      </c>
      <c r="M42" s="555" t="s">
        <v>1255</v>
      </c>
      <c r="N42" s="555" t="s">
        <v>1256</v>
      </c>
      <c r="O42" s="555"/>
      <c r="P42" s="556" t="s">
        <v>1256</v>
      </c>
      <c r="Q42" s="557" t="s">
        <v>1100</v>
      </c>
      <c r="R42" s="553"/>
      <c r="S42" s="527" t="s">
        <v>1257</v>
      </c>
      <c r="T42" s="527" t="s">
        <v>1258</v>
      </c>
      <c r="U42" s="527" t="s">
        <v>1259</v>
      </c>
      <c r="V42" s="558" t="s">
        <v>1260</v>
      </c>
      <c r="W42" s="558"/>
      <c r="Z42" s="558" t="s">
        <v>1261</v>
      </c>
      <c r="AA42" s="558"/>
    </row>
    <row r="43" spans="1:59" ht="13.5" customHeight="1">
      <c r="A43" s="553">
        <v>12</v>
      </c>
      <c r="B43" s="554" t="s">
        <v>1262</v>
      </c>
      <c r="C43" s="535" t="s">
        <v>1263</v>
      </c>
      <c r="D43" s="553">
        <v>2</v>
      </c>
      <c r="E43" s="553" t="s">
        <v>1066</v>
      </c>
      <c r="F43" s="443" t="s">
        <v>1264</v>
      </c>
      <c r="G43" s="443" t="s">
        <v>1265</v>
      </c>
      <c r="H43" s="443" t="s">
        <v>1266</v>
      </c>
      <c r="I43" s="443" t="s">
        <v>1267</v>
      </c>
      <c r="J43" s="443" t="s">
        <v>1268</v>
      </c>
      <c r="K43" s="443" t="s">
        <v>1269</v>
      </c>
      <c r="L43" s="443" t="s">
        <v>1270</v>
      </c>
      <c r="M43" s="561" t="s">
        <v>1271</v>
      </c>
      <c r="N43" s="561" t="s">
        <v>1272</v>
      </c>
      <c r="O43" s="561"/>
      <c r="P43" s="562" t="s">
        <v>1272</v>
      </c>
      <c r="Q43" s="562" t="s">
        <v>1273</v>
      </c>
      <c r="R43" s="553"/>
      <c r="S43" s="527" t="s">
        <v>1121</v>
      </c>
      <c r="T43" s="527" t="s">
        <v>1274</v>
      </c>
      <c r="U43" s="527" t="s">
        <v>1275</v>
      </c>
      <c r="V43" s="558" t="s">
        <v>1276</v>
      </c>
      <c r="W43" s="558"/>
      <c r="Z43" s="558" t="s">
        <v>1277</v>
      </c>
      <c r="AA43" s="558"/>
    </row>
    <row r="44" spans="1:59" ht="13.5" customHeight="1">
      <c r="B44" s="551"/>
      <c r="C44" s="535"/>
      <c r="E44" s="527"/>
      <c r="F44"/>
      <c r="G44"/>
      <c r="H44"/>
      <c r="I44"/>
      <c r="J44"/>
      <c r="V44" s="558"/>
      <c r="W44" s="558"/>
      <c r="Z44" s="558"/>
      <c r="AA44" s="558"/>
    </row>
    <row r="45" spans="1:59">
      <c r="B45" s="551"/>
      <c r="C45" s="535"/>
      <c r="E45" s="552"/>
    </row>
    <row r="46" spans="1:59" s="545" customFormat="1" ht="24">
      <c r="A46" s="545" t="s">
        <v>1278</v>
      </c>
      <c r="E46" s="531" t="s">
        <v>1279</v>
      </c>
      <c r="F46" s="563">
        <f>360/27</f>
        <v>13.333333333333334</v>
      </c>
      <c r="G46" s="545" t="s">
        <v>1280</v>
      </c>
      <c r="Z46" s="547"/>
      <c r="AA46" s="547"/>
      <c r="AH46" s="1348" t="s">
        <v>1281</v>
      </c>
      <c r="AI46" s="1348"/>
      <c r="AQ46" s="564"/>
      <c r="AR46" s="564"/>
      <c r="BF46" s="548" t="s">
        <v>1282</v>
      </c>
      <c r="BG46" s="548"/>
    </row>
    <row r="47" spans="1:59" s="570" customFormat="1" ht="17.100000000000001" customHeight="1">
      <c r="A47" s="565" t="s">
        <v>1283</v>
      </c>
      <c r="B47" s="566" t="s">
        <v>386</v>
      </c>
      <c r="C47" s="566" t="s">
        <v>1284</v>
      </c>
      <c r="D47" s="566" t="s">
        <v>882</v>
      </c>
      <c r="E47" s="566" t="s">
        <v>1285</v>
      </c>
      <c r="F47" s="566" t="s">
        <v>1286</v>
      </c>
      <c r="G47" s="566" t="s">
        <v>1287</v>
      </c>
      <c r="H47" s="566" t="s">
        <v>1288</v>
      </c>
      <c r="I47" s="566" t="s">
        <v>1289</v>
      </c>
      <c r="J47" s="566" t="s">
        <v>1290</v>
      </c>
      <c r="K47" s="566" t="s">
        <v>1291</v>
      </c>
      <c r="L47" s="566" t="s">
        <v>879</v>
      </c>
      <c r="M47" s="566" t="s">
        <v>1292</v>
      </c>
      <c r="N47" s="566" t="s">
        <v>1293</v>
      </c>
      <c r="O47" s="566" t="s">
        <v>1294</v>
      </c>
      <c r="P47" s="566" t="s">
        <v>1295</v>
      </c>
      <c r="Q47" s="566" t="s">
        <v>1296</v>
      </c>
      <c r="R47" s="566" t="s">
        <v>1297</v>
      </c>
      <c r="S47" s="566" t="s">
        <v>1298</v>
      </c>
      <c r="T47" s="566" t="s">
        <v>1299</v>
      </c>
      <c r="U47" s="566" t="s">
        <v>730</v>
      </c>
      <c r="V47" s="566" t="s">
        <v>805</v>
      </c>
      <c r="W47" s="566" t="s">
        <v>1300</v>
      </c>
      <c r="X47" s="566" t="s">
        <v>1301</v>
      </c>
      <c r="Y47" s="567" t="s">
        <v>1302</v>
      </c>
      <c r="Z47" s="566" t="s">
        <v>1303</v>
      </c>
      <c r="AA47" s="566" t="s">
        <v>1304</v>
      </c>
      <c r="AB47" s="566" t="s">
        <v>1305</v>
      </c>
      <c r="AC47" s="566" t="s">
        <v>1306</v>
      </c>
      <c r="AD47" s="566" t="s">
        <v>1307</v>
      </c>
      <c r="AE47" s="566" t="s">
        <v>1308</v>
      </c>
      <c r="AF47" s="566" t="s">
        <v>807</v>
      </c>
      <c r="AG47" s="566" t="s">
        <v>1309</v>
      </c>
      <c r="AH47" s="566" t="s">
        <v>1310</v>
      </c>
      <c r="AI47" s="566" t="s">
        <v>1280</v>
      </c>
      <c r="AJ47" s="568" t="s">
        <v>1311</v>
      </c>
      <c r="AK47" s="566" t="s">
        <v>1312</v>
      </c>
      <c r="AL47" s="566" t="s">
        <v>1313</v>
      </c>
      <c r="AM47" s="566" t="s">
        <v>1314</v>
      </c>
      <c r="AN47" s="566" t="s">
        <v>1315</v>
      </c>
      <c r="AO47" s="566" t="s">
        <v>1316</v>
      </c>
      <c r="AP47" s="566" t="s">
        <v>1317</v>
      </c>
      <c r="AQ47" s="566" t="s">
        <v>1318</v>
      </c>
      <c r="AR47" s="566" t="s">
        <v>1319</v>
      </c>
      <c r="AS47" s="566" t="s">
        <v>1320</v>
      </c>
      <c r="AT47" s="566" t="s">
        <v>1321</v>
      </c>
      <c r="AU47" s="566" t="s">
        <v>1322</v>
      </c>
      <c r="AV47" s="566" t="s">
        <v>718</v>
      </c>
      <c r="AW47" s="566" t="s">
        <v>224</v>
      </c>
      <c r="AX47" s="566" t="s">
        <v>1323</v>
      </c>
      <c r="AY47" s="566" t="s">
        <v>1324</v>
      </c>
      <c r="AZ47" s="566" t="s">
        <v>1325</v>
      </c>
      <c r="BA47" s="566" t="s">
        <v>1326</v>
      </c>
      <c r="BB47" s="566" t="s">
        <v>1327</v>
      </c>
      <c r="BC47" s="566" t="s">
        <v>1328</v>
      </c>
      <c r="BD47" s="569" t="s">
        <v>1329</v>
      </c>
      <c r="BE47" s="570" t="s">
        <v>1330</v>
      </c>
      <c r="BF47" s="571" t="s">
        <v>1331</v>
      </c>
      <c r="BG47" s="572" t="s">
        <v>1332</v>
      </c>
    </row>
    <row r="48" spans="1:59" ht="17.100000000000001" customHeight="1">
      <c r="A48" s="573">
        <v>1</v>
      </c>
      <c r="B48" s="527" t="s">
        <v>602</v>
      </c>
      <c r="C48" s="527" t="s">
        <v>1333</v>
      </c>
      <c r="D48" s="527" t="s">
        <v>166</v>
      </c>
      <c r="E48" s="527" t="s">
        <v>1334</v>
      </c>
      <c r="F48" s="574" t="s">
        <v>1335</v>
      </c>
      <c r="G48" s="575" t="s">
        <v>897</v>
      </c>
      <c r="H48" s="576" t="s">
        <v>1336</v>
      </c>
      <c r="I48" s="576" t="s">
        <v>1337</v>
      </c>
      <c r="J48" s="527" t="s">
        <v>1338</v>
      </c>
      <c r="K48" s="527" t="s">
        <v>1339</v>
      </c>
      <c r="L48" s="527" t="s">
        <v>1340</v>
      </c>
      <c r="M48" s="527" t="s">
        <v>1341</v>
      </c>
      <c r="N48" s="527" t="s">
        <v>1341</v>
      </c>
      <c r="O48" s="577" t="s">
        <v>1342</v>
      </c>
      <c r="P48" s="577" t="s">
        <v>1343</v>
      </c>
      <c r="Q48" s="577" t="s">
        <v>1344</v>
      </c>
      <c r="R48" s="577" t="s">
        <v>1345</v>
      </c>
      <c r="S48" s="527" t="s">
        <v>1346</v>
      </c>
      <c r="T48" s="527" t="s">
        <v>1347</v>
      </c>
      <c r="U48" s="536">
        <f>0</f>
        <v>0</v>
      </c>
      <c r="V48" s="536">
        <f>U48+StarDeg</f>
        <v>13.333333333333334</v>
      </c>
      <c r="W48" s="577" t="s">
        <v>1348</v>
      </c>
      <c r="X48" s="578" t="s">
        <v>1349</v>
      </c>
      <c r="Y48" s="579" t="s">
        <v>1350</v>
      </c>
      <c r="Z48" s="527" t="s">
        <v>1351</v>
      </c>
      <c r="AA48" s="529" t="s">
        <v>1351</v>
      </c>
      <c r="AB48" s="527" t="s">
        <v>1352</v>
      </c>
      <c r="AC48" s="527" t="s">
        <v>1353</v>
      </c>
      <c r="AD48" s="527" t="s">
        <v>1353</v>
      </c>
      <c r="AE48" s="527" t="str">
        <f t="shared" ref="AE48:AE68" si="3">INDEX(PanchangaYoga,MOD(26+A48-7,27)+1,2)</f>
        <v>Siddha</v>
      </c>
      <c r="AF48" s="527" t="s">
        <v>826</v>
      </c>
      <c r="AG48" s="527" t="s">
        <v>1354</v>
      </c>
      <c r="AH48" s="580">
        <v>8.1018518518518505E-4</v>
      </c>
      <c r="AI48" s="580">
        <f t="shared" ref="AI48:AI68" si="4">AH48*360</f>
        <v>0.29166666666666663</v>
      </c>
      <c r="AJ48" s="581" t="s">
        <v>1355</v>
      </c>
      <c r="AK48" s="559" t="s">
        <v>1356</v>
      </c>
      <c r="AL48" s="527" t="s">
        <v>1357</v>
      </c>
      <c r="AM48" s="527" t="s">
        <v>1358</v>
      </c>
      <c r="AN48" s="527" t="s">
        <v>1320</v>
      </c>
      <c r="AO48" s="527" t="s">
        <v>1359</v>
      </c>
      <c r="AP48" s="527" t="s">
        <v>1360</v>
      </c>
      <c r="AQ48" s="527">
        <v>50</v>
      </c>
      <c r="AR48" s="527">
        <v>42</v>
      </c>
      <c r="AS48" s="527">
        <v>8</v>
      </c>
      <c r="AT48" s="527">
        <v>74</v>
      </c>
      <c r="AU48" s="527">
        <v>15</v>
      </c>
      <c r="AV48" s="527" t="s">
        <v>718</v>
      </c>
      <c r="AW48" s="527" t="s">
        <v>1361</v>
      </c>
      <c r="AX48" s="527" t="s">
        <v>1165</v>
      </c>
      <c r="AY48" s="527" t="s">
        <v>1362</v>
      </c>
      <c r="AZ48" s="527" t="s">
        <v>1363</v>
      </c>
      <c r="BA48" s="527" t="s">
        <v>1364</v>
      </c>
      <c r="BB48" s="527" t="s">
        <v>1365</v>
      </c>
      <c r="BC48" s="527" t="s">
        <v>1366</v>
      </c>
      <c r="BD48" s="558" t="str">
        <f>B64</f>
        <v>Anuradha</v>
      </c>
      <c r="BE48" s="528" t="s">
        <v>1367</v>
      </c>
      <c r="BF48" s="582" t="s">
        <v>1368</v>
      </c>
      <c r="BG48" s="582" t="s">
        <v>1369</v>
      </c>
    </row>
    <row r="49" spans="1:59" ht="17.100000000000001" customHeight="1">
      <c r="A49" s="573">
        <v>2</v>
      </c>
      <c r="B49" s="527" t="s">
        <v>639</v>
      </c>
      <c r="C49" s="577" t="s">
        <v>1370</v>
      </c>
      <c r="D49" s="527" t="s">
        <v>163</v>
      </c>
      <c r="E49" s="527" t="s">
        <v>1334</v>
      </c>
      <c r="F49" s="583" t="s">
        <v>1335</v>
      </c>
      <c r="G49" s="584" t="s">
        <v>1371</v>
      </c>
      <c r="H49" s="584" t="s">
        <v>1372</v>
      </c>
      <c r="I49" s="584" t="s">
        <v>1373</v>
      </c>
      <c r="J49" s="527" t="s">
        <v>1374</v>
      </c>
      <c r="K49" s="527" t="s">
        <v>1375</v>
      </c>
      <c r="L49" s="527" t="s">
        <v>1376</v>
      </c>
      <c r="M49" s="527" t="s">
        <v>889</v>
      </c>
      <c r="N49" s="527" t="s">
        <v>1377</v>
      </c>
      <c r="O49" s="527" t="s">
        <v>1378</v>
      </c>
      <c r="P49" s="527" t="s">
        <v>1377</v>
      </c>
      <c r="Q49" s="527" t="s">
        <v>1379</v>
      </c>
      <c r="R49" s="527" t="s">
        <v>1380</v>
      </c>
      <c r="S49" s="527" t="s">
        <v>1381</v>
      </c>
      <c r="T49" s="527" t="s">
        <v>1382</v>
      </c>
      <c r="U49" s="536">
        <f t="shared" ref="U49:U68" si="5">U48+StarDeg</f>
        <v>13.333333333333334</v>
      </c>
      <c r="V49" s="536">
        <f t="shared" ref="V49:V68" si="6">V48+StarDeg</f>
        <v>26.666666666666668</v>
      </c>
      <c r="W49" s="577" t="s">
        <v>1383</v>
      </c>
      <c r="X49" s="578" t="s">
        <v>1384</v>
      </c>
      <c r="Y49" s="579" t="s">
        <v>1385</v>
      </c>
      <c r="Z49" s="527" t="s">
        <v>1352</v>
      </c>
      <c r="AA49" s="529" t="s">
        <v>1352</v>
      </c>
      <c r="AB49" s="527" t="s">
        <v>1351</v>
      </c>
      <c r="AC49" s="527" t="s">
        <v>1351</v>
      </c>
      <c r="AD49" s="527" t="s">
        <v>1352</v>
      </c>
      <c r="AE49" s="527" t="str">
        <f t="shared" si="3"/>
        <v>Sādhya</v>
      </c>
      <c r="AF49" s="527" t="s">
        <v>826</v>
      </c>
      <c r="AG49" s="527" t="s">
        <v>1386</v>
      </c>
      <c r="AH49" s="580">
        <v>2.3148148148148099E-3</v>
      </c>
      <c r="AI49" s="580">
        <f t="shared" si="4"/>
        <v>0.83333333333333159</v>
      </c>
      <c r="AJ49" s="581" t="s">
        <v>1387</v>
      </c>
      <c r="AK49" s="559" t="s">
        <v>1356</v>
      </c>
      <c r="AL49" s="527" t="s">
        <v>1357</v>
      </c>
      <c r="AM49" s="527" t="s">
        <v>1388</v>
      </c>
      <c r="AN49" s="527" t="s">
        <v>1389</v>
      </c>
      <c r="AO49" s="527" t="s">
        <v>1359</v>
      </c>
      <c r="AP49" s="527" t="s">
        <v>1390</v>
      </c>
      <c r="AQ49" s="527">
        <v>24</v>
      </c>
      <c r="AR49" s="527">
        <v>48</v>
      </c>
      <c r="AS49" s="527">
        <v>4</v>
      </c>
      <c r="AT49" s="527">
        <v>55</v>
      </c>
      <c r="AU49" s="527">
        <v>60</v>
      </c>
      <c r="AV49" s="527" t="s">
        <v>718</v>
      </c>
      <c r="AW49" s="527" t="s">
        <v>1391</v>
      </c>
      <c r="AX49" s="527" t="s">
        <v>1392</v>
      </c>
      <c r="AY49" s="527" t="s">
        <v>1393</v>
      </c>
      <c r="AZ49" s="527" t="s">
        <v>1394</v>
      </c>
      <c r="BA49" s="527" t="s">
        <v>1395</v>
      </c>
      <c r="BB49" s="527" t="s">
        <v>1396</v>
      </c>
      <c r="BC49" s="527" t="s">
        <v>1397</v>
      </c>
      <c r="BD49" s="558" t="str">
        <f>B65</f>
        <v>Jyeshtha</v>
      </c>
      <c r="BF49" s="582" t="s">
        <v>1398</v>
      </c>
      <c r="BG49" s="582" t="s">
        <v>1399</v>
      </c>
    </row>
    <row r="50" spans="1:59" ht="17.100000000000001" customHeight="1">
      <c r="A50" s="573">
        <v>3</v>
      </c>
      <c r="B50" s="527" t="s">
        <v>553</v>
      </c>
      <c r="C50" s="577" t="s">
        <v>1400</v>
      </c>
      <c r="D50" s="527" t="s">
        <v>158</v>
      </c>
      <c r="E50" s="527" t="s">
        <v>1401</v>
      </c>
      <c r="F50" s="583" t="s">
        <v>1335</v>
      </c>
      <c r="G50" s="584" t="s">
        <v>1402</v>
      </c>
      <c r="H50" s="584" t="s">
        <v>1403</v>
      </c>
      <c r="I50" s="584" t="s">
        <v>1373</v>
      </c>
      <c r="J50" s="527" t="s">
        <v>1374</v>
      </c>
      <c r="K50" s="527" t="s">
        <v>1404</v>
      </c>
      <c r="L50" s="527" t="s">
        <v>1405</v>
      </c>
      <c r="M50" s="527" t="s">
        <v>1406</v>
      </c>
      <c r="N50" s="527" t="s">
        <v>1407</v>
      </c>
      <c r="O50" s="527" t="s">
        <v>1378</v>
      </c>
      <c r="P50" s="527" t="s">
        <v>1408</v>
      </c>
      <c r="Q50" s="527" t="s">
        <v>1409</v>
      </c>
      <c r="R50" s="527" t="s">
        <v>1410</v>
      </c>
      <c r="S50" s="527" t="s">
        <v>1411</v>
      </c>
      <c r="T50" s="527" t="s">
        <v>1412</v>
      </c>
      <c r="U50" s="536">
        <f t="shared" si="5"/>
        <v>26.666666666666668</v>
      </c>
      <c r="V50" s="536">
        <f t="shared" si="6"/>
        <v>40</v>
      </c>
      <c r="W50" s="577" t="s">
        <v>1413</v>
      </c>
      <c r="X50" s="578" t="s">
        <v>1414</v>
      </c>
      <c r="Y50" s="579" t="s">
        <v>1415</v>
      </c>
      <c r="Z50" s="527" t="s">
        <v>1416</v>
      </c>
      <c r="AA50" s="529" t="s">
        <v>1353</v>
      </c>
      <c r="AB50" s="527" t="s">
        <v>1353</v>
      </c>
      <c r="AC50" s="527" t="s">
        <v>1352</v>
      </c>
      <c r="AD50" s="527" t="s">
        <v>1351</v>
      </c>
      <c r="AE50" s="527" t="str">
        <f t="shared" si="3"/>
        <v>Shubha</v>
      </c>
      <c r="AF50" s="527" t="s">
        <v>826</v>
      </c>
      <c r="AG50" s="527" t="s">
        <v>1417</v>
      </c>
      <c r="AH50" s="580">
        <v>6.9444444444444404E-4</v>
      </c>
      <c r="AI50" s="580">
        <f t="shared" si="4"/>
        <v>0.24999999999999986</v>
      </c>
      <c r="AJ50" s="581" t="s">
        <v>1418</v>
      </c>
      <c r="AK50" s="559" t="s">
        <v>1356</v>
      </c>
      <c r="AL50" s="527" t="s">
        <v>1357</v>
      </c>
      <c r="AM50" s="527" t="s">
        <v>1419</v>
      </c>
      <c r="AN50" s="527" t="s">
        <v>1420</v>
      </c>
      <c r="AO50" s="527" t="s">
        <v>1359</v>
      </c>
      <c r="AP50" s="559" t="s">
        <v>1421</v>
      </c>
      <c r="AQ50" s="527">
        <v>30</v>
      </c>
      <c r="AR50" s="527">
        <v>54</v>
      </c>
      <c r="AS50" s="527">
        <v>12</v>
      </c>
      <c r="AT50" s="527">
        <v>21</v>
      </c>
      <c r="AU50" s="527">
        <v>30</v>
      </c>
      <c r="AV50" s="527" t="s">
        <v>718</v>
      </c>
      <c r="AW50" s="527" t="s">
        <v>1422</v>
      </c>
      <c r="AX50" s="527" t="s">
        <v>1423</v>
      </c>
      <c r="AY50" s="527" t="s">
        <v>1424</v>
      </c>
      <c r="AZ50" s="527" t="s">
        <v>1425</v>
      </c>
      <c r="BA50" s="527" t="s">
        <v>1426</v>
      </c>
      <c r="BB50" s="527" t="s">
        <v>1427</v>
      </c>
      <c r="BC50" s="527" t="s">
        <v>1428</v>
      </c>
      <c r="BD50" s="558" t="str">
        <f>B66</f>
        <v>Mula</v>
      </c>
      <c r="BF50" s="585" t="s">
        <v>1429</v>
      </c>
      <c r="BG50" s="585" t="s">
        <v>1429</v>
      </c>
    </row>
    <row r="51" spans="1:59" ht="17.100000000000001" customHeight="1">
      <c r="A51" s="573">
        <v>4</v>
      </c>
      <c r="B51" s="527" t="s">
        <v>641</v>
      </c>
      <c r="C51" s="577"/>
      <c r="D51" s="527" t="s">
        <v>159</v>
      </c>
      <c r="E51" s="527" t="s">
        <v>1430</v>
      </c>
      <c r="F51" s="583" t="s">
        <v>1335</v>
      </c>
      <c r="G51" s="584" t="s">
        <v>1335</v>
      </c>
      <c r="H51" s="584" t="s">
        <v>1431</v>
      </c>
      <c r="I51" s="584" t="s">
        <v>1432</v>
      </c>
      <c r="J51" s="527" t="s">
        <v>1374</v>
      </c>
      <c r="K51" s="527" t="s">
        <v>1375</v>
      </c>
      <c r="L51" s="527" t="s">
        <v>1433</v>
      </c>
      <c r="M51" s="527" t="s">
        <v>1434</v>
      </c>
      <c r="O51" s="527" t="s">
        <v>1342</v>
      </c>
      <c r="P51" s="527" t="s">
        <v>1435</v>
      </c>
      <c r="Q51" s="527" t="s">
        <v>1436</v>
      </c>
      <c r="R51" s="527" t="s">
        <v>1437</v>
      </c>
      <c r="S51" s="527" t="s">
        <v>1346</v>
      </c>
      <c r="T51" s="527" t="s">
        <v>1438</v>
      </c>
      <c r="U51" s="536">
        <f t="shared" si="5"/>
        <v>40</v>
      </c>
      <c r="V51" s="536">
        <f t="shared" si="6"/>
        <v>53.333333333333336</v>
      </c>
      <c r="W51" s="577" t="s">
        <v>1439</v>
      </c>
      <c r="X51" s="578" t="s">
        <v>1440</v>
      </c>
      <c r="Y51" s="579" t="s">
        <v>1441</v>
      </c>
      <c r="Z51" s="527" t="s">
        <v>1416</v>
      </c>
      <c r="AA51" s="529" t="s">
        <v>1351</v>
      </c>
      <c r="AB51" s="527" t="s">
        <v>1352</v>
      </c>
      <c r="AC51" s="527" t="s">
        <v>1353</v>
      </c>
      <c r="AD51" s="527" t="s">
        <v>1353</v>
      </c>
      <c r="AE51" s="527" t="str">
        <f t="shared" si="3"/>
        <v>Shukla</v>
      </c>
      <c r="AF51" s="527" t="s">
        <v>826</v>
      </c>
      <c r="AG51" s="527" t="s">
        <v>1442</v>
      </c>
      <c r="AH51" s="580">
        <v>1.1574074074074099E-3</v>
      </c>
      <c r="AI51" s="580">
        <f t="shared" si="4"/>
        <v>0.41666666666666757</v>
      </c>
      <c r="AJ51" s="581" t="s">
        <v>1443</v>
      </c>
      <c r="AK51" s="559" t="s">
        <v>1356</v>
      </c>
      <c r="AL51" s="527" t="s">
        <v>1357</v>
      </c>
      <c r="AM51" s="527" t="s">
        <v>1444</v>
      </c>
      <c r="AN51" s="527" t="s">
        <v>1445</v>
      </c>
      <c r="AO51" s="527" t="s">
        <v>1446</v>
      </c>
      <c r="AP51" s="527" t="s">
        <v>1447</v>
      </c>
      <c r="AQ51" s="527">
        <v>40</v>
      </c>
      <c r="AR51" s="527">
        <v>52</v>
      </c>
      <c r="AS51" s="527">
        <v>2</v>
      </c>
      <c r="AT51" s="527">
        <v>7.5</v>
      </c>
      <c r="AU51" s="527">
        <v>15</v>
      </c>
      <c r="AV51" s="527" t="s">
        <v>700</v>
      </c>
      <c r="AW51" s="527" t="s">
        <v>1448</v>
      </c>
      <c r="AX51" s="527" t="s">
        <v>1449</v>
      </c>
      <c r="AY51" s="527" t="s">
        <v>1450</v>
      </c>
      <c r="AZ51" s="527" t="s">
        <v>1451</v>
      </c>
      <c r="BA51" s="527" t="s">
        <v>1452</v>
      </c>
      <c r="BB51" s="527" t="s">
        <v>1453</v>
      </c>
      <c r="BC51" s="527" t="s">
        <v>1454</v>
      </c>
      <c r="BD51" s="558" t="str">
        <f>B67</f>
        <v>Purva Ashadha</v>
      </c>
      <c r="BF51" s="582" t="s">
        <v>1455</v>
      </c>
      <c r="BG51" s="582" t="s">
        <v>1456</v>
      </c>
    </row>
    <row r="52" spans="1:59" ht="17.100000000000001" customHeight="1">
      <c r="A52" s="573">
        <v>5</v>
      </c>
      <c r="B52" s="527" t="s">
        <v>1457</v>
      </c>
      <c r="C52" s="527" t="s">
        <v>1458</v>
      </c>
      <c r="D52" s="527" t="s">
        <v>160</v>
      </c>
      <c r="E52" s="527" t="s">
        <v>1459</v>
      </c>
      <c r="F52" s="586" t="s">
        <v>1335</v>
      </c>
      <c r="G52" s="587" t="s">
        <v>1460</v>
      </c>
      <c r="H52" s="587" t="s">
        <v>1336</v>
      </c>
      <c r="I52" s="587" t="s">
        <v>1337</v>
      </c>
      <c r="J52" s="527" t="s">
        <v>1338</v>
      </c>
      <c r="K52" s="527" t="s">
        <v>1339</v>
      </c>
      <c r="L52" s="527" t="s">
        <v>1433</v>
      </c>
      <c r="M52" s="527" t="s">
        <v>1461</v>
      </c>
      <c r="N52" s="527" t="s">
        <v>1462</v>
      </c>
      <c r="O52" s="527" t="s">
        <v>1463</v>
      </c>
      <c r="P52" s="527" t="s">
        <v>1435</v>
      </c>
      <c r="Q52" s="527" t="s">
        <v>1464</v>
      </c>
      <c r="R52" s="559" t="s">
        <v>1465</v>
      </c>
      <c r="S52" s="527" t="s">
        <v>1381</v>
      </c>
      <c r="T52" s="527" t="s">
        <v>1466</v>
      </c>
      <c r="U52" s="536">
        <f t="shared" si="5"/>
        <v>53.333333333333336</v>
      </c>
      <c r="V52" s="536">
        <f t="shared" si="6"/>
        <v>66.666666666666671</v>
      </c>
      <c r="W52" s="577" t="s">
        <v>1467</v>
      </c>
      <c r="X52" s="578" t="s">
        <v>1468</v>
      </c>
      <c r="Y52" s="579" t="s">
        <v>1469</v>
      </c>
      <c r="Z52" s="527" t="s">
        <v>1352</v>
      </c>
      <c r="AA52" s="529" t="s">
        <v>1352</v>
      </c>
      <c r="AB52" s="527" t="s">
        <v>1351</v>
      </c>
      <c r="AC52" s="527" t="s">
        <v>1351</v>
      </c>
      <c r="AD52" s="527" t="s">
        <v>1352</v>
      </c>
      <c r="AE52" s="527" t="str">
        <f t="shared" si="3"/>
        <v>Brāhma</v>
      </c>
      <c r="AF52" s="527" t="s">
        <v>826</v>
      </c>
      <c r="AG52" s="527" t="s">
        <v>1470</v>
      </c>
      <c r="AH52" s="580">
        <v>8.1018518518518505E-4</v>
      </c>
      <c r="AI52" s="580">
        <f t="shared" si="4"/>
        <v>0.29166666666666663</v>
      </c>
      <c r="AJ52" s="581" t="s">
        <v>1471</v>
      </c>
      <c r="AK52" s="559" t="s">
        <v>1356</v>
      </c>
      <c r="AL52" s="527" t="s">
        <v>1357</v>
      </c>
      <c r="AM52" s="527" t="s">
        <v>1472</v>
      </c>
      <c r="AN52" s="527" t="s">
        <v>1320</v>
      </c>
      <c r="AO52" s="527" t="s">
        <v>1446</v>
      </c>
      <c r="AP52" s="527" t="s">
        <v>1473</v>
      </c>
      <c r="AQ52" s="527">
        <v>14</v>
      </c>
      <c r="AR52" s="527">
        <v>38</v>
      </c>
      <c r="AS52" s="527">
        <v>6</v>
      </c>
      <c r="AT52" s="527">
        <v>55</v>
      </c>
      <c r="AU52" s="527">
        <v>60</v>
      </c>
      <c r="AV52" s="527" t="s">
        <v>700</v>
      </c>
      <c r="AW52" s="527" t="s">
        <v>1474</v>
      </c>
      <c r="AX52" s="527" t="s">
        <v>1475</v>
      </c>
      <c r="AY52" s="527" t="s">
        <v>1165</v>
      </c>
      <c r="AZ52" s="527" t="s">
        <v>1476</v>
      </c>
      <c r="BA52" s="527" t="s">
        <v>1477</v>
      </c>
      <c r="BB52" s="527" t="s">
        <v>1478</v>
      </c>
      <c r="BC52" s="527" t="s">
        <v>1479</v>
      </c>
      <c r="BD52" s="558" t="str">
        <f>B68</f>
        <v>Uttara Ashadha</v>
      </c>
      <c r="BF52" s="585" t="s">
        <v>1480</v>
      </c>
      <c r="BG52" s="585" t="s">
        <v>1480</v>
      </c>
    </row>
    <row r="53" spans="1:59" ht="17.100000000000001" customHeight="1">
      <c r="A53" s="573">
        <v>6</v>
      </c>
      <c r="B53" s="527" t="s">
        <v>557</v>
      </c>
      <c r="C53" s="527" t="s">
        <v>1481</v>
      </c>
      <c r="D53" s="527" t="s">
        <v>165</v>
      </c>
      <c r="E53" s="527" t="s">
        <v>1482</v>
      </c>
      <c r="F53" s="574" t="s">
        <v>1460</v>
      </c>
      <c r="G53" s="576" t="s">
        <v>248</v>
      </c>
      <c r="H53" s="576" t="s">
        <v>1372</v>
      </c>
      <c r="I53" s="576" t="s">
        <v>1432</v>
      </c>
      <c r="J53" s="527" t="s">
        <v>1338</v>
      </c>
      <c r="K53" s="527" t="s">
        <v>1375</v>
      </c>
      <c r="L53" s="527" t="s">
        <v>1405</v>
      </c>
      <c r="M53" s="527" t="s">
        <v>1483</v>
      </c>
      <c r="N53" s="527" t="s">
        <v>1484</v>
      </c>
      <c r="O53" s="527" t="s">
        <v>1485</v>
      </c>
      <c r="P53" s="527" t="s">
        <v>1486</v>
      </c>
      <c r="Q53" s="527" t="s">
        <v>1487</v>
      </c>
      <c r="R53" s="527" t="s">
        <v>1488</v>
      </c>
      <c r="S53" s="527" t="s">
        <v>1411</v>
      </c>
      <c r="T53" s="527" t="s">
        <v>1489</v>
      </c>
      <c r="U53" s="536">
        <f t="shared" si="5"/>
        <v>66.666666666666671</v>
      </c>
      <c r="V53" s="536">
        <f t="shared" si="6"/>
        <v>80</v>
      </c>
      <c r="W53" s="577" t="s">
        <v>1490</v>
      </c>
      <c r="X53" s="578" t="s">
        <v>1491</v>
      </c>
      <c r="Y53" s="579" t="s">
        <v>1492</v>
      </c>
      <c r="Z53" s="527" t="s">
        <v>1351</v>
      </c>
      <c r="AA53" s="529" t="s">
        <v>1353</v>
      </c>
      <c r="AB53" s="527" t="s">
        <v>1353</v>
      </c>
      <c r="AC53" s="527" t="s">
        <v>1352</v>
      </c>
      <c r="AD53" s="527" t="s">
        <v>1351</v>
      </c>
      <c r="AE53" s="527" t="str">
        <f t="shared" si="3"/>
        <v>Māhendra</v>
      </c>
      <c r="AF53" s="527" t="s">
        <v>1493</v>
      </c>
      <c r="AG53" s="527" t="s">
        <v>1494</v>
      </c>
      <c r="AH53" s="580">
        <v>2.0833333333333298E-3</v>
      </c>
      <c r="AI53" s="580">
        <f t="shared" si="4"/>
        <v>0.74999999999999878</v>
      </c>
      <c r="AJ53" s="581" t="s">
        <v>1495</v>
      </c>
      <c r="AK53" s="559" t="s">
        <v>1496</v>
      </c>
      <c r="AL53" s="527" t="s">
        <v>1497</v>
      </c>
      <c r="AM53" s="527" t="s">
        <v>1498</v>
      </c>
      <c r="AN53" s="527" t="s">
        <v>1389</v>
      </c>
      <c r="AO53" s="527" t="s">
        <v>1446</v>
      </c>
      <c r="AP53" s="527" t="s">
        <v>1499</v>
      </c>
      <c r="AQ53" s="527">
        <v>21</v>
      </c>
      <c r="AR53" s="527">
        <v>35</v>
      </c>
      <c r="AS53" s="527">
        <v>14</v>
      </c>
      <c r="AT53" s="527">
        <v>21</v>
      </c>
      <c r="AU53" s="527">
        <v>30</v>
      </c>
      <c r="AV53" s="527" t="s">
        <v>700</v>
      </c>
      <c r="AW53" s="527" t="s">
        <v>1500</v>
      </c>
      <c r="AX53" s="527" t="s">
        <v>1501</v>
      </c>
      <c r="AY53" s="527" t="s">
        <v>1395</v>
      </c>
      <c r="AZ53" s="527" t="s">
        <v>1502</v>
      </c>
      <c r="BA53" s="527" t="s">
        <v>1165</v>
      </c>
      <c r="BB53" s="527" t="s">
        <v>1503</v>
      </c>
      <c r="BC53" s="527" t="s">
        <v>1504</v>
      </c>
      <c r="BD53" s="558" t="str">
        <f t="shared" ref="BD53:BD58" si="7">B70</f>
        <v>Shravan</v>
      </c>
      <c r="BF53" s="582" t="s">
        <v>1505</v>
      </c>
      <c r="BG53" s="582" t="s">
        <v>1506</v>
      </c>
    </row>
    <row r="54" spans="1:59" ht="17.100000000000001" customHeight="1">
      <c r="A54" s="573">
        <v>7</v>
      </c>
      <c r="B54" s="527" t="s">
        <v>643</v>
      </c>
      <c r="C54" s="527" t="s">
        <v>1507</v>
      </c>
      <c r="D54" s="527" t="s">
        <v>162</v>
      </c>
      <c r="E54" s="527" t="s">
        <v>1508</v>
      </c>
      <c r="F54" s="583" t="s">
        <v>1460</v>
      </c>
      <c r="G54" s="584" t="s">
        <v>1402</v>
      </c>
      <c r="H54" s="584" t="s">
        <v>1403</v>
      </c>
      <c r="I54" s="584" t="s">
        <v>1337</v>
      </c>
      <c r="J54" s="527" t="s">
        <v>1509</v>
      </c>
      <c r="K54" s="527" t="s">
        <v>1339</v>
      </c>
      <c r="L54" s="527" t="s">
        <v>1376</v>
      </c>
      <c r="M54" s="527" t="s">
        <v>1510</v>
      </c>
      <c r="N54" s="527" t="s">
        <v>1510</v>
      </c>
      <c r="O54" s="527" t="s">
        <v>1378</v>
      </c>
      <c r="P54" s="527" t="s">
        <v>1511</v>
      </c>
      <c r="Q54" s="527" t="s">
        <v>1512</v>
      </c>
      <c r="R54" s="527" t="s">
        <v>1513</v>
      </c>
      <c r="S54" s="527" t="s">
        <v>1346</v>
      </c>
      <c r="T54" s="527" t="s">
        <v>1347</v>
      </c>
      <c r="U54" s="536">
        <f t="shared" si="5"/>
        <v>80</v>
      </c>
      <c r="V54" s="536">
        <f t="shared" si="6"/>
        <v>93.333333333333329</v>
      </c>
      <c r="W54" s="577" t="s">
        <v>1514</v>
      </c>
      <c r="X54" s="578" t="s">
        <v>1515</v>
      </c>
      <c r="Y54" s="579" t="s">
        <v>1516</v>
      </c>
      <c r="Z54" s="527" t="s">
        <v>1351</v>
      </c>
      <c r="AA54" s="529" t="s">
        <v>1351</v>
      </c>
      <c r="AB54" s="527" t="s">
        <v>1352</v>
      </c>
      <c r="AC54" s="527" t="s">
        <v>1353</v>
      </c>
      <c r="AD54" s="527" t="s">
        <v>1353</v>
      </c>
      <c r="AE54" s="527" t="str">
        <f t="shared" si="3"/>
        <v>Vaidhriti</v>
      </c>
      <c r="AF54" s="527" t="s">
        <v>1493</v>
      </c>
      <c r="AG54" s="527" t="s">
        <v>1517</v>
      </c>
      <c r="AH54" s="580">
        <v>1.85185185185185E-3</v>
      </c>
      <c r="AI54" s="580">
        <f t="shared" si="4"/>
        <v>0.66666666666666596</v>
      </c>
      <c r="AJ54" s="581" t="s">
        <v>1518</v>
      </c>
      <c r="AK54" s="559" t="s">
        <v>1496</v>
      </c>
      <c r="AL54" s="527" t="s">
        <v>1497</v>
      </c>
      <c r="AM54" s="527" t="s">
        <v>1519</v>
      </c>
      <c r="AN54" s="527" t="s">
        <v>1420</v>
      </c>
      <c r="AO54" s="527" t="s">
        <v>1446</v>
      </c>
      <c r="AP54" s="527" t="s">
        <v>1520</v>
      </c>
      <c r="AQ54" s="527">
        <v>30</v>
      </c>
      <c r="AR54" s="527">
        <v>54</v>
      </c>
      <c r="AS54" s="527">
        <v>10</v>
      </c>
      <c r="AT54" s="527">
        <v>7.5</v>
      </c>
      <c r="AU54" s="527">
        <v>15</v>
      </c>
      <c r="AV54" s="527" t="s">
        <v>718</v>
      </c>
      <c r="AW54" s="527" t="s">
        <v>1521</v>
      </c>
      <c r="AX54" s="527" t="s">
        <v>1522</v>
      </c>
      <c r="AY54" s="527" t="s">
        <v>1523</v>
      </c>
      <c r="AZ54" s="527" t="s">
        <v>1524</v>
      </c>
      <c r="BA54" s="527" t="s">
        <v>1525</v>
      </c>
      <c r="BB54" s="527" t="s">
        <v>1526</v>
      </c>
      <c r="BC54" s="527" t="s">
        <v>1527</v>
      </c>
      <c r="BD54" s="558" t="str">
        <f t="shared" si="7"/>
        <v>Dhanistha</v>
      </c>
      <c r="BF54" s="585" t="s">
        <v>1528</v>
      </c>
      <c r="BG54" s="585" t="s">
        <v>1528</v>
      </c>
    </row>
    <row r="55" spans="1:59" ht="17.100000000000001" customHeight="1">
      <c r="A55" s="573">
        <v>8</v>
      </c>
      <c r="B55" s="527" t="s">
        <v>566</v>
      </c>
      <c r="C55" s="527" t="s">
        <v>1529</v>
      </c>
      <c r="D55" s="527" t="s">
        <v>462</v>
      </c>
      <c r="E55" s="527" t="s">
        <v>1530</v>
      </c>
      <c r="F55" s="583" t="s">
        <v>1460</v>
      </c>
      <c r="G55" s="584" t="s">
        <v>1371</v>
      </c>
      <c r="H55" s="584" t="s">
        <v>1431</v>
      </c>
      <c r="I55" s="584" t="s">
        <v>1432</v>
      </c>
      <c r="J55" s="527" t="s">
        <v>1338</v>
      </c>
      <c r="K55" s="527" t="s">
        <v>1339</v>
      </c>
      <c r="L55" s="527" t="s">
        <v>1340</v>
      </c>
      <c r="M55" s="527" t="s">
        <v>1531</v>
      </c>
      <c r="N55" s="527" t="s">
        <v>1532</v>
      </c>
      <c r="O55" s="527" t="s">
        <v>1342</v>
      </c>
      <c r="P55" s="527" t="s">
        <v>1408</v>
      </c>
      <c r="Q55" s="527" t="s">
        <v>1533</v>
      </c>
      <c r="R55" s="527" t="s">
        <v>1169</v>
      </c>
      <c r="S55" s="527" t="s">
        <v>1381</v>
      </c>
      <c r="T55" s="527" t="s">
        <v>1382</v>
      </c>
      <c r="U55" s="536">
        <f t="shared" si="5"/>
        <v>93.333333333333329</v>
      </c>
      <c r="V55" s="536">
        <f t="shared" si="6"/>
        <v>106.66666666666666</v>
      </c>
      <c r="W55" s="577" t="s">
        <v>1534</v>
      </c>
      <c r="X55" s="578" t="s">
        <v>1535</v>
      </c>
      <c r="Y55" s="529" t="s">
        <v>1350</v>
      </c>
      <c r="Z55" s="527" t="s">
        <v>1352</v>
      </c>
      <c r="AA55" s="529" t="s">
        <v>1352</v>
      </c>
      <c r="AB55" s="527" t="s">
        <v>1351</v>
      </c>
      <c r="AC55" s="527" t="s">
        <v>1351</v>
      </c>
      <c r="AD55" s="527" t="s">
        <v>1352</v>
      </c>
      <c r="AE55" s="527" t="str">
        <f t="shared" si="3"/>
        <v>Vishkambha</v>
      </c>
      <c r="AF55" s="527" t="s">
        <v>1493</v>
      </c>
      <c r="AG55" s="527" t="s">
        <v>1536</v>
      </c>
      <c r="AH55" s="580">
        <v>2.1990740740740699E-3</v>
      </c>
      <c r="AI55" s="580">
        <f t="shared" si="4"/>
        <v>0.79166666666666519</v>
      </c>
      <c r="AJ55" s="581" t="s">
        <v>1537</v>
      </c>
      <c r="AK55" s="559" t="s">
        <v>1496</v>
      </c>
      <c r="AL55" s="527" t="s">
        <v>1497</v>
      </c>
      <c r="AM55" s="527" t="s">
        <v>1358</v>
      </c>
      <c r="AN55" s="527" t="s">
        <v>1445</v>
      </c>
      <c r="AO55" s="527" t="s">
        <v>1538</v>
      </c>
      <c r="AP55" s="527" t="s">
        <v>1539</v>
      </c>
      <c r="AQ55" s="527">
        <v>20</v>
      </c>
      <c r="AR55" s="527">
        <v>44</v>
      </c>
      <c r="AS55" s="527">
        <v>16</v>
      </c>
      <c r="AT55" s="527">
        <v>55</v>
      </c>
      <c r="AU55" s="527">
        <v>60</v>
      </c>
      <c r="AV55" s="527" t="s">
        <v>718</v>
      </c>
      <c r="AW55" s="527" t="s">
        <v>1540</v>
      </c>
      <c r="AX55" s="527" t="s">
        <v>1541</v>
      </c>
      <c r="AY55" s="527" t="s">
        <v>1165</v>
      </c>
      <c r="AZ55" s="527" t="s">
        <v>1476</v>
      </c>
      <c r="BA55" s="527" t="s">
        <v>1542</v>
      </c>
      <c r="BB55" s="527" t="s">
        <v>1543</v>
      </c>
      <c r="BC55" s="527" t="s">
        <v>1544</v>
      </c>
      <c r="BD55" s="558" t="str">
        <f t="shared" si="7"/>
        <v>Satabishak</v>
      </c>
      <c r="BF55" s="582" t="s">
        <v>1545</v>
      </c>
      <c r="BG55" s="582" t="s">
        <v>1546</v>
      </c>
    </row>
    <row r="56" spans="1:59" ht="17.100000000000001" customHeight="1">
      <c r="A56" s="573">
        <v>9</v>
      </c>
      <c r="B56" s="527" t="s">
        <v>644</v>
      </c>
      <c r="C56" s="527" t="s">
        <v>1547</v>
      </c>
      <c r="D56" s="527" t="s">
        <v>800</v>
      </c>
      <c r="E56" s="527" t="s">
        <v>1530</v>
      </c>
      <c r="F56" s="583" t="s">
        <v>1460</v>
      </c>
      <c r="G56" s="588" t="s">
        <v>897</v>
      </c>
      <c r="H56" s="587" t="s">
        <v>1336</v>
      </c>
      <c r="I56" s="584" t="s">
        <v>1373</v>
      </c>
      <c r="J56" s="527" t="s">
        <v>1509</v>
      </c>
      <c r="K56" s="527" t="s">
        <v>1404</v>
      </c>
      <c r="L56" s="527" t="s">
        <v>1340</v>
      </c>
      <c r="M56" s="527" t="s">
        <v>1435</v>
      </c>
      <c r="N56" s="527" t="s">
        <v>1435</v>
      </c>
      <c r="O56" s="527" t="s">
        <v>1548</v>
      </c>
      <c r="P56" s="527" t="s">
        <v>1511</v>
      </c>
      <c r="Q56" s="527" t="s">
        <v>1549</v>
      </c>
      <c r="R56" s="527" t="s">
        <v>184</v>
      </c>
      <c r="S56" s="527" t="s">
        <v>1411</v>
      </c>
      <c r="T56" s="527" t="s">
        <v>1412</v>
      </c>
      <c r="U56" s="536">
        <f t="shared" si="5"/>
        <v>106.66666666666666</v>
      </c>
      <c r="V56" s="536">
        <f t="shared" si="6"/>
        <v>119.99999999999999</v>
      </c>
      <c r="W56" s="577" t="s">
        <v>1550</v>
      </c>
      <c r="X56" s="578" t="s">
        <v>1551</v>
      </c>
      <c r="Y56" s="529" t="s">
        <v>1385</v>
      </c>
      <c r="Z56" s="527" t="s">
        <v>1416</v>
      </c>
      <c r="AA56" s="529" t="s">
        <v>1353</v>
      </c>
      <c r="AB56" s="527" t="s">
        <v>1353</v>
      </c>
      <c r="AC56" s="527" t="s">
        <v>1352</v>
      </c>
      <c r="AD56" s="527" t="s">
        <v>1351</v>
      </c>
      <c r="AE56" s="527" t="str">
        <f t="shared" si="3"/>
        <v>Prīti</v>
      </c>
      <c r="AF56" s="527" t="s">
        <v>836</v>
      </c>
      <c r="AG56" s="527" t="s">
        <v>1552</v>
      </c>
      <c r="AH56" s="580">
        <v>1.9675925925925898E-3</v>
      </c>
      <c r="AI56" s="580">
        <f t="shared" si="4"/>
        <v>0.70833333333333237</v>
      </c>
      <c r="AJ56" s="581" t="s">
        <v>1553</v>
      </c>
      <c r="AK56" s="559" t="s">
        <v>1496</v>
      </c>
      <c r="AL56" s="527" t="s">
        <v>1497</v>
      </c>
      <c r="AM56" s="527" t="s">
        <v>1498</v>
      </c>
      <c r="AN56" s="527" t="s">
        <v>1320</v>
      </c>
      <c r="AO56" s="527" t="s">
        <v>1538</v>
      </c>
      <c r="AP56" s="527" t="s">
        <v>1554</v>
      </c>
      <c r="AQ56" s="527">
        <v>32</v>
      </c>
      <c r="AR56" s="527">
        <v>56</v>
      </c>
      <c r="AS56" s="527">
        <v>24</v>
      </c>
      <c r="AT56" s="527">
        <v>21</v>
      </c>
      <c r="AU56" s="527">
        <v>30</v>
      </c>
      <c r="AV56" s="527" t="s">
        <v>718</v>
      </c>
      <c r="AW56" s="527" t="s">
        <v>1555</v>
      </c>
      <c r="AX56" s="527" t="s">
        <v>1556</v>
      </c>
      <c r="AY56" s="527" t="s">
        <v>1557</v>
      </c>
      <c r="AZ56" s="527" t="s">
        <v>1524</v>
      </c>
      <c r="BA56" s="527" t="s">
        <v>1449</v>
      </c>
      <c r="BB56" s="527" t="s">
        <v>1558</v>
      </c>
      <c r="BC56" s="527" t="s">
        <v>1559</v>
      </c>
      <c r="BD56" s="558" t="str">
        <f t="shared" si="7"/>
        <v>Purva Bhadrapad</v>
      </c>
      <c r="BF56" s="582" t="s">
        <v>1560</v>
      </c>
      <c r="BG56" s="582" t="s">
        <v>1561</v>
      </c>
    </row>
    <row r="57" spans="1:59" ht="17.100000000000001" customHeight="1">
      <c r="A57" s="573">
        <v>10</v>
      </c>
      <c r="B57" s="527" t="s">
        <v>645</v>
      </c>
      <c r="C57" s="527" t="s">
        <v>1562</v>
      </c>
      <c r="D57" s="527" t="s">
        <v>166</v>
      </c>
      <c r="E57" s="527" t="s">
        <v>943</v>
      </c>
      <c r="F57" s="583" t="s">
        <v>1460</v>
      </c>
      <c r="G57" s="588" t="s">
        <v>1460</v>
      </c>
      <c r="H57" s="576" t="s">
        <v>1372</v>
      </c>
      <c r="I57" s="584" t="s">
        <v>1373</v>
      </c>
      <c r="J57" s="527" t="s">
        <v>1338</v>
      </c>
      <c r="K57" s="527" t="s">
        <v>1404</v>
      </c>
      <c r="L57" s="527" t="s">
        <v>1376</v>
      </c>
      <c r="M57" s="527" t="s">
        <v>1563</v>
      </c>
      <c r="N57" s="527" t="s">
        <v>1564</v>
      </c>
      <c r="O57" s="527" t="s">
        <v>1548</v>
      </c>
      <c r="P57" s="527" t="s">
        <v>1565</v>
      </c>
      <c r="Q57" s="527" t="s">
        <v>1566</v>
      </c>
      <c r="R57" s="527" t="s">
        <v>184</v>
      </c>
      <c r="S57" s="527" t="s">
        <v>1346</v>
      </c>
      <c r="T57" s="527" t="s">
        <v>1438</v>
      </c>
      <c r="U57" s="536">
        <f t="shared" si="5"/>
        <v>119.99999999999999</v>
      </c>
      <c r="V57" s="536">
        <f t="shared" si="6"/>
        <v>133.33333333333331</v>
      </c>
      <c r="W57" s="577" t="s">
        <v>1567</v>
      </c>
      <c r="X57" s="578" t="s">
        <v>1568</v>
      </c>
      <c r="Y57" s="529" t="s">
        <v>1415</v>
      </c>
      <c r="Z57" s="527" t="s">
        <v>1416</v>
      </c>
      <c r="AA57" s="529" t="s">
        <v>1351</v>
      </c>
      <c r="AB57" s="527" t="s">
        <v>1352</v>
      </c>
      <c r="AC57" s="527" t="s">
        <v>1353</v>
      </c>
      <c r="AD57" s="527" t="s">
        <v>1353</v>
      </c>
      <c r="AE57" s="527" t="str">
        <f t="shared" si="3"/>
        <v>Āyushmān</v>
      </c>
      <c r="AF57" s="527" t="s">
        <v>836</v>
      </c>
      <c r="AG57" s="527" t="s">
        <v>1569</v>
      </c>
      <c r="AH57" s="580">
        <v>8.1018518518518505E-4</v>
      </c>
      <c r="AI57" s="580">
        <f t="shared" si="4"/>
        <v>0.29166666666666663</v>
      </c>
      <c r="AJ57" s="581" t="s">
        <v>1570</v>
      </c>
      <c r="AK57" s="559" t="s">
        <v>1496</v>
      </c>
      <c r="AL57" s="527" t="s">
        <v>1497</v>
      </c>
      <c r="AM57" s="527" t="s">
        <v>1388</v>
      </c>
      <c r="AN57" s="527" t="s">
        <v>1389</v>
      </c>
      <c r="AO57" s="527" t="s">
        <v>1538</v>
      </c>
      <c r="AP57" s="527" t="s">
        <v>1571</v>
      </c>
      <c r="AQ57" s="527">
        <v>30</v>
      </c>
      <c r="AR57" s="527">
        <v>54</v>
      </c>
      <c r="AS57" s="527">
        <v>20</v>
      </c>
      <c r="AT57" s="527">
        <v>7.5</v>
      </c>
      <c r="AU57" s="527">
        <v>15</v>
      </c>
      <c r="AV57" s="527" t="s">
        <v>700</v>
      </c>
      <c r="AW57" s="527" t="s">
        <v>1572</v>
      </c>
      <c r="AX57" s="527" t="s">
        <v>1573</v>
      </c>
      <c r="AY57" s="527" t="s">
        <v>1574</v>
      </c>
      <c r="AZ57" s="527" t="s">
        <v>1575</v>
      </c>
      <c r="BA57" s="527" t="s">
        <v>1576</v>
      </c>
      <c r="BB57" s="527" t="s">
        <v>1577</v>
      </c>
      <c r="BC57" s="527" t="s">
        <v>1578</v>
      </c>
      <c r="BD57" s="558" t="str">
        <f t="shared" si="7"/>
        <v>Uttara Bhadrapad</v>
      </c>
      <c r="BF57" s="582" t="s">
        <v>1579</v>
      </c>
      <c r="BG57" s="582" t="s">
        <v>1580</v>
      </c>
    </row>
    <row r="58" spans="1:59" ht="17.100000000000001" customHeight="1">
      <c r="A58" s="573">
        <v>11</v>
      </c>
      <c r="B58" s="527" t="s">
        <v>1581</v>
      </c>
      <c r="C58" s="527" t="s">
        <v>1582</v>
      </c>
      <c r="D58" s="527" t="s">
        <v>163</v>
      </c>
      <c r="E58" s="527" t="s">
        <v>943</v>
      </c>
      <c r="F58" s="586" t="s">
        <v>1460</v>
      </c>
      <c r="G58" s="589" t="s">
        <v>1335</v>
      </c>
      <c r="H58" s="584" t="s">
        <v>1403</v>
      </c>
      <c r="I58" s="584" t="s">
        <v>1373</v>
      </c>
      <c r="J58" s="527" t="s">
        <v>1374</v>
      </c>
      <c r="K58" s="527" t="s">
        <v>1375</v>
      </c>
      <c r="L58" s="527" t="s">
        <v>1405</v>
      </c>
      <c r="M58" s="527" t="s">
        <v>1583</v>
      </c>
      <c r="N58" s="527" t="s">
        <v>1584</v>
      </c>
      <c r="O58" s="527" t="s">
        <v>1485</v>
      </c>
      <c r="P58" s="527" t="s">
        <v>1565</v>
      </c>
      <c r="Q58" s="527" t="s">
        <v>1585</v>
      </c>
      <c r="R58" s="527" t="s">
        <v>1169</v>
      </c>
      <c r="S58" s="527" t="s">
        <v>1381</v>
      </c>
      <c r="T58" s="527" t="s">
        <v>1466</v>
      </c>
      <c r="U58" s="536">
        <f t="shared" si="5"/>
        <v>133.33333333333331</v>
      </c>
      <c r="V58" s="536">
        <f t="shared" si="6"/>
        <v>146.66666666666666</v>
      </c>
      <c r="W58" s="577" t="s">
        <v>1586</v>
      </c>
      <c r="X58" s="578" t="s">
        <v>1587</v>
      </c>
      <c r="Y58" s="529" t="s">
        <v>1441</v>
      </c>
      <c r="Z58" s="527" t="s">
        <v>1352</v>
      </c>
      <c r="AA58" s="529" t="s">
        <v>1352</v>
      </c>
      <c r="AB58" s="527" t="s">
        <v>1351</v>
      </c>
      <c r="AC58" s="527" t="s">
        <v>1351</v>
      </c>
      <c r="AD58" s="527" t="s">
        <v>1352</v>
      </c>
      <c r="AE58" s="527" t="str">
        <f t="shared" si="3"/>
        <v>Saubhāgya</v>
      </c>
      <c r="AF58" s="527" t="s">
        <v>836</v>
      </c>
      <c r="AG58" s="527" t="s">
        <v>1588</v>
      </c>
      <c r="AH58" s="580">
        <v>2.3148148148148099E-3</v>
      </c>
      <c r="AI58" s="580">
        <f t="shared" si="4"/>
        <v>0.83333333333333159</v>
      </c>
      <c r="AJ58" s="581" t="s">
        <v>1589</v>
      </c>
      <c r="AK58" s="559" t="s">
        <v>1496</v>
      </c>
      <c r="AL58" s="527" t="s">
        <v>1497</v>
      </c>
      <c r="AM58" s="527" t="s">
        <v>1388</v>
      </c>
      <c r="AN58" s="527" t="s">
        <v>1420</v>
      </c>
      <c r="AO58" s="527" t="s">
        <v>1538</v>
      </c>
      <c r="AP58" s="527" t="s">
        <v>1590</v>
      </c>
      <c r="AQ58" s="527">
        <v>20</v>
      </c>
      <c r="AR58" s="527">
        <v>44</v>
      </c>
      <c r="AS58" s="527">
        <v>22</v>
      </c>
      <c r="AT58" s="527">
        <v>55</v>
      </c>
      <c r="AU58" s="527">
        <v>60</v>
      </c>
      <c r="AV58" s="527" t="s">
        <v>700</v>
      </c>
      <c r="AW58" s="527" t="s">
        <v>1591</v>
      </c>
      <c r="AX58" s="527" t="s">
        <v>1592</v>
      </c>
      <c r="AY58" s="527" t="s">
        <v>1593</v>
      </c>
      <c r="AZ58" s="527" t="s">
        <v>1594</v>
      </c>
      <c r="BA58" s="527" t="s">
        <v>1595</v>
      </c>
      <c r="BB58" s="527" t="s">
        <v>1596</v>
      </c>
      <c r="BC58" s="527" t="s">
        <v>1597</v>
      </c>
      <c r="BD58" s="558" t="str">
        <f t="shared" si="7"/>
        <v>Revati</v>
      </c>
      <c r="BF58" s="582" t="s">
        <v>1598</v>
      </c>
      <c r="BG58" s="582" t="s">
        <v>1599</v>
      </c>
    </row>
    <row r="59" spans="1:59" ht="17.100000000000001" customHeight="1">
      <c r="A59" s="573">
        <v>12</v>
      </c>
      <c r="B59" s="527" t="s">
        <v>1600</v>
      </c>
      <c r="C59" s="527" t="s">
        <v>1601</v>
      </c>
      <c r="D59" s="527" t="s">
        <v>158</v>
      </c>
      <c r="E59" s="527" t="s">
        <v>1602</v>
      </c>
      <c r="F59" s="583" t="s">
        <v>897</v>
      </c>
      <c r="G59" s="588" t="s">
        <v>1371</v>
      </c>
      <c r="H59" s="584" t="s">
        <v>1431</v>
      </c>
      <c r="I59" s="584" t="s">
        <v>1432</v>
      </c>
      <c r="J59" s="527" t="s">
        <v>1374</v>
      </c>
      <c r="K59" s="527" t="s">
        <v>1375</v>
      </c>
      <c r="L59" s="527" t="s">
        <v>1433</v>
      </c>
      <c r="M59" s="527" t="s">
        <v>1603</v>
      </c>
      <c r="N59" s="527" t="s">
        <v>1604</v>
      </c>
      <c r="O59" s="527" t="s">
        <v>1548</v>
      </c>
      <c r="P59" s="527" t="s">
        <v>1605</v>
      </c>
      <c r="Q59" s="527" t="s">
        <v>1606</v>
      </c>
      <c r="R59" s="527" t="s">
        <v>1513</v>
      </c>
      <c r="S59" s="527" t="s">
        <v>1411</v>
      </c>
      <c r="T59" s="527" t="s">
        <v>1489</v>
      </c>
      <c r="U59" s="536">
        <f t="shared" si="5"/>
        <v>146.66666666666666</v>
      </c>
      <c r="V59" s="536">
        <f t="shared" si="6"/>
        <v>160</v>
      </c>
      <c r="W59" s="577" t="s">
        <v>1607</v>
      </c>
      <c r="X59" s="578" t="s">
        <v>1608</v>
      </c>
      <c r="Y59" s="529" t="s">
        <v>1469</v>
      </c>
      <c r="Z59" s="527" t="s">
        <v>1351</v>
      </c>
      <c r="AA59" s="529" t="s">
        <v>1353</v>
      </c>
      <c r="AB59" s="527" t="s">
        <v>1353</v>
      </c>
      <c r="AC59" s="527" t="s">
        <v>1352</v>
      </c>
      <c r="AD59" s="527" t="s">
        <v>1351</v>
      </c>
      <c r="AE59" s="527" t="str">
        <f t="shared" si="3"/>
        <v>Shobhana</v>
      </c>
      <c r="AF59" s="527" t="s">
        <v>836</v>
      </c>
      <c r="AG59" s="527" t="s">
        <v>1609</v>
      </c>
      <c r="AH59" s="580">
        <v>6.9444444444444404E-4</v>
      </c>
      <c r="AI59" s="580">
        <f t="shared" si="4"/>
        <v>0.24999999999999986</v>
      </c>
      <c r="AJ59" s="581" t="s">
        <v>1610</v>
      </c>
      <c r="AK59" s="559" t="s">
        <v>1611</v>
      </c>
      <c r="AL59" s="527" t="s">
        <v>1612</v>
      </c>
      <c r="AM59" s="527" t="s">
        <v>1444</v>
      </c>
      <c r="AN59" s="527" t="s">
        <v>1445</v>
      </c>
      <c r="AO59" s="527" t="s">
        <v>1613</v>
      </c>
      <c r="AP59" s="527" t="s">
        <v>1614</v>
      </c>
      <c r="AQ59" s="527">
        <v>18</v>
      </c>
      <c r="AR59" s="527">
        <v>42</v>
      </c>
      <c r="AS59" s="527">
        <v>2</v>
      </c>
      <c r="AT59" s="527">
        <v>21</v>
      </c>
      <c r="AU59" s="527">
        <v>30</v>
      </c>
      <c r="AV59" s="527" t="s">
        <v>700</v>
      </c>
      <c r="AX59" s="527" t="s">
        <v>1576</v>
      </c>
      <c r="AY59" s="527" t="s">
        <v>1615</v>
      </c>
      <c r="AZ59" s="527" t="s">
        <v>1616</v>
      </c>
      <c r="BA59" s="527" t="s">
        <v>1617</v>
      </c>
      <c r="BB59" s="527" t="s">
        <v>1618</v>
      </c>
      <c r="BC59" s="527" t="s">
        <v>1619</v>
      </c>
      <c r="BD59" s="558" t="str">
        <f t="shared" ref="BD59:BD68" si="8">B48</f>
        <v>Ashvini</v>
      </c>
      <c r="BF59" s="582" t="s">
        <v>1620</v>
      </c>
      <c r="BG59" s="582" t="s">
        <v>1621</v>
      </c>
    </row>
    <row r="60" spans="1:59" ht="17.100000000000001" customHeight="1">
      <c r="A60" s="573">
        <v>13</v>
      </c>
      <c r="B60" s="527" t="s">
        <v>648</v>
      </c>
      <c r="C60" s="527" t="s">
        <v>1622</v>
      </c>
      <c r="D60" s="527" t="s">
        <v>159</v>
      </c>
      <c r="E60" s="527" t="s">
        <v>1623</v>
      </c>
      <c r="F60" s="583" t="s">
        <v>897</v>
      </c>
      <c r="G60" s="584" t="s">
        <v>1402</v>
      </c>
      <c r="H60" s="587" t="s">
        <v>1336</v>
      </c>
      <c r="I60" s="584" t="s">
        <v>1337</v>
      </c>
      <c r="J60" s="527" t="s">
        <v>1374</v>
      </c>
      <c r="K60" s="527" t="s">
        <v>1339</v>
      </c>
      <c r="L60" s="527" t="s">
        <v>1433</v>
      </c>
      <c r="M60" s="527" t="s">
        <v>1624</v>
      </c>
      <c r="N60" s="527" t="s">
        <v>1625</v>
      </c>
      <c r="O60" s="527" t="s">
        <v>1485</v>
      </c>
      <c r="P60" s="527" t="s">
        <v>1626</v>
      </c>
      <c r="Q60" s="527" t="s">
        <v>1627</v>
      </c>
      <c r="R60" s="527" t="s">
        <v>1488</v>
      </c>
      <c r="S60" s="527" t="s">
        <v>1346</v>
      </c>
      <c r="T60" s="527" t="s">
        <v>1347</v>
      </c>
      <c r="U60" s="536">
        <f t="shared" si="5"/>
        <v>160</v>
      </c>
      <c r="V60" s="536">
        <f t="shared" si="6"/>
        <v>173.33333333333334</v>
      </c>
      <c r="W60" s="577" t="s">
        <v>1628</v>
      </c>
      <c r="X60" s="578" t="s">
        <v>1629</v>
      </c>
      <c r="Y60" s="529" t="s">
        <v>1492</v>
      </c>
      <c r="Z60" s="527" t="s">
        <v>1351</v>
      </c>
      <c r="AA60" s="529" t="s">
        <v>1351</v>
      </c>
      <c r="AB60" s="527" t="s">
        <v>1352</v>
      </c>
      <c r="AC60" s="527" t="s">
        <v>1353</v>
      </c>
      <c r="AD60" s="527" t="s">
        <v>1353</v>
      </c>
      <c r="AE60" s="527" t="str">
        <f t="shared" si="3"/>
        <v>Atigaṇḍa</v>
      </c>
      <c r="AF60" s="527" t="s">
        <v>1630</v>
      </c>
      <c r="AG60" s="527" t="s">
        <v>1631</v>
      </c>
      <c r="AH60" s="580">
        <v>1.1574074074074099E-3</v>
      </c>
      <c r="AI60" s="580">
        <f t="shared" si="4"/>
        <v>0.41666666666666757</v>
      </c>
      <c r="AJ60" s="581" t="s">
        <v>1632</v>
      </c>
      <c r="AK60" s="559" t="s">
        <v>1611</v>
      </c>
      <c r="AL60" s="527" t="s">
        <v>1612</v>
      </c>
      <c r="AM60" s="527" t="s">
        <v>1358</v>
      </c>
      <c r="AN60" s="527" t="s">
        <v>1320</v>
      </c>
      <c r="AO60" s="527" t="s">
        <v>1613</v>
      </c>
      <c r="AP60" s="527" t="s">
        <v>1633</v>
      </c>
      <c r="AQ60" s="527">
        <v>21</v>
      </c>
      <c r="AR60" s="527">
        <v>45</v>
      </c>
      <c r="AS60" s="527">
        <v>26</v>
      </c>
      <c r="AT60" s="527">
        <v>7.5</v>
      </c>
      <c r="AU60" s="527">
        <v>15</v>
      </c>
      <c r="AV60" s="527" t="s">
        <v>718</v>
      </c>
      <c r="AW60" s="527" t="s">
        <v>1634</v>
      </c>
      <c r="AX60" s="527" t="s">
        <v>1635</v>
      </c>
      <c r="AY60" s="527" t="s">
        <v>1523</v>
      </c>
      <c r="AZ60" s="527" t="s">
        <v>1524</v>
      </c>
      <c r="BA60" s="527" t="s">
        <v>1636</v>
      </c>
      <c r="BB60" s="527" t="s">
        <v>1637</v>
      </c>
      <c r="BC60" s="527" t="s">
        <v>1638</v>
      </c>
      <c r="BD60" s="558" t="str">
        <f t="shared" si="8"/>
        <v>Bharani</v>
      </c>
      <c r="BF60" s="582" t="s">
        <v>1639</v>
      </c>
      <c r="BG60" s="585" t="s">
        <v>1640</v>
      </c>
    </row>
    <row r="61" spans="1:59" ht="17.100000000000001" customHeight="1">
      <c r="A61" s="573">
        <v>14</v>
      </c>
      <c r="B61" s="527" t="s">
        <v>649</v>
      </c>
      <c r="C61" s="527" t="s">
        <v>1641</v>
      </c>
      <c r="D61" s="527" t="s">
        <v>160</v>
      </c>
      <c r="E61" s="527" t="s">
        <v>1642</v>
      </c>
      <c r="F61" s="583" t="s">
        <v>897</v>
      </c>
      <c r="G61" s="584" t="s">
        <v>1335</v>
      </c>
      <c r="H61" s="576" t="s">
        <v>1372</v>
      </c>
      <c r="I61" s="584" t="s">
        <v>1337</v>
      </c>
      <c r="J61" s="527" t="s">
        <v>1338</v>
      </c>
      <c r="K61" s="527" t="s">
        <v>1404</v>
      </c>
      <c r="L61" s="527" t="s">
        <v>1405</v>
      </c>
      <c r="M61" s="527" t="s">
        <v>1643</v>
      </c>
      <c r="N61" s="527" t="s">
        <v>1643</v>
      </c>
      <c r="O61" s="527" t="s">
        <v>1485</v>
      </c>
      <c r="P61" s="527" t="s">
        <v>1644</v>
      </c>
      <c r="Q61" s="527" t="s">
        <v>1645</v>
      </c>
      <c r="R61" s="559" t="s">
        <v>1060</v>
      </c>
      <c r="S61" s="527" t="s">
        <v>1381</v>
      </c>
      <c r="T61" s="527" t="s">
        <v>1382</v>
      </c>
      <c r="U61" s="536">
        <f t="shared" si="5"/>
        <v>173.33333333333334</v>
      </c>
      <c r="V61" s="536">
        <f t="shared" si="6"/>
        <v>186.66666666666669</v>
      </c>
      <c r="W61" s="577" t="s">
        <v>1646</v>
      </c>
      <c r="X61" s="578" t="s">
        <v>1647</v>
      </c>
      <c r="Y61" s="529" t="s">
        <v>1516</v>
      </c>
      <c r="Z61" s="527" t="s">
        <v>1352</v>
      </c>
      <c r="AA61" s="529" t="s">
        <v>1352</v>
      </c>
      <c r="AB61" s="527" t="s">
        <v>1351</v>
      </c>
      <c r="AC61" s="527" t="s">
        <v>1351</v>
      </c>
      <c r="AD61" s="527" t="s">
        <v>1352</v>
      </c>
      <c r="AE61" s="527" t="str">
        <f t="shared" si="3"/>
        <v>Sukarman</v>
      </c>
      <c r="AF61" s="527" t="s">
        <v>1630</v>
      </c>
      <c r="AG61" s="527" t="s">
        <v>1648</v>
      </c>
      <c r="AH61" s="580">
        <v>8.1018518518518505E-4</v>
      </c>
      <c r="AI61" s="580">
        <f t="shared" si="4"/>
        <v>0.29166666666666663</v>
      </c>
      <c r="AJ61" s="581" t="s">
        <v>1649</v>
      </c>
      <c r="AK61" s="559" t="s">
        <v>1611</v>
      </c>
      <c r="AL61" s="527" t="s">
        <v>1612</v>
      </c>
      <c r="AM61" s="527" t="s">
        <v>1472</v>
      </c>
      <c r="AN61" s="527" t="s">
        <v>1389</v>
      </c>
      <c r="AO61" s="527" t="s">
        <v>1613</v>
      </c>
      <c r="AP61" s="527" t="s">
        <v>1650</v>
      </c>
      <c r="AQ61" s="527">
        <v>20</v>
      </c>
      <c r="AR61" s="527">
        <v>44</v>
      </c>
      <c r="AS61" s="527">
        <v>30</v>
      </c>
      <c r="AT61" s="527">
        <v>55</v>
      </c>
      <c r="AU61" s="527">
        <v>60</v>
      </c>
      <c r="AV61" s="527" t="s">
        <v>718</v>
      </c>
      <c r="AW61" s="527" t="s">
        <v>1651</v>
      </c>
      <c r="AX61" s="527" t="s">
        <v>1165</v>
      </c>
      <c r="AY61" s="527" t="s">
        <v>1652</v>
      </c>
      <c r="AZ61" s="527" t="s">
        <v>1452</v>
      </c>
      <c r="BA61" s="527" t="s">
        <v>1523</v>
      </c>
      <c r="BB61" s="527" t="s">
        <v>1653</v>
      </c>
      <c r="BC61" s="527" t="s">
        <v>1654</v>
      </c>
      <c r="BD61" s="558" t="str">
        <f t="shared" si="8"/>
        <v>Kritika</v>
      </c>
      <c r="BF61" s="582" t="s">
        <v>1655</v>
      </c>
      <c r="BG61" s="585" t="s">
        <v>1656</v>
      </c>
    </row>
    <row r="62" spans="1:59" ht="17.100000000000001" customHeight="1">
      <c r="A62" s="573">
        <v>15</v>
      </c>
      <c r="B62" s="527" t="s">
        <v>592</v>
      </c>
      <c r="C62" s="527" t="s">
        <v>1657</v>
      </c>
      <c r="D62" s="527" t="s">
        <v>165</v>
      </c>
      <c r="E62" s="527" t="s">
        <v>1658</v>
      </c>
      <c r="F62" s="583" t="s">
        <v>897</v>
      </c>
      <c r="G62" s="588" t="s">
        <v>1460</v>
      </c>
      <c r="H62" s="584" t="s">
        <v>1403</v>
      </c>
      <c r="I62" s="584" t="s">
        <v>1337</v>
      </c>
      <c r="J62" s="527" t="s">
        <v>1338</v>
      </c>
      <c r="K62" s="527" t="s">
        <v>1339</v>
      </c>
      <c r="L62" s="527" t="s">
        <v>1376</v>
      </c>
      <c r="M62" s="527" t="s">
        <v>1659</v>
      </c>
      <c r="N62" s="527" t="s">
        <v>1660</v>
      </c>
      <c r="O62" s="527" t="s">
        <v>1548</v>
      </c>
      <c r="P62" s="527" t="s">
        <v>1626</v>
      </c>
      <c r="Q62" s="527" t="s">
        <v>1661</v>
      </c>
      <c r="R62" s="527" t="s">
        <v>1488</v>
      </c>
      <c r="S62" s="527" t="s">
        <v>1411</v>
      </c>
      <c r="T62" s="527" t="s">
        <v>1412</v>
      </c>
      <c r="U62" s="536">
        <f t="shared" si="5"/>
        <v>186.66666666666669</v>
      </c>
      <c r="V62" s="536">
        <f t="shared" si="6"/>
        <v>200.00000000000003</v>
      </c>
      <c r="W62" s="577" t="s">
        <v>1662</v>
      </c>
      <c r="X62" s="578" t="s">
        <v>1663</v>
      </c>
      <c r="Y62" s="529" t="s">
        <v>1350</v>
      </c>
      <c r="Z62" s="527" t="s">
        <v>1416</v>
      </c>
      <c r="AA62" s="529" t="s">
        <v>1353</v>
      </c>
      <c r="AB62" s="527" t="s">
        <v>1353</v>
      </c>
      <c r="AC62" s="527" t="s">
        <v>1352</v>
      </c>
      <c r="AD62" s="527" t="s">
        <v>1351</v>
      </c>
      <c r="AE62" s="527" t="str">
        <f t="shared" si="3"/>
        <v>Dhriti</v>
      </c>
      <c r="AF62" s="527" t="s">
        <v>861</v>
      </c>
      <c r="AG62" s="527" t="s">
        <v>1664</v>
      </c>
      <c r="AH62" s="580">
        <v>2.0833333333333298E-3</v>
      </c>
      <c r="AI62" s="580">
        <f t="shared" si="4"/>
        <v>0.74999999999999878</v>
      </c>
      <c r="AJ62" s="581" t="s">
        <v>1665</v>
      </c>
      <c r="AK62" s="559" t="s">
        <v>1611</v>
      </c>
      <c r="AL62" s="527" t="s">
        <v>1612</v>
      </c>
      <c r="AM62" s="527" t="s">
        <v>1519</v>
      </c>
      <c r="AN62" s="527" t="s">
        <v>1420</v>
      </c>
      <c r="AO62" s="527" t="s">
        <v>1613</v>
      </c>
      <c r="AP62" s="527" t="s">
        <v>1666</v>
      </c>
      <c r="AQ62" s="527">
        <v>14</v>
      </c>
      <c r="AR62" s="527">
        <v>38</v>
      </c>
      <c r="AS62" s="527">
        <v>38</v>
      </c>
      <c r="AT62" s="527">
        <v>21</v>
      </c>
      <c r="AU62" s="527">
        <v>30</v>
      </c>
      <c r="AV62" s="527" t="s">
        <v>718</v>
      </c>
      <c r="AW62" s="527" t="s">
        <v>1667</v>
      </c>
      <c r="AX62" s="527" t="s">
        <v>1165</v>
      </c>
      <c r="AY62" s="527" t="s">
        <v>1595</v>
      </c>
      <c r="AZ62" s="527" t="s">
        <v>1668</v>
      </c>
      <c r="BA62" s="527" t="s">
        <v>1475</v>
      </c>
      <c r="BB62" s="527" t="s">
        <v>1669</v>
      </c>
      <c r="BC62" s="527" t="s">
        <v>1670</v>
      </c>
      <c r="BD62" s="558" t="str">
        <f t="shared" si="8"/>
        <v>Rohini</v>
      </c>
      <c r="BF62" s="585" t="s">
        <v>1671</v>
      </c>
      <c r="BG62" s="585" t="s">
        <v>1671</v>
      </c>
    </row>
    <row r="63" spans="1:59" ht="17.100000000000001" customHeight="1">
      <c r="A63" s="573">
        <v>16</v>
      </c>
      <c r="B63" s="527" t="s">
        <v>1672</v>
      </c>
      <c r="C63" s="527" t="s">
        <v>1673</v>
      </c>
      <c r="D63" s="527" t="s">
        <v>162</v>
      </c>
      <c r="E63" s="527" t="s">
        <v>1674</v>
      </c>
      <c r="F63" s="586" t="s">
        <v>897</v>
      </c>
      <c r="G63" s="589" t="s">
        <v>897</v>
      </c>
      <c r="H63" s="584" t="s">
        <v>1431</v>
      </c>
      <c r="I63" s="584" t="s">
        <v>1373</v>
      </c>
      <c r="J63" s="527" t="s">
        <v>1509</v>
      </c>
      <c r="K63" s="527" t="s">
        <v>1404</v>
      </c>
      <c r="L63" s="527" t="s">
        <v>1340</v>
      </c>
      <c r="M63" s="527" t="s">
        <v>1675</v>
      </c>
      <c r="N63" s="527" t="s">
        <v>1676</v>
      </c>
      <c r="O63" s="527" t="s">
        <v>1548</v>
      </c>
      <c r="P63" s="527" t="s">
        <v>1644</v>
      </c>
      <c r="Q63" s="527" t="s">
        <v>1677</v>
      </c>
      <c r="R63" s="527" t="s">
        <v>1513</v>
      </c>
      <c r="S63" s="527" t="s">
        <v>1346</v>
      </c>
      <c r="T63" s="527" t="s">
        <v>1438</v>
      </c>
      <c r="U63" s="536">
        <f t="shared" si="5"/>
        <v>200.00000000000003</v>
      </c>
      <c r="V63" s="536">
        <f t="shared" si="6"/>
        <v>213.33333333333337</v>
      </c>
      <c r="W63" s="577" t="s">
        <v>1678</v>
      </c>
      <c r="X63" s="578" t="s">
        <v>1679</v>
      </c>
      <c r="Y63" s="529" t="s">
        <v>1385</v>
      </c>
      <c r="Z63" s="527" t="s">
        <v>1416</v>
      </c>
      <c r="AA63" s="529" t="s">
        <v>1351</v>
      </c>
      <c r="AB63" s="527" t="s">
        <v>1352</v>
      </c>
      <c r="AC63" s="527" t="s">
        <v>1353</v>
      </c>
      <c r="AD63" s="527" t="s">
        <v>1353</v>
      </c>
      <c r="AE63" s="527" t="str">
        <f t="shared" si="3"/>
        <v>Shūla</v>
      </c>
      <c r="AF63" s="527" t="s">
        <v>861</v>
      </c>
      <c r="AG63" s="527" t="s">
        <v>1680</v>
      </c>
      <c r="AH63" s="580">
        <v>1.85185185185185E-3</v>
      </c>
      <c r="AI63" s="580">
        <f t="shared" si="4"/>
        <v>0.66666666666666596</v>
      </c>
      <c r="AJ63" s="581" t="s">
        <v>1681</v>
      </c>
      <c r="AK63" s="559" t="s">
        <v>1611</v>
      </c>
      <c r="AL63" s="527" t="s">
        <v>1612</v>
      </c>
      <c r="AM63" s="527" t="s">
        <v>1419</v>
      </c>
      <c r="AN63" s="527" t="s">
        <v>1445</v>
      </c>
      <c r="AO63" s="527" t="s">
        <v>1682</v>
      </c>
      <c r="AP63" s="527" t="s">
        <v>1683</v>
      </c>
      <c r="AQ63" s="527">
        <v>14</v>
      </c>
      <c r="AR63" s="527">
        <v>38</v>
      </c>
      <c r="AS63" s="527">
        <v>38</v>
      </c>
      <c r="AT63" s="527">
        <v>1</v>
      </c>
      <c r="AU63" s="527">
        <v>8</v>
      </c>
      <c r="AV63" s="527" t="s">
        <v>700</v>
      </c>
      <c r="AW63" s="527" t="s">
        <v>1684</v>
      </c>
      <c r="AX63" s="527" t="s">
        <v>1685</v>
      </c>
      <c r="AY63" s="527" t="s">
        <v>1686</v>
      </c>
      <c r="AZ63" s="527" t="s">
        <v>1523</v>
      </c>
      <c r="BA63" s="527" t="s">
        <v>1541</v>
      </c>
      <c r="BB63" s="527" t="s">
        <v>1687</v>
      </c>
      <c r="BC63" s="527" t="s">
        <v>1688</v>
      </c>
      <c r="BD63" s="558" t="str">
        <f t="shared" si="8"/>
        <v>Mrigashira</v>
      </c>
      <c r="BF63" s="590" t="s">
        <v>1689</v>
      </c>
      <c r="BG63" s="590" t="s">
        <v>1690</v>
      </c>
    </row>
    <row r="64" spans="1:59" ht="17.100000000000001" customHeight="1">
      <c r="A64" s="573">
        <v>17</v>
      </c>
      <c r="B64" s="527" t="s">
        <v>581</v>
      </c>
      <c r="C64" s="527" t="s">
        <v>1691</v>
      </c>
      <c r="D64" s="527" t="s">
        <v>462</v>
      </c>
      <c r="E64" s="527" t="s">
        <v>1692</v>
      </c>
      <c r="F64" s="574" t="s">
        <v>1371</v>
      </c>
      <c r="G64" s="576" t="s">
        <v>1335</v>
      </c>
      <c r="H64" s="587" t="s">
        <v>1336</v>
      </c>
      <c r="I64" s="576" t="s">
        <v>1337</v>
      </c>
      <c r="J64" s="527" t="s">
        <v>1338</v>
      </c>
      <c r="K64" s="527" t="s">
        <v>1339</v>
      </c>
      <c r="L64" s="527" t="s">
        <v>1340</v>
      </c>
      <c r="M64" s="527" t="s">
        <v>1693</v>
      </c>
      <c r="N64" s="527" t="s">
        <v>1694</v>
      </c>
      <c r="O64" s="527" t="s">
        <v>1485</v>
      </c>
      <c r="P64" s="527" t="s">
        <v>1695</v>
      </c>
      <c r="Q64" s="527" t="s">
        <v>1696</v>
      </c>
      <c r="R64" s="527" t="s">
        <v>1169</v>
      </c>
      <c r="S64" s="527" t="s">
        <v>1381</v>
      </c>
      <c r="T64" s="527" t="s">
        <v>1466</v>
      </c>
      <c r="U64" s="536">
        <f t="shared" si="5"/>
        <v>213.33333333333337</v>
      </c>
      <c r="V64" s="536">
        <f t="shared" si="6"/>
        <v>226.66666666666671</v>
      </c>
      <c r="W64" s="577" t="s">
        <v>1697</v>
      </c>
      <c r="X64" s="578" t="s">
        <v>1698</v>
      </c>
      <c r="Y64" s="529" t="s">
        <v>1415</v>
      </c>
      <c r="Z64" s="527" t="s">
        <v>1352</v>
      </c>
      <c r="AA64" s="529" t="s">
        <v>1352</v>
      </c>
      <c r="AB64" s="527" t="s">
        <v>1351</v>
      </c>
      <c r="AC64" s="527" t="s">
        <v>1351</v>
      </c>
      <c r="AD64" s="527" t="s">
        <v>1352</v>
      </c>
      <c r="AE64" s="527" t="str">
        <f t="shared" si="3"/>
        <v>Gaṇḍa</v>
      </c>
      <c r="AF64" s="527" t="s">
        <v>861</v>
      </c>
      <c r="AG64" s="527" t="s">
        <v>1699</v>
      </c>
      <c r="AH64" s="580">
        <v>2.1990740740740699E-3</v>
      </c>
      <c r="AI64" s="580">
        <f t="shared" si="4"/>
        <v>0.79166666666666519</v>
      </c>
      <c r="AJ64" s="581" t="s">
        <v>1700</v>
      </c>
      <c r="AK64" s="559" t="s">
        <v>1497</v>
      </c>
      <c r="AL64" s="527" t="s">
        <v>1701</v>
      </c>
      <c r="AM64" s="527" t="s">
        <v>1472</v>
      </c>
      <c r="AN64" s="527" t="s">
        <v>1320</v>
      </c>
      <c r="AO64" s="527" t="s">
        <v>1682</v>
      </c>
      <c r="AP64" s="527" t="s">
        <v>1702</v>
      </c>
      <c r="AQ64" s="527">
        <v>10</v>
      </c>
      <c r="AR64" s="527">
        <v>28</v>
      </c>
      <c r="AS64" s="527">
        <v>36</v>
      </c>
      <c r="AT64" s="527">
        <v>52</v>
      </c>
      <c r="AU64" s="527">
        <v>60</v>
      </c>
      <c r="AV64" s="527" t="s">
        <v>700</v>
      </c>
      <c r="AW64" s="527" t="s">
        <v>1703</v>
      </c>
      <c r="AX64" s="527" t="s">
        <v>1704</v>
      </c>
      <c r="AY64" s="527" t="s">
        <v>1668</v>
      </c>
      <c r="AZ64" s="527" t="s">
        <v>1541</v>
      </c>
      <c r="BA64" s="527" t="s">
        <v>1705</v>
      </c>
      <c r="BB64" s="527" t="s">
        <v>1706</v>
      </c>
      <c r="BC64" s="527" t="s">
        <v>1707</v>
      </c>
      <c r="BD64" s="558" t="str">
        <f t="shared" si="8"/>
        <v>Ardra</v>
      </c>
      <c r="BF64" s="585" t="s">
        <v>1708</v>
      </c>
      <c r="BG64" s="585" t="s">
        <v>1708</v>
      </c>
    </row>
    <row r="65" spans="1:59" ht="17.100000000000001" customHeight="1">
      <c r="A65" s="573">
        <v>18</v>
      </c>
      <c r="B65" s="527" t="s">
        <v>1709</v>
      </c>
      <c r="C65" s="527" t="s">
        <v>1710</v>
      </c>
      <c r="D65" s="527" t="s">
        <v>800</v>
      </c>
      <c r="E65" s="527" t="s">
        <v>1692</v>
      </c>
      <c r="F65" s="583" t="s">
        <v>1371</v>
      </c>
      <c r="G65" s="588" t="s">
        <v>1460</v>
      </c>
      <c r="H65" s="576" t="s">
        <v>1372</v>
      </c>
      <c r="I65" s="584" t="s">
        <v>1337</v>
      </c>
      <c r="J65" s="527" t="s">
        <v>1509</v>
      </c>
      <c r="K65" s="527" t="s">
        <v>1404</v>
      </c>
      <c r="L65" s="527" t="s">
        <v>1376</v>
      </c>
      <c r="M65" s="527" t="s">
        <v>1693</v>
      </c>
      <c r="N65" s="527" t="s">
        <v>1711</v>
      </c>
      <c r="O65" s="527" t="s">
        <v>1548</v>
      </c>
      <c r="P65" s="527" t="s">
        <v>1695</v>
      </c>
      <c r="Q65" s="527" t="s">
        <v>1712</v>
      </c>
      <c r="R65" s="527" t="s">
        <v>184</v>
      </c>
      <c r="S65" s="527" t="s">
        <v>1411</v>
      </c>
      <c r="T65" s="527" t="s">
        <v>1489</v>
      </c>
      <c r="U65" s="536">
        <f t="shared" si="5"/>
        <v>226.66666666666671</v>
      </c>
      <c r="V65" s="536">
        <f t="shared" si="6"/>
        <v>240.00000000000006</v>
      </c>
      <c r="W65" s="577" t="s">
        <v>1713</v>
      </c>
      <c r="X65" s="578" t="s">
        <v>1714</v>
      </c>
      <c r="Y65" s="529" t="s">
        <v>1441</v>
      </c>
      <c r="Z65" s="527" t="s">
        <v>1351</v>
      </c>
      <c r="AA65" s="529" t="s">
        <v>1353</v>
      </c>
      <c r="AB65" s="527" t="s">
        <v>1353</v>
      </c>
      <c r="AC65" s="527" t="s">
        <v>1352</v>
      </c>
      <c r="AD65" s="527" t="s">
        <v>1351</v>
      </c>
      <c r="AE65" s="527" t="str">
        <f t="shared" si="3"/>
        <v>Vriddhi</v>
      </c>
      <c r="AF65" s="527" t="s">
        <v>861</v>
      </c>
      <c r="AG65" s="527" t="s">
        <v>1715</v>
      </c>
      <c r="AH65" s="580">
        <v>1.9675925925925898E-3</v>
      </c>
      <c r="AI65" s="580">
        <f t="shared" si="4"/>
        <v>0.70833333333333237</v>
      </c>
      <c r="AJ65" s="581" t="s">
        <v>1716</v>
      </c>
      <c r="AK65" s="559" t="s">
        <v>1497</v>
      </c>
      <c r="AL65" s="527" t="s">
        <v>1701</v>
      </c>
      <c r="AM65" s="527" t="s">
        <v>1498</v>
      </c>
      <c r="AN65" s="527" t="s">
        <v>1389</v>
      </c>
      <c r="AO65" s="527" t="s">
        <v>1682</v>
      </c>
      <c r="AP65" s="527" t="s">
        <v>1717</v>
      </c>
      <c r="AQ65" s="527">
        <v>14</v>
      </c>
      <c r="AR65" s="527">
        <v>38</v>
      </c>
      <c r="AS65" s="527">
        <v>34</v>
      </c>
      <c r="AT65" s="527">
        <v>20</v>
      </c>
      <c r="AU65" s="527">
        <v>30</v>
      </c>
      <c r="AV65" s="527" t="s">
        <v>700</v>
      </c>
      <c r="AW65" s="527" t="s">
        <v>1718</v>
      </c>
      <c r="AX65" s="527" t="s">
        <v>1594</v>
      </c>
      <c r="AY65" s="527" t="s">
        <v>1476</v>
      </c>
      <c r="AZ65" s="527" t="s">
        <v>1542</v>
      </c>
      <c r="BA65" s="527" t="s">
        <v>1574</v>
      </c>
      <c r="BB65" s="527" t="s">
        <v>1719</v>
      </c>
      <c r="BC65" s="527" t="s">
        <v>1720</v>
      </c>
      <c r="BD65" s="558" t="str">
        <f t="shared" si="8"/>
        <v>Punarvasu</v>
      </c>
      <c r="BF65" s="585" t="s">
        <v>1721</v>
      </c>
      <c r="BG65" s="585" t="s">
        <v>1721</v>
      </c>
    </row>
    <row r="66" spans="1:59" ht="17.100000000000001" customHeight="1">
      <c r="A66" s="573">
        <v>19</v>
      </c>
      <c r="B66" s="527" t="s">
        <v>597</v>
      </c>
      <c r="C66" s="527" t="s">
        <v>1722</v>
      </c>
      <c r="D66" s="527" t="s">
        <v>166</v>
      </c>
      <c r="E66" s="527" t="s">
        <v>1723</v>
      </c>
      <c r="F66" s="583" t="s">
        <v>1371</v>
      </c>
      <c r="G66" s="588" t="s">
        <v>897</v>
      </c>
      <c r="H66" s="584" t="s">
        <v>1403</v>
      </c>
      <c r="I66" s="584" t="s">
        <v>1373</v>
      </c>
      <c r="J66" s="527" t="s">
        <v>1338</v>
      </c>
      <c r="K66" s="527" t="s">
        <v>1404</v>
      </c>
      <c r="L66" s="527" t="s">
        <v>1405</v>
      </c>
      <c r="M66" s="527" t="s">
        <v>1724</v>
      </c>
      <c r="N66" s="527" t="s">
        <v>1724</v>
      </c>
      <c r="O66" s="527" t="s">
        <v>1725</v>
      </c>
      <c r="P66" s="527" t="s">
        <v>1486</v>
      </c>
      <c r="Q66" s="527" t="s">
        <v>1726</v>
      </c>
      <c r="R66" s="527" t="s">
        <v>184</v>
      </c>
      <c r="S66" s="527" t="s">
        <v>1346</v>
      </c>
      <c r="T66" s="527" t="s">
        <v>1347</v>
      </c>
      <c r="U66" s="536">
        <f t="shared" si="5"/>
        <v>240.00000000000006</v>
      </c>
      <c r="V66" s="536">
        <f t="shared" si="6"/>
        <v>253.3333333333334</v>
      </c>
      <c r="W66" s="577" t="s">
        <v>1727</v>
      </c>
      <c r="X66" s="578" t="s">
        <v>1728</v>
      </c>
      <c r="Y66" s="529" t="s">
        <v>1469</v>
      </c>
      <c r="Z66" s="527" t="s">
        <v>1351</v>
      </c>
      <c r="AA66" s="529" t="s">
        <v>1351</v>
      </c>
      <c r="AB66" s="527" t="s">
        <v>1352</v>
      </c>
      <c r="AC66" s="527" t="s">
        <v>1353</v>
      </c>
      <c r="AD66" s="527" t="s">
        <v>1353</v>
      </c>
      <c r="AE66" s="527" t="str">
        <f t="shared" si="3"/>
        <v>Dhruva</v>
      </c>
      <c r="AF66" s="527" t="s">
        <v>1729</v>
      </c>
      <c r="AG66" s="527" t="s">
        <v>1730</v>
      </c>
      <c r="AH66" s="580">
        <v>8.1018518518518505E-4</v>
      </c>
      <c r="AI66" s="580">
        <f t="shared" si="4"/>
        <v>0.29166666666666663</v>
      </c>
      <c r="AJ66" s="581" t="s">
        <v>1731</v>
      </c>
      <c r="AK66" s="559" t="s">
        <v>1497</v>
      </c>
      <c r="AL66" s="527" t="s">
        <v>1701</v>
      </c>
      <c r="AM66" s="527" t="s">
        <v>1498</v>
      </c>
      <c r="AN66" s="527" t="s">
        <v>1420</v>
      </c>
      <c r="AO66" s="527" t="s">
        <v>1682</v>
      </c>
      <c r="AP66" s="527" t="s">
        <v>1732</v>
      </c>
      <c r="AQ66" s="527">
        <v>56</v>
      </c>
      <c r="AR66" s="527">
        <v>44</v>
      </c>
      <c r="AS66" s="527">
        <v>32</v>
      </c>
      <c r="AT66" s="527">
        <v>1</v>
      </c>
      <c r="AU66" s="527">
        <v>8</v>
      </c>
      <c r="AV66" s="527" t="s">
        <v>718</v>
      </c>
      <c r="AW66" s="527" t="s">
        <v>1733</v>
      </c>
      <c r="AX66" s="527" t="s">
        <v>1476</v>
      </c>
      <c r="AY66" s="527" t="s">
        <v>1734</v>
      </c>
      <c r="AZ66" s="527" t="s">
        <v>1735</v>
      </c>
      <c r="BA66" s="527" t="s">
        <v>1736</v>
      </c>
      <c r="BB66" s="527" t="s">
        <v>1737</v>
      </c>
      <c r="BC66" s="527" t="s">
        <v>1738</v>
      </c>
      <c r="BD66" s="558" t="str">
        <f t="shared" si="8"/>
        <v>Pushya</v>
      </c>
      <c r="BF66" s="582" t="s">
        <v>1739</v>
      </c>
      <c r="BG66" s="582" t="s">
        <v>1740</v>
      </c>
    </row>
    <row r="67" spans="1:59" ht="17.100000000000001" customHeight="1">
      <c r="A67" s="573">
        <v>20</v>
      </c>
      <c r="B67" s="527" t="s">
        <v>1741</v>
      </c>
      <c r="C67" s="527" t="s">
        <v>1742</v>
      </c>
      <c r="D67" s="527" t="s">
        <v>163</v>
      </c>
      <c r="E67" s="527" t="s">
        <v>1723</v>
      </c>
      <c r="F67" s="583" t="s">
        <v>1371</v>
      </c>
      <c r="G67" s="584" t="s">
        <v>1371</v>
      </c>
      <c r="H67" s="584" t="s">
        <v>1431</v>
      </c>
      <c r="I67" s="584" t="s">
        <v>1373</v>
      </c>
      <c r="J67" s="527" t="s">
        <v>1374</v>
      </c>
      <c r="K67" s="527" t="s">
        <v>1375</v>
      </c>
      <c r="L67" s="527" t="s">
        <v>1433</v>
      </c>
      <c r="M67" s="527" t="s">
        <v>1743</v>
      </c>
      <c r="N67" s="527" t="s">
        <v>1744</v>
      </c>
      <c r="O67" s="527" t="s">
        <v>1548</v>
      </c>
      <c r="P67" s="527" t="s">
        <v>1745</v>
      </c>
      <c r="Q67" s="527" t="s">
        <v>1746</v>
      </c>
      <c r="R67" s="527" t="s">
        <v>1169</v>
      </c>
      <c r="S67" s="527" t="s">
        <v>1381</v>
      </c>
      <c r="T67" s="527" t="s">
        <v>1382</v>
      </c>
      <c r="U67" s="536">
        <f t="shared" si="5"/>
        <v>253.3333333333334</v>
      </c>
      <c r="V67" s="536">
        <f t="shared" si="6"/>
        <v>266.66666666666674</v>
      </c>
      <c r="W67" s="577" t="s">
        <v>1747</v>
      </c>
      <c r="X67" s="578" t="s">
        <v>1748</v>
      </c>
      <c r="Y67" s="529" t="s">
        <v>1492</v>
      </c>
      <c r="Z67" s="527" t="s">
        <v>1352</v>
      </c>
      <c r="AA67" s="529" t="s">
        <v>1352</v>
      </c>
      <c r="AB67" s="527" t="s">
        <v>1351</v>
      </c>
      <c r="AC67" s="527" t="s">
        <v>1351</v>
      </c>
      <c r="AD67" s="527" t="s">
        <v>1352</v>
      </c>
      <c r="AE67" s="527" t="str">
        <f t="shared" si="3"/>
        <v>Vyāghāta</v>
      </c>
      <c r="AF67" s="527" t="s">
        <v>1729</v>
      </c>
      <c r="AG67" s="527" t="s">
        <v>1749</v>
      </c>
      <c r="AH67" s="580">
        <v>2.3148148148148099E-3</v>
      </c>
      <c r="AI67" s="580">
        <f t="shared" si="4"/>
        <v>0.83333333333333159</v>
      </c>
      <c r="AJ67" s="581" t="s">
        <v>1750</v>
      </c>
      <c r="AK67" s="559" t="s">
        <v>1497</v>
      </c>
      <c r="AL67" s="527" t="s">
        <v>1701</v>
      </c>
      <c r="AM67" s="527" t="s">
        <v>1388</v>
      </c>
      <c r="AN67" s="527" t="s">
        <v>1445</v>
      </c>
      <c r="AO67" s="527" t="s">
        <v>1751</v>
      </c>
      <c r="AP67" s="527" t="s">
        <v>1752</v>
      </c>
      <c r="AQ67" s="527">
        <v>24</v>
      </c>
      <c r="AR67" s="527">
        <v>48</v>
      </c>
      <c r="AS67" s="527">
        <v>42</v>
      </c>
      <c r="AT67" s="527">
        <v>52</v>
      </c>
      <c r="AU67" s="527">
        <v>60</v>
      </c>
      <c r="AV67" s="527" t="s">
        <v>718</v>
      </c>
      <c r="AW67" s="527" t="s">
        <v>1753</v>
      </c>
      <c r="AX67" s="527" t="s">
        <v>1754</v>
      </c>
      <c r="AY67" s="527" t="s">
        <v>1475</v>
      </c>
      <c r="AZ67" s="527" t="s">
        <v>1755</v>
      </c>
      <c r="BA67" s="527" t="s">
        <v>1636</v>
      </c>
      <c r="BB67" s="527" t="s">
        <v>1756</v>
      </c>
      <c r="BC67" s="527" t="s">
        <v>1757</v>
      </c>
      <c r="BD67" s="558" t="str">
        <f t="shared" si="8"/>
        <v>Ashlesha</v>
      </c>
      <c r="BF67" s="582" t="s">
        <v>1758</v>
      </c>
      <c r="BG67" s="591" t="s">
        <v>1759</v>
      </c>
    </row>
    <row r="68" spans="1:59" ht="17.100000000000001" customHeight="1">
      <c r="A68" s="573">
        <v>21</v>
      </c>
      <c r="B68" s="527" t="s">
        <v>1760</v>
      </c>
      <c r="C68" s="527" t="s">
        <v>1761</v>
      </c>
      <c r="D68" s="527" t="s">
        <v>158</v>
      </c>
      <c r="E68" s="527" t="s">
        <v>1762</v>
      </c>
      <c r="F68" s="583" t="s">
        <v>1371</v>
      </c>
      <c r="G68" s="584" t="s">
        <v>1402</v>
      </c>
      <c r="H68" s="587" t="s">
        <v>1336</v>
      </c>
      <c r="I68" s="584" t="s">
        <v>1432</v>
      </c>
      <c r="J68" s="527" t="s">
        <v>1374</v>
      </c>
      <c r="K68" s="527" t="s">
        <v>1375</v>
      </c>
      <c r="L68" s="527" t="s">
        <v>1433</v>
      </c>
      <c r="M68" s="527" t="s">
        <v>1763</v>
      </c>
      <c r="N68" s="527" t="s">
        <v>1764</v>
      </c>
      <c r="O68" s="527" t="s">
        <v>1548</v>
      </c>
      <c r="P68" s="527" t="s">
        <v>1765</v>
      </c>
      <c r="Q68" s="527" t="s">
        <v>1766</v>
      </c>
      <c r="R68" s="527" t="s">
        <v>1513</v>
      </c>
      <c r="S68" s="527" t="s">
        <v>1411</v>
      </c>
      <c r="T68" s="527" t="s">
        <v>1412</v>
      </c>
      <c r="U68" s="536">
        <f t="shared" si="5"/>
        <v>266.66666666666674</v>
      </c>
      <c r="V68" s="536">
        <f t="shared" si="6"/>
        <v>280.00000000000006</v>
      </c>
      <c r="W68" s="577" t="s">
        <v>1767</v>
      </c>
      <c r="X68" s="578" t="s">
        <v>1768</v>
      </c>
      <c r="Y68" s="529" t="s">
        <v>1516</v>
      </c>
      <c r="Z68" s="527" t="s">
        <v>1416</v>
      </c>
      <c r="AA68" s="529" t="s">
        <v>1353</v>
      </c>
      <c r="AB68" s="527" t="s">
        <v>1353</v>
      </c>
      <c r="AC68" s="527" t="s">
        <v>1352</v>
      </c>
      <c r="AD68" s="527" t="s">
        <v>1351</v>
      </c>
      <c r="AE68" s="527" t="str">
        <f t="shared" si="3"/>
        <v>Harshana</v>
      </c>
      <c r="AF68" s="527" t="s">
        <v>842</v>
      </c>
      <c r="AG68" s="527" t="s">
        <v>1769</v>
      </c>
      <c r="AH68" s="580">
        <v>6.9444444444444404E-4</v>
      </c>
      <c r="AI68" s="580">
        <f t="shared" si="4"/>
        <v>0.24999999999999986</v>
      </c>
      <c r="AJ68" s="581" t="s">
        <v>1770</v>
      </c>
      <c r="AK68" s="559" t="s">
        <v>1497</v>
      </c>
      <c r="AL68" s="527" t="s">
        <v>1701</v>
      </c>
      <c r="AM68" s="527" t="s">
        <v>1444</v>
      </c>
      <c r="AN68" s="527" t="s">
        <v>1320</v>
      </c>
      <c r="AO68" s="527" t="s">
        <v>1751</v>
      </c>
      <c r="AP68" s="527" t="s">
        <v>1771</v>
      </c>
      <c r="AQ68" s="527">
        <v>20</v>
      </c>
      <c r="AR68" s="527">
        <v>44</v>
      </c>
      <c r="AS68" s="527">
        <v>44</v>
      </c>
      <c r="AT68" s="527">
        <v>20</v>
      </c>
      <c r="AU68" s="527">
        <v>30</v>
      </c>
      <c r="AV68" s="527" t="s">
        <v>718</v>
      </c>
      <c r="AX68" s="527" t="s">
        <v>1736</v>
      </c>
      <c r="AY68" s="527" t="s">
        <v>1772</v>
      </c>
      <c r="AZ68" s="527" t="s">
        <v>1773</v>
      </c>
      <c r="BA68" s="527" t="s">
        <v>1774</v>
      </c>
      <c r="BB68" s="527" t="s">
        <v>1775</v>
      </c>
      <c r="BC68" s="527" t="s">
        <v>1776</v>
      </c>
      <c r="BD68" s="558" t="str">
        <f t="shared" si="8"/>
        <v>Magha</v>
      </c>
      <c r="BF68" s="585" t="s">
        <v>1777</v>
      </c>
      <c r="BG68" s="582" t="s">
        <v>1778</v>
      </c>
    </row>
    <row r="69" spans="1:59" s="594" customFormat="1" ht="14.1" customHeight="1">
      <c r="A69" s="592"/>
      <c r="B69" s="593" t="s">
        <v>655</v>
      </c>
      <c r="C69" s="593"/>
      <c r="D69" s="593" t="s">
        <v>158</v>
      </c>
      <c r="E69" s="593" t="s">
        <v>1779</v>
      </c>
      <c r="F69" s="593"/>
      <c r="G69" s="593"/>
      <c r="H69" s="576" t="s">
        <v>1372</v>
      </c>
      <c r="I69" s="593"/>
      <c r="J69" s="593"/>
      <c r="K69" s="593"/>
      <c r="L69" s="593"/>
      <c r="M69" s="593"/>
      <c r="O69" s="593"/>
      <c r="Q69" s="593" t="s">
        <v>1436</v>
      </c>
      <c r="R69" s="593"/>
      <c r="S69" s="593"/>
      <c r="T69" s="593"/>
      <c r="U69" s="595">
        <f>276+2/3</f>
        <v>276.66666666666669</v>
      </c>
      <c r="V69" s="595">
        <f>U69+3+1/3+(13+1/3)/15</f>
        <v>280.88888888888891</v>
      </c>
      <c r="W69" s="593" t="s">
        <v>1780</v>
      </c>
      <c r="X69" s="596" t="s">
        <v>1781</v>
      </c>
      <c r="Y69" s="593" t="s">
        <v>1350</v>
      </c>
      <c r="Z69" s="593"/>
      <c r="AA69" s="597"/>
      <c r="AI69" s="598"/>
      <c r="AK69" s="599"/>
      <c r="AM69" s="600" t="s">
        <v>1358</v>
      </c>
      <c r="AN69" s="594" t="s">
        <v>1389</v>
      </c>
      <c r="AO69" s="594" t="s">
        <v>1751</v>
      </c>
      <c r="AQ69" s="527">
        <v>0</v>
      </c>
      <c r="AR69" s="527"/>
      <c r="AS69" s="527"/>
      <c r="AT69" s="527"/>
      <c r="AU69" s="527"/>
      <c r="AV69" s="527"/>
      <c r="AW69" s="527" t="s">
        <v>1782</v>
      </c>
      <c r="AX69" s="527"/>
      <c r="AY69" s="527"/>
      <c r="AZ69" s="527"/>
      <c r="BA69" s="527"/>
      <c r="BB69" s="527"/>
      <c r="BC69" s="527"/>
      <c r="BD69" s="558"/>
      <c r="BF69" s="582"/>
      <c r="BG69" s="582"/>
    </row>
    <row r="70" spans="1:59" ht="14.1" customHeight="1">
      <c r="A70" s="573">
        <v>22</v>
      </c>
      <c r="B70" s="527" t="s">
        <v>609</v>
      </c>
      <c r="C70" s="527" t="s">
        <v>1783</v>
      </c>
      <c r="D70" s="527" t="s">
        <v>159</v>
      </c>
      <c r="E70" s="527" t="s">
        <v>1779</v>
      </c>
      <c r="F70" s="586" t="s">
        <v>1371</v>
      </c>
      <c r="G70" s="587" t="s">
        <v>1784</v>
      </c>
      <c r="H70" s="584" t="s">
        <v>1403</v>
      </c>
      <c r="I70" s="587" t="s">
        <v>1432</v>
      </c>
      <c r="J70" s="527" t="s">
        <v>1374</v>
      </c>
      <c r="K70" s="527" t="s">
        <v>1339</v>
      </c>
      <c r="L70" s="527" t="s">
        <v>1376</v>
      </c>
      <c r="M70" s="527" t="s">
        <v>1532</v>
      </c>
      <c r="N70" s="527" t="s">
        <v>1532</v>
      </c>
      <c r="O70" s="527" t="s">
        <v>1485</v>
      </c>
      <c r="P70" s="527" t="s">
        <v>1745</v>
      </c>
      <c r="Q70" s="527" t="s">
        <v>1785</v>
      </c>
      <c r="R70" s="527" t="s">
        <v>1488</v>
      </c>
      <c r="S70" s="527" t="s">
        <v>1346</v>
      </c>
      <c r="T70" s="527" t="s">
        <v>1438</v>
      </c>
      <c r="U70" s="536">
        <f>U68+StarDeg</f>
        <v>280.00000000000006</v>
      </c>
      <c r="V70" s="536">
        <f>V68+StarDeg</f>
        <v>293.33333333333337</v>
      </c>
      <c r="W70" s="577" t="s">
        <v>1786</v>
      </c>
      <c r="X70" s="578" t="s">
        <v>1787</v>
      </c>
      <c r="Y70" s="529" t="s">
        <v>1385</v>
      </c>
      <c r="Z70" s="527" t="s">
        <v>1416</v>
      </c>
      <c r="AA70" s="529" t="s">
        <v>1351</v>
      </c>
      <c r="AB70" s="527" t="s">
        <v>1352</v>
      </c>
      <c r="AC70" s="527" t="s">
        <v>1353</v>
      </c>
      <c r="AD70" s="527" t="s">
        <v>1353</v>
      </c>
      <c r="AE70" s="527" t="str">
        <f t="shared" ref="AE70:AE75" si="9">INDEX(PanchangaYoga,MOD(26+A70-7,27)+1,2)</f>
        <v>Vajra</v>
      </c>
      <c r="AF70" s="527" t="s">
        <v>842</v>
      </c>
      <c r="AG70" s="527" t="s">
        <v>1788</v>
      </c>
      <c r="AH70" s="580">
        <v>1.1574074074074099E-3</v>
      </c>
      <c r="AI70" s="580">
        <f t="shared" ref="AI70:AI75" si="10">AH70*360</f>
        <v>0.41666666666666757</v>
      </c>
      <c r="AJ70" s="581" t="s">
        <v>1789</v>
      </c>
      <c r="AK70" s="559" t="s">
        <v>1497</v>
      </c>
      <c r="AL70" s="527" t="s">
        <v>1701</v>
      </c>
      <c r="AM70" s="527" t="s">
        <v>1519</v>
      </c>
      <c r="AN70" s="527" t="s">
        <v>1420</v>
      </c>
      <c r="AO70" s="527" t="s">
        <v>1751</v>
      </c>
      <c r="AP70" s="527" t="s">
        <v>1790</v>
      </c>
      <c r="AQ70" s="527">
        <v>10</v>
      </c>
      <c r="AR70" s="527">
        <v>34</v>
      </c>
      <c r="AS70" s="527">
        <v>46</v>
      </c>
      <c r="AT70" s="527">
        <v>1</v>
      </c>
      <c r="AU70" s="527">
        <v>8</v>
      </c>
      <c r="AV70" s="527" t="s">
        <v>700</v>
      </c>
      <c r="AW70" s="527" t="s">
        <v>1791</v>
      </c>
      <c r="AX70" s="527" t="s">
        <v>1792</v>
      </c>
      <c r="AY70" s="527" t="s">
        <v>1793</v>
      </c>
      <c r="AZ70" s="527" t="s">
        <v>1576</v>
      </c>
      <c r="BA70" s="527" t="s">
        <v>1668</v>
      </c>
      <c r="BB70" s="527" t="s">
        <v>1794</v>
      </c>
      <c r="BC70" s="527" t="s">
        <v>1795</v>
      </c>
      <c r="BD70" s="558" t="str">
        <f t="shared" ref="BD70:BD75" si="11">B58</f>
        <v>Purva Phalguni</v>
      </c>
      <c r="BF70" s="585" t="s">
        <v>1796</v>
      </c>
      <c r="BG70" s="585" t="s">
        <v>1797</v>
      </c>
    </row>
    <row r="71" spans="1:59" ht="21.6" customHeight="1">
      <c r="A71" s="573">
        <v>23</v>
      </c>
      <c r="B71" s="527" t="s">
        <v>1798</v>
      </c>
      <c r="C71" s="527" t="s">
        <v>1799</v>
      </c>
      <c r="D71" s="527" t="s">
        <v>160</v>
      </c>
      <c r="E71" s="527" t="s">
        <v>1800</v>
      </c>
      <c r="F71" s="574" t="s">
        <v>1402</v>
      </c>
      <c r="G71" s="576" t="s">
        <v>897</v>
      </c>
      <c r="H71" s="584" t="s">
        <v>1431</v>
      </c>
      <c r="I71" s="576" t="s">
        <v>1432</v>
      </c>
      <c r="J71" s="527" t="s">
        <v>1338</v>
      </c>
      <c r="K71" s="527" t="s">
        <v>1404</v>
      </c>
      <c r="L71" s="527" t="s">
        <v>1340</v>
      </c>
      <c r="M71" s="527" t="s">
        <v>1801</v>
      </c>
      <c r="N71" s="527" t="s">
        <v>1802</v>
      </c>
      <c r="O71" s="527" t="s">
        <v>1485</v>
      </c>
      <c r="P71" s="527" t="s">
        <v>1803</v>
      </c>
      <c r="Q71" s="527" t="s">
        <v>1804</v>
      </c>
      <c r="R71" s="559" t="s">
        <v>1060</v>
      </c>
      <c r="S71" s="527" t="s">
        <v>1381</v>
      </c>
      <c r="T71" s="527" t="s">
        <v>1466</v>
      </c>
      <c r="U71" s="536">
        <f t="shared" ref="U71:V75" si="12">U70+StarDeg</f>
        <v>293.33333333333337</v>
      </c>
      <c r="V71" s="536">
        <f t="shared" si="12"/>
        <v>306.66666666666669</v>
      </c>
      <c r="W71" s="577" t="s">
        <v>1805</v>
      </c>
      <c r="X71" s="578" t="s">
        <v>1806</v>
      </c>
      <c r="Y71" s="529" t="s">
        <v>1415</v>
      </c>
      <c r="Z71" s="527" t="s">
        <v>1352</v>
      </c>
      <c r="AA71" s="529" t="s">
        <v>1352</v>
      </c>
      <c r="AB71" s="527" t="s">
        <v>1351</v>
      </c>
      <c r="AC71" s="527" t="s">
        <v>1351</v>
      </c>
      <c r="AD71" s="527" t="s">
        <v>1352</v>
      </c>
      <c r="AE71" s="527" t="str">
        <f t="shared" si="9"/>
        <v>Siddhi</v>
      </c>
      <c r="AF71" s="527" t="s">
        <v>842</v>
      </c>
      <c r="AG71" s="527" t="s">
        <v>1807</v>
      </c>
      <c r="AH71" s="580">
        <v>8.1018518518518505E-4</v>
      </c>
      <c r="AI71" s="580">
        <f t="shared" si="10"/>
        <v>0.29166666666666663</v>
      </c>
      <c r="AJ71" s="581" t="s">
        <v>1808</v>
      </c>
      <c r="AK71" s="559" t="s">
        <v>1357</v>
      </c>
      <c r="AL71" s="527" t="s">
        <v>1809</v>
      </c>
      <c r="AM71" s="527" t="s">
        <v>1519</v>
      </c>
      <c r="AN71" s="527" t="s">
        <v>1445</v>
      </c>
      <c r="AO71" s="527" t="s">
        <v>1810</v>
      </c>
      <c r="AP71" s="527" t="s">
        <v>1811</v>
      </c>
      <c r="AQ71" s="527">
        <v>10</v>
      </c>
      <c r="AR71" s="527">
        <v>34</v>
      </c>
      <c r="AS71" s="527">
        <v>48</v>
      </c>
      <c r="AT71" s="527">
        <v>52</v>
      </c>
      <c r="AU71" s="527">
        <v>60</v>
      </c>
      <c r="AV71" s="527" t="s">
        <v>700</v>
      </c>
      <c r="AW71" s="527" t="s">
        <v>1812</v>
      </c>
      <c r="AX71" s="527" t="s">
        <v>1541</v>
      </c>
      <c r="AY71" s="527" t="s">
        <v>1813</v>
      </c>
      <c r="AZ71" s="527" t="s">
        <v>1451</v>
      </c>
      <c r="BA71" s="527" t="s">
        <v>1814</v>
      </c>
      <c r="BB71" s="527" t="s">
        <v>1815</v>
      </c>
      <c r="BC71" s="527" t="s">
        <v>1816</v>
      </c>
      <c r="BD71" s="558" t="str">
        <f t="shared" si="11"/>
        <v>Uttara Phalguni</v>
      </c>
      <c r="BF71" s="582" t="s">
        <v>1817</v>
      </c>
      <c r="BG71" s="582" t="s">
        <v>1818</v>
      </c>
    </row>
    <row r="72" spans="1:59" ht="24.6" customHeight="1">
      <c r="A72" s="573">
        <v>24</v>
      </c>
      <c r="B72" s="527" t="s">
        <v>1819</v>
      </c>
      <c r="C72" s="527" t="s">
        <v>1820</v>
      </c>
      <c r="D72" s="527" t="s">
        <v>165</v>
      </c>
      <c r="E72" s="527" t="s">
        <v>1821</v>
      </c>
      <c r="F72" s="583" t="s">
        <v>1402</v>
      </c>
      <c r="G72" s="584" t="s">
        <v>1371</v>
      </c>
      <c r="H72" s="587" t="s">
        <v>1336</v>
      </c>
      <c r="I72" s="584" t="s">
        <v>1432</v>
      </c>
      <c r="J72" s="527" t="s">
        <v>1338</v>
      </c>
      <c r="K72" s="527" t="s">
        <v>1404</v>
      </c>
      <c r="L72" s="527" t="s">
        <v>1340</v>
      </c>
      <c r="M72" s="527" t="s">
        <v>1822</v>
      </c>
      <c r="N72" s="527" t="s">
        <v>1823</v>
      </c>
      <c r="O72" s="527" t="s">
        <v>1463</v>
      </c>
      <c r="P72" s="527" t="s">
        <v>1343</v>
      </c>
      <c r="Q72" s="527" t="s">
        <v>1824</v>
      </c>
      <c r="R72" s="527" t="s">
        <v>1488</v>
      </c>
      <c r="S72" s="527" t="s">
        <v>1411</v>
      </c>
      <c r="T72" s="527" t="s">
        <v>1489</v>
      </c>
      <c r="U72" s="536">
        <f t="shared" si="12"/>
        <v>306.66666666666669</v>
      </c>
      <c r="V72" s="536">
        <f t="shared" si="12"/>
        <v>320</v>
      </c>
      <c r="W72" s="577" t="s">
        <v>1825</v>
      </c>
      <c r="X72" s="578" t="s">
        <v>1826</v>
      </c>
      <c r="Y72" s="529" t="s">
        <v>1441</v>
      </c>
      <c r="Z72" s="527" t="s">
        <v>1351</v>
      </c>
      <c r="AA72" s="529" t="s">
        <v>1353</v>
      </c>
      <c r="AB72" s="527" t="s">
        <v>1353</v>
      </c>
      <c r="AC72" s="527" t="s">
        <v>1352</v>
      </c>
      <c r="AD72" s="527" t="s">
        <v>1351</v>
      </c>
      <c r="AE72" s="527" t="str">
        <f t="shared" si="9"/>
        <v>Vyatīpāta</v>
      </c>
      <c r="AF72" s="527" t="s">
        <v>842</v>
      </c>
      <c r="AG72" s="527" t="s">
        <v>1827</v>
      </c>
      <c r="AH72" s="580">
        <v>2.0833333333333298E-3</v>
      </c>
      <c r="AI72" s="580">
        <f t="shared" si="10"/>
        <v>0.74999999999999878</v>
      </c>
      <c r="AJ72" s="581" t="s">
        <v>1828</v>
      </c>
      <c r="AK72" s="559" t="s">
        <v>1357</v>
      </c>
      <c r="AL72" s="527" t="s">
        <v>1809</v>
      </c>
      <c r="AM72" s="527" t="s">
        <v>1519</v>
      </c>
      <c r="AN72" s="527" t="s">
        <v>1320</v>
      </c>
      <c r="AO72" s="527" t="s">
        <v>1810</v>
      </c>
      <c r="AP72" s="527" t="s">
        <v>1829</v>
      </c>
      <c r="AQ72" s="527">
        <v>18</v>
      </c>
      <c r="AR72" s="527">
        <v>42</v>
      </c>
      <c r="AS72" s="527">
        <v>50</v>
      </c>
      <c r="AT72" s="527">
        <v>20</v>
      </c>
      <c r="AU72" s="527">
        <v>30</v>
      </c>
      <c r="AV72" s="527" t="s">
        <v>700</v>
      </c>
      <c r="AW72" s="527" t="s">
        <v>1830</v>
      </c>
      <c r="AX72" s="527" t="s">
        <v>1755</v>
      </c>
      <c r="AY72" s="527" t="s">
        <v>1636</v>
      </c>
      <c r="AZ72" s="527" t="s">
        <v>1522</v>
      </c>
      <c r="BA72" s="527" t="s">
        <v>1574</v>
      </c>
      <c r="BB72" s="527" t="s">
        <v>1831</v>
      </c>
      <c r="BC72" s="527" t="s">
        <v>1832</v>
      </c>
      <c r="BD72" s="558" t="str">
        <f t="shared" si="11"/>
        <v>Hasta</v>
      </c>
      <c r="BF72" s="591" t="s">
        <v>1833</v>
      </c>
      <c r="BG72" s="582" t="s">
        <v>1834</v>
      </c>
    </row>
    <row r="73" spans="1:59" ht="17.100000000000001" customHeight="1">
      <c r="A73" s="573">
        <v>25</v>
      </c>
      <c r="B73" s="527" t="s">
        <v>1835</v>
      </c>
      <c r="C73" s="527" t="s">
        <v>1836</v>
      </c>
      <c r="D73" s="527" t="s">
        <v>162</v>
      </c>
      <c r="E73" s="527" t="s">
        <v>1837</v>
      </c>
      <c r="F73" s="583" t="s">
        <v>1402</v>
      </c>
      <c r="G73" s="584" t="s">
        <v>1402</v>
      </c>
      <c r="H73" s="576" t="s">
        <v>1372</v>
      </c>
      <c r="I73" s="584" t="s">
        <v>1373</v>
      </c>
      <c r="J73" s="527" t="s">
        <v>1509</v>
      </c>
      <c r="K73" s="527" t="s">
        <v>1375</v>
      </c>
      <c r="L73" s="527" t="s">
        <v>1376</v>
      </c>
      <c r="M73" s="527" t="s">
        <v>1838</v>
      </c>
      <c r="N73" s="527" t="s">
        <v>1839</v>
      </c>
      <c r="O73" s="527" t="s">
        <v>1548</v>
      </c>
      <c r="P73" s="527" t="s">
        <v>1803</v>
      </c>
      <c r="Q73" s="527" t="s">
        <v>1840</v>
      </c>
      <c r="R73" s="527" t="s">
        <v>1513</v>
      </c>
      <c r="S73" s="527" t="s">
        <v>1346</v>
      </c>
      <c r="T73" s="527" t="s">
        <v>1347</v>
      </c>
      <c r="U73" s="536">
        <f t="shared" si="12"/>
        <v>320</v>
      </c>
      <c r="V73" s="536">
        <f t="shared" si="12"/>
        <v>333.33333333333331</v>
      </c>
      <c r="W73" s="577" t="s">
        <v>1841</v>
      </c>
      <c r="X73" s="578" t="s">
        <v>1842</v>
      </c>
      <c r="Y73" s="529" t="s">
        <v>1469</v>
      </c>
      <c r="Z73" s="527" t="s">
        <v>1351</v>
      </c>
      <c r="AA73" s="529" t="s">
        <v>1351</v>
      </c>
      <c r="AB73" s="527" t="s">
        <v>1352</v>
      </c>
      <c r="AC73" s="527" t="s">
        <v>1353</v>
      </c>
      <c r="AD73" s="527" t="s">
        <v>1353</v>
      </c>
      <c r="AE73" s="527" t="str">
        <f t="shared" si="9"/>
        <v>Varigha/Variiyas</v>
      </c>
      <c r="AF73" s="527" t="s">
        <v>842</v>
      </c>
      <c r="AG73" s="527" t="s">
        <v>1843</v>
      </c>
      <c r="AH73" s="580">
        <v>1.85185185185185E-3</v>
      </c>
      <c r="AI73" s="580">
        <f t="shared" si="10"/>
        <v>0.66666666666666596</v>
      </c>
      <c r="AJ73" s="581" t="s">
        <v>1844</v>
      </c>
      <c r="AK73" s="559" t="s">
        <v>1357</v>
      </c>
      <c r="AL73" s="527" t="s">
        <v>1809</v>
      </c>
      <c r="AM73" s="527" t="s">
        <v>1388</v>
      </c>
      <c r="AN73" s="527" t="s">
        <v>1389</v>
      </c>
      <c r="AO73" s="527" t="s">
        <v>1810</v>
      </c>
      <c r="AP73" s="527" t="s">
        <v>1845</v>
      </c>
      <c r="AQ73" s="527">
        <v>16</v>
      </c>
      <c r="AR73" s="527">
        <v>40</v>
      </c>
      <c r="AS73" s="527">
        <v>52</v>
      </c>
      <c r="AT73" s="527">
        <v>1</v>
      </c>
      <c r="AU73" s="527">
        <v>8</v>
      </c>
      <c r="AV73" s="527" t="s">
        <v>718</v>
      </c>
      <c r="AW73" s="527" t="s">
        <v>1846</v>
      </c>
      <c r="AX73" s="527" t="s">
        <v>1847</v>
      </c>
      <c r="AY73" s="527" t="s">
        <v>1165</v>
      </c>
      <c r="AZ73" s="527" t="s">
        <v>1848</v>
      </c>
      <c r="BA73" s="527" t="s">
        <v>1476</v>
      </c>
      <c r="BB73" s="527" t="s">
        <v>1849</v>
      </c>
      <c r="BC73" s="527" t="s">
        <v>1850</v>
      </c>
      <c r="BD73" s="558" t="str">
        <f t="shared" si="11"/>
        <v>Chitra</v>
      </c>
      <c r="BF73" s="591" t="s">
        <v>1851</v>
      </c>
      <c r="BG73" s="582" t="s">
        <v>1852</v>
      </c>
    </row>
    <row r="74" spans="1:59" ht="17.850000000000001" customHeight="1">
      <c r="A74" s="573">
        <v>26</v>
      </c>
      <c r="B74" s="527" t="s">
        <v>1853</v>
      </c>
      <c r="C74" s="527" t="s">
        <v>1854</v>
      </c>
      <c r="D74" s="527" t="s">
        <v>462</v>
      </c>
      <c r="E74" s="527" t="s">
        <v>1855</v>
      </c>
      <c r="F74" s="583" t="s">
        <v>1402</v>
      </c>
      <c r="G74" s="584" t="s">
        <v>1335</v>
      </c>
      <c r="H74" s="584" t="s">
        <v>1403</v>
      </c>
      <c r="I74" s="584" t="s">
        <v>1432</v>
      </c>
      <c r="J74" s="527" t="s">
        <v>1338</v>
      </c>
      <c r="K74" s="527" t="s">
        <v>1375</v>
      </c>
      <c r="L74" s="527" t="s">
        <v>1405</v>
      </c>
      <c r="M74" s="527" t="s">
        <v>1856</v>
      </c>
      <c r="N74" s="527" t="s">
        <v>1857</v>
      </c>
      <c r="O74" s="527" t="s">
        <v>1378</v>
      </c>
      <c r="P74" s="527" t="s">
        <v>1605</v>
      </c>
      <c r="Q74" s="527" t="s">
        <v>1858</v>
      </c>
      <c r="R74" s="527" t="s">
        <v>1169</v>
      </c>
      <c r="S74" s="527" t="s">
        <v>1381</v>
      </c>
      <c r="T74" s="527" t="s">
        <v>1382</v>
      </c>
      <c r="U74" s="536">
        <f t="shared" si="12"/>
        <v>333.33333333333331</v>
      </c>
      <c r="V74" s="536">
        <f t="shared" si="12"/>
        <v>346.66666666666663</v>
      </c>
      <c r="W74" s="577" t="s">
        <v>1859</v>
      </c>
      <c r="X74" s="578" t="s">
        <v>1860</v>
      </c>
      <c r="Y74" s="529" t="s">
        <v>1492</v>
      </c>
      <c r="Z74" s="527" t="s">
        <v>1352</v>
      </c>
      <c r="AA74" s="529" t="s">
        <v>1352</v>
      </c>
      <c r="AB74" s="527" t="s">
        <v>1351</v>
      </c>
      <c r="AC74" s="527" t="s">
        <v>1351</v>
      </c>
      <c r="AD74" s="527" t="s">
        <v>1352</v>
      </c>
      <c r="AE74" s="527" t="str">
        <f t="shared" si="9"/>
        <v>Parigha</v>
      </c>
      <c r="AF74" s="527" t="s">
        <v>842</v>
      </c>
      <c r="AG74" s="527" t="s">
        <v>1861</v>
      </c>
      <c r="AH74" s="580">
        <v>2.1990740740740699E-3</v>
      </c>
      <c r="AI74" s="580">
        <f t="shared" si="10"/>
        <v>0.79166666666666519</v>
      </c>
      <c r="AJ74" s="581" t="s">
        <v>1862</v>
      </c>
      <c r="AK74" s="559" t="s">
        <v>1357</v>
      </c>
      <c r="AL74" s="527" t="s">
        <v>1809</v>
      </c>
      <c r="AM74" s="527" t="s">
        <v>1444</v>
      </c>
      <c r="AN74" s="527" t="s">
        <v>1420</v>
      </c>
      <c r="AO74" s="527" t="s">
        <v>1810</v>
      </c>
      <c r="AP74" s="527" t="s">
        <v>1863</v>
      </c>
      <c r="AQ74" s="527">
        <v>24</v>
      </c>
      <c r="AR74" s="527">
        <v>48</v>
      </c>
      <c r="AS74" s="527">
        <v>52</v>
      </c>
      <c r="AT74" s="527">
        <v>52</v>
      </c>
      <c r="AU74" s="527">
        <v>60</v>
      </c>
      <c r="AV74" s="527" t="s">
        <v>718</v>
      </c>
      <c r="AX74" s="527" t="s">
        <v>1475</v>
      </c>
      <c r="AY74" s="527" t="s">
        <v>1165</v>
      </c>
      <c r="AZ74" s="527" t="s">
        <v>1574</v>
      </c>
      <c r="BA74" s="527" t="s">
        <v>1522</v>
      </c>
      <c r="BB74" s="527" t="s">
        <v>1864</v>
      </c>
      <c r="BC74" s="527" t="s">
        <v>1865</v>
      </c>
      <c r="BD74" s="558" t="str">
        <f t="shared" si="11"/>
        <v>Swati</v>
      </c>
      <c r="BF74" s="591" t="s">
        <v>1866</v>
      </c>
      <c r="BG74" s="582" t="s">
        <v>1867</v>
      </c>
    </row>
    <row r="75" spans="1:59" s="527" customFormat="1" ht="32.1" customHeight="1">
      <c r="A75" s="573">
        <v>27</v>
      </c>
      <c r="B75" s="527" t="s">
        <v>574</v>
      </c>
      <c r="D75" s="527" t="s">
        <v>800</v>
      </c>
      <c r="E75" s="527" t="s">
        <v>1855</v>
      </c>
      <c r="F75" s="586" t="s">
        <v>1402</v>
      </c>
      <c r="G75" s="589" t="s">
        <v>1460</v>
      </c>
      <c r="H75" s="584" t="s">
        <v>1431</v>
      </c>
      <c r="I75" s="587" t="s">
        <v>1337</v>
      </c>
      <c r="J75" s="527" t="s">
        <v>1509</v>
      </c>
      <c r="K75" s="527" t="s">
        <v>1339</v>
      </c>
      <c r="L75" s="527" t="s">
        <v>1433</v>
      </c>
      <c r="M75" s="527" t="s">
        <v>1868</v>
      </c>
      <c r="N75" s="527" t="s">
        <v>1868</v>
      </c>
      <c r="O75" s="527" t="s">
        <v>1378</v>
      </c>
      <c r="P75" s="527" t="s">
        <v>1377</v>
      </c>
      <c r="Q75" s="527" t="s">
        <v>1869</v>
      </c>
      <c r="R75" s="527" t="s">
        <v>184</v>
      </c>
      <c r="S75" s="527" t="s">
        <v>1411</v>
      </c>
      <c r="T75" s="527" t="s">
        <v>1412</v>
      </c>
      <c r="U75" s="536">
        <f t="shared" si="12"/>
        <v>346.66666666666663</v>
      </c>
      <c r="V75" s="527">
        <f t="shared" si="12"/>
        <v>359.99999999999994</v>
      </c>
      <c r="W75" s="577" t="s">
        <v>1870</v>
      </c>
      <c r="X75" s="578" t="s">
        <v>1871</v>
      </c>
      <c r="Y75" s="529" t="s">
        <v>1516</v>
      </c>
      <c r="Z75" s="527" t="s">
        <v>1416</v>
      </c>
      <c r="AA75" s="529" t="s">
        <v>1353</v>
      </c>
      <c r="AB75" s="527" t="s">
        <v>1353</v>
      </c>
      <c r="AC75" s="527" t="s">
        <v>1352</v>
      </c>
      <c r="AD75" s="527" t="s">
        <v>1351</v>
      </c>
      <c r="AE75" s="527" t="str">
        <f t="shared" si="9"/>
        <v>Shiva</v>
      </c>
      <c r="AF75" s="527" t="s">
        <v>842</v>
      </c>
      <c r="AG75" s="527" t="s">
        <v>1872</v>
      </c>
      <c r="AH75" s="580">
        <v>1.9675925925925898E-3</v>
      </c>
      <c r="AI75" s="580">
        <f t="shared" si="10"/>
        <v>0.70833333333333237</v>
      </c>
      <c r="AJ75" s="601" t="s">
        <v>1873</v>
      </c>
      <c r="AK75" s="559" t="s">
        <v>1357</v>
      </c>
      <c r="AL75" s="527" t="s">
        <v>1809</v>
      </c>
      <c r="AM75" s="527" t="s">
        <v>1472</v>
      </c>
      <c r="AN75" s="527" t="s">
        <v>1445</v>
      </c>
      <c r="AO75" s="527" t="s">
        <v>1359</v>
      </c>
      <c r="AP75" s="527" t="s">
        <v>1874</v>
      </c>
      <c r="AQ75" s="527">
        <v>30</v>
      </c>
      <c r="AR75" s="527">
        <v>54</v>
      </c>
      <c r="AS75" s="527">
        <v>54</v>
      </c>
      <c r="AT75" s="527">
        <v>20</v>
      </c>
      <c r="AU75" s="527">
        <v>30</v>
      </c>
      <c r="AV75" s="527" t="s">
        <v>718</v>
      </c>
      <c r="AW75" s="527" t="s">
        <v>1875</v>
      </c>
      <c r="AX75" s="527" t="s">
        <v>1876</v>
      </c>
      <c r="AY75" s="527" t="s">
        <v>1165</v>
      </c>
      <c r="AZ75" s="527" t="s">
        <v>1877</v>
      </c>
      <c r="BA75" s="527" t="s">
        <v>1878</v>
      </c>
      <c r="BB75" s="527" t="s">
        <v>1879</v>
      </c>
      <c r="BC75" s="527" t="s">
        <v>1880</v>
      </c>
      <c r="BD75" s="558" t="str">
        <f t="shared" si="11"/>
        <v>Vishakha</v>
      </c>
      <c r="BF75" s="582" t="s">
        <v>1881</v>
      </c>
      <c r="BG75" s="582" t="s">
        <v>1882</v>
      </c>
    </row>
    <row r="76" spans="1:59">
      <c r="X76" s="602"/>
      <c r="Y76" s="529"/>
      <c r="Z76" s="527"/>
      <c r="AH76" s="580">
        <f>SUM(AH48:AH75)</f>
        <v>4.1666666666666623E-2</v>
      </c>
      <c r="AI76" s="580">
        <f>SUM(AI48:AI75)</f>
        <v>14.999999999999982</v>
      </c>
      <c r="AK76" s="559"/>
      <c r="BD76" s="558"/>
    </row>
    <row r="77" spans="1:59" ht="15.75">
      <c r="A77" s="603"/>
      <c r="B77" s="604"/>
      <c r="C77" s="604"/>
      <c r="D77" s="604"/>
      <c r="E77" s="604"/>
      <c r="F77" s="604"/>
      <c r="G77" s="604"/>
      <c r="H77" s="604"/>
      <c r="I77" s="604"/>
      <c r="J77" s="604"/>
      <c r="K77" s="604"/>
      <c r="L77" s="604"/>
      <c r="M77" s="604"/>
      <c r="O77" s="604"/>
      <c r="P77" s="604"/>
      <c r="Q77" s="604"/>
      <c r="R77" s="604"/>
      <c r="S77" s="604"/>
      <c r="T77" s="604"/>
      <c r="U77" s="604"/>
      <c r="V77" s="604"/>
      <c r="X77" s="604"/>
      <c r="Y77" s="605"/>
      <c r="Z77" s="527"/>
      <c r="AL77" s="606"/>
      <c r="AM77" s="580"/>
      <c r="AO77" s="607"/>
      <c r="AP77" s="607"/>
      <c r="AQ77" s="608"/>
      <c r="AR77" s="608"/>
      <c r="AS77" s="608"/>
    </row>
    <row r="78" spans="1:59">
      <c r="J78" s="527" t="s">
        <v>1883</v>
      </c>
      <c r="AK78" s="609"/>
      <c r="AL78" s="609"/>
      <c r="AM78" s="609"/>
    </row>
    <row r="79" spans="1:59" ht="36">
      <c r="A79" s="610" t="s">
        <v>1884</v>
      </c>
      <c r="B79" s="537" t="s">
        <v>386</v>
      </c>
      <c r="C79" s="537" t="s">
        <v>244</v>
      </c>
      <c r="D79" s="537" t="s">
        <v>1885</v>
      </c>
      <c r="E79" s="527" t="s">
        <v>1886</v>
      </c>
      <c r="F79" s="527" t="s">
        <v>1073</v>
      </c>
      <c r="G79" s="528" t="s">
        <v>1887</v>
      </c>
      <c r="H79" s="528" t="s">
        <v>1888</v>
      </c>
      <c r="I79" s="611" t="s">
        <v>1889</v>
      </c>
      <c r="J79" s="611" t="s">
        <v>1890</v>
      </c>
      <c r="K79" s="611" t="s">
        <v>1891</v>
      </c>
      <c r="L79" s="611" t="s">
        <v>1892</v>
      </c>
      <c r="M79" s="612" t="s">
        <v>1893</v>
      </c>
      <c r="N79" s="612" t="s">
        <v>1894</v>
      </c>
      <c r="O79" s="612" t="s">
        <v>1895</v>
      </c>
      <c r="P79" s="611" t="s">
        <v>1896</v>
      </c>
      <c r="Q79" s="611" t="s">
        <v>1897</v>
      </c>
      <c r="R79" s="611" t="s">
        <v>1898</v>
      </c>
      <c r="Z79" s="527"/>
      <c r="AA79" s="527"/>
      <c r="AG79" s="529"/>
      <c r="AH79" s="529"/>
    </row>
    <row r="80" spans="1:59" ht="15.75" customHeight="1">
      <c r="A80" s="610">
        <v>0</v>
      </c>
      <c r="B80" s="537" t="s">
        <v>872</v>
      </c>
      <c r="C80" s="537" t="s">
        <v>165</v>
      </c>
      <c r="D80" s="613"/>
      <c r="E80" s="577"/>
      <c r="F80" s="527" t="s">
        <v>1899</v>
      </c>
      <c r="G80" s="528" t="s">
        <v>1900</v>
      </c>
      <c r="H80" s="528" t="s">
        <v>1901</v>
      </c>
      <c r="I80" s="527" t="s">
        <v>1902</v>
      </c>
      <c r="J80" s="527" t="s">
        <v>1903</v>
      </c>
      <c r="K80" s="527" t="s">
        <v>1904</v>
      </c>
      <c r="L80" s="528"/>
      <c r="M80" s="528"/>
      <c r="N80" s="528" t="s">
        <v>1905</v>
      </c>
      <c r="O80" s="528" t="s">
        <v>1906</v>
      </c>
      <c r="R80" s="528" t="s">
        <v>1907</v>
      </c>
      <c r="Z80" s="527"/>
      <c r="AA80" s="527"/>
      <c r="AG80" s="529"/>
      <c r="AH80" s="529"/>
    </row>
    <row r="81" spans="1:59" ht="15.75" customHeight="1">
      <c r="A81" s="610">
        <v>1</v>
      </c>
      <c r="B81" s="537" t="s">
        <v>1908</v>
      </c>
      <c r="C81" s="537" t="s">
        <v>158</v>
      </c>
      <c r="D81" s="614" t="s">
        <v>1909</v>
      </c>
      <c r="E81" s="615" t="s">
        <v>1910</v>
      </c>
      <c r="F81" s="527" t="s">
        <v>1911</v>
      </c>
      <c r="G81" s="528" t="s">
        <v>1912</v>
      </c>
      <c r="H81" s="528" t="s">
        <v>1913</v>
      </c>
      <c r="I81" s="527" t="s">
        <v>897</v>
      </c>
      <c r="J81" s="527" t="s">
        <v>1914</v>
      </c>
      <c r="K81" s="527" t="s">
        <v>1915</v>
      </c>
      <c r="L81" s="528" t="s">
        <v>1916</v>
      </c>
      <c r="M81" s="528"/>
      <c r="N81" s="528" t="s">
        <v>1917</v>
      </c>
      <c r="O81" s="528" t="s">
        <v>1918</v>
      </c>
      <c r="P81" s="527" t="s">
        <v>1919</v>
      </c>
      <c r="Q81" s="527" t="s">
        <v>1920</v>
      </c>
      <c r="R81" s="528" t="s">
        <v>1921</v>
      </c>
      <c r="Z81" s="527"/>
      <c r="AA81" s="527"/>
      <c r="AG81" s="529"/>
      <c r="AH81" s="529"/>
    </row>
    <row r="82" spans="1:59" ht="15.75" customHeight="1">
      <c r="A82" s="610">
        <v>2</v>
      </c>
      <c r="B82" s="537" t="s">
        <v>1922</v>
      </c>
      <c r="C82" s="537" t="s">
        <v>159</v>
      </c>
      <c r="D82" s="537" t="s">
        <v>1923</v>
      </c>
      <c r="E82" s="527" t="s">
        <v>162</v>
      </c>
      <c r="F82" s="527" t="s">
        <v>1924</v>
      </c>
      <c r="G82" s="528" t="s">
        <v>1925</v>
      </c>
      <c r="H82" s="528" t="s">
        <v>1926</v>
      </c>
      <c r="I82" s="527" t="s">
        <v>1927</v>
      </c>
      <c r="J82" s="527" t="s">
        <v>1928</v>
      </c>
      <c r="K82" s="527" t="s">
        <v>1915</v>
      </c>
      <c r="L82" s="528" t="s">
        <v>1929</v>
      </c>
      <c r="M82" s="528"/>
      <c r="N82" s="528" t="s">
        <v>1919</v>
      </c>
      <c r="O82" s="528" t="s">
        <v>1920</v>
      </c>
      <c r="P82" s="527" t="s">
        <v>1930</v>
      </c>
      <c r="Q82" s="527" t="s">
        <v>1931</v>
      </c>
      <c r="R82" s="528" t="s">
        <v>1932</v>
      </c>
      <c r="Z82" s="527"/>
      <c r="AA82" s="527"/>
      <c r="AG82" s="529"/>
      <c r="AH82" s="529"/>
    </row>
    <row r="83" spans="1:59" ht="15.75" customHeight="1">
      <c r="A83" s="610">
        <v>3</v>
      </c>
      <c r="B83" s="537" t="s">
        <v>1933</v>
      </c>
      <c r="C83" s="537" t="s">
        <v>160</v>
      </c>
      <c r="D83" s="537" t="s">
        <v>1934</v>
      </c>
      <c r="E83" s="527" t="s">
        <v>1935</v>
      </c>
      <c r="F83" s="527" t="s">
        <v>1936</v>
      </c>
      <c r="G83" s="528" t="s">
        <v>1937</v>
      </c>
      <c r="H83" s="528" t="s">
        <v>1938</v>
      </c>
      <c r="I83" s="527" t="s">
        <v>1939</v>
      </c>
      <c r="J83" s="527" t="s">
        <v>1940</v>
      </c>
      <c r="K83" s="527" t="s">
        <v>1941</v>
      </c>
      <c r="L83" s="528" t="s">
        <v>1942</v>
      </c>
      <c r="M83" s="528"/>
      <c r="N83" s="528" t="s">
        <v>1930</v>
      </c>
      <c r="O83" s="528" t="s">
        <v>1931</v>
      </c>
      <c r="P83" s="527" t="s">
        <v>1943</v>
      </c>
      <c r="Q83" s="527" t="s">
        <v>1944</v>
      </c>
      <c r="R83" s="528"/>
      <c r="Z83" s="527"/>
      <c r="AA83" s="527"/>
      <c r="AG83" s="529"/>
      <c r="AH83" s="529"/>
    </row>
    <row r="84" spans="1:59" ht="15.75" customHeight="1">
      <c r="A84" s="610">
        <v>4</v>
      </c>
      <c r="B84" s="537" t="s">
        <v>1945</v>
      </c>
      <c r="C84" s="537" t="s">
        <v>161</v>
      </c>
      <c r="D84" s="537" t="s">
        <v>1946</v>
      </c>
      <c r="E84" s="527" t="s">
        <v>1910</v>
      </c>
      <c r="F84" s="527" t="s">
        <v>1947</v>
      </c>
      <c r="G84" s="528" t="s">
        <v>1948</v>
      </c>
      <c r="H84" s="528" t="s">
        <v>1949</v>
      </c>
      <c r="I84" s="527" t="s">
        <v>1950</v>
      </c>
      <c r="J84" s="527" t="s">
        <v>1951</v>
      </c>
      <c r="K84" s="527" t="s">
        <v>1915</v>
      </c>
      <c r="L84" s="528" t="s">
        <v>1952</v>
      </c>
      <c r="M84" s="528"/>
      <c r="N84" s="528" t="s">
        <v>1943</v>
      </c>
      <c r="O84" s="528" t="s">
        <v>1944</v>
      </c>
      <c r="P84" s="527" t="s">
        <v>1918</v>
      </c>
      <c r="Q84" s="527" t="s">
        <v>1919</v>
      </c>
      <c r="R84" s="528"/>
      <c r="Z84" s="527"/>
      <c r="AA84" s="527"/>
      <c r="AG84" s="529"/>
      <c r="AH84" s="529"/>
    </row>
    <row r="85" spans="1:59" ht="15.75" customHeight="1">
      <c r="A85" s="610">
        <v>5</v>
      </c>
      <c r="B85" s="537" t="s">
        <v>1953</v>
      </c>
      <c r="C85" s="537" t="s">
        <v>162</v>
      </c>
      <c r="D85" s="537" t="s">
        <v>1954</v>
      </c>
      <c r="E85" s="527" t="s">
        <v>161</v>
      </c>
      <c r="F85" s="527" t="s">
        <v>1955</v>
      </c>
      <c r="G85" s="528" t="s">
        <v>1900</v>
      </c>
      <c r="H85" s="528" t="s">
        <v>1901</v>
      </c>
      <c r="I85" s="527" t="s">
        <v>1906</v>
      </c>
      <c r="J85" s="527" t="s">
        <v>1956</v>
      </c>
      <c r="K85" s="527" t="s">
        <v>1915</v>
      </c>
      <c r="L85" s="528" t="s">
        <v>1957</v>
      </c>
      <c r="M85" s="528"/>
      <c r="N85" s="528" t="s">
        <v>1918</v>
      </c>
      <c r="O85" s="528" t="s">
        <v>1919</v>
      </c>
      <c r="P85" s="527" t="s">
        <v>1920</v>
      </c>
      <c r="Q85" s="527" t="s">
        <v>1930</v>
      </c>
      <c r="R85" s="528"/>
      <c r="Z85" s="527"/>
      <c r="AA85" s="527"/>
      <c r="AG85" s="529"/>
      <c r="AH85" s="529"/>
    </row>
    <row r="86" spans="1:59" ht="15.75" customHeight="1">
      <c r="A86" s="610">
        <v>6</v>
      </c>
      <c r="B86" s="537" t="s">
        <v>1958</v>
      </c>
      <c r="C86" s="537" t="s">
        <v>163</v>
      </c>
      <c r="D86" s="537" t="s">
        <v>1959</v>
      </c>
      <c r="E86" s="527" t="s">
        <v>158</v>
      </c>
      <c r="F86" s="527" t="s">
        <v>1960</v>
      </c>
      <c r="G86" s="528" t="s">
        <v>1912</v>
      </c>
      <c r="H86" s="528" t="s">
        <v>1913</v>
      </c>
      <c r="I86" s="527" t="s">
        <v>1961</v>
      </c>
      <c r="J86" s="527" t="s">
        <v>1962</v>
      </c>
      <c r="K86" s="527" t="s">
        <v>1963</v>
      </c>
      <c r="L86" s="528" t="s">
        <v>1964</v>
      </c>
      <c r="M86" s="528"/>
      <c r="N86" s="528" t="s">
        <v>1920</v>
      </c>
      <c r="O86" s="528" t="s">
        <v>1930</v>
      </c>
      <c r="P86" s="527" t="s">
        <v>1931</v>
      </c>
      <c r="Q86" s="527" t="s">
        <v>1943</v>
      </c>
      <c r="R86" s="528"/>
      <c r="Z86" s="527"/>
      <c r="AA86" s="527"/>
      <c r="AG86" s="529"/>
      <c r="AH86" s="529"/>
    </row>
    <row r="87" spans="1:59" ht="15.75" customHeight="1">
      <c r="A87" s="610">
        <v>7</v>
      </c>
      <c r="B87" s="537" t="s">
        <v>830</v>
      </c>
      <c r="C87" s="537" t="s">
        <v>164</v>
      </c>
      <c r="D87" s="537" t="s">
        <v>1965</v>
      </c>
      <c r="E87" s="527" t="s">
        <v>1966</v>
      </c>
      <c r="F87" s="527" t="s">
        <v>1967</v>
      </c>
      <c r="G87" s="528" t="s">
        <v>1925</v>
      </c>
      <c r="H87" s="528" t="s">
        <v>1926</v>
      </c>
      <c r="I87" s="527" t="s">
        <v>1968</v>
      </c>
      <c r="J87" s="527" t="s">
        <v>1969</v>
      </c>
      <c r="K87" s="527" t="s">
        <v>1941</v>
      </c>
      <c r="L87" s="528" t="s">
        <v>1970</v>
      </c>
      <c r="M87" s="528"/>
      <c r="N87" s="528" t="s">
        <v>1931</v>
      </c>
      <c r="O87" s="528" t="s">
        <v>1943</v>
      </c>
      <c r="P87" s="527" t="s">
        <v>1944</v>
      </c>
      <c r="Q87" s="527" t="s">
        <v>1918</v>
      </c>
      <c r="R87" s="528"/>
      <c r="Z87" s="527"/>
      <c r="AA87" s="527"/>
      <c r="AG87" s="529"/>
      <c r="AH87" s="529"/>
    </row>
    <row r="88" spans="1:59" ht="15.75" customHeight="1">
      <c r="A88" s="610">
        <v>8</v>
      </c>
      <c r="B88" s="537" t="s">
        <v>1971</v>
      </c>
      <c r="C88" s="537" t="s">
        <v>165</v>
      </c>
      <c r="D88" s="537" t="str">
        <f>D85</f>
        <v>Gemini, Virgo</v>
      </c>
      <c r="E88" s="537" t="str">
        <f>E85</f>
        <v>Mercury</v>
      </c>
      <c r="F88" s="527" t="s">
        <v>1972</v>
      </c>
      <c r="G88" s="528" t="s">
        <v>1937</v>
      </c>
      <c r="H88" s="528" t="s">
        <v>1938</v>
      </c>
      <c r="I88" s="527" t="s">
        <v>1973</v>
      </c>
      <c r="J88" s="527" t="s">
        <v>1974</v>
      </c>
      <c r="K88" s="527" t="s">
        <v>1963</v>
      </c>
      <c r="L88" s="528" t="s">
        <v>1975</v>
      </c>
      <c r="M88" s="528"/>
      <c r="N88" s="528" t="s">
        <v>1944</v>
      </c>
      <c r="O88" s="528" t="s">
        <v>1918</v>
      </c>
      <c r="P88" s="527" t="s">
        <v>1919</v>
      </c>
      <c r="Q88" s="527" t="s">
        <v>1920</v>
      </c>
      <c r="R88" s="528"/>
      <c r="Z88" s="527"/>
      <c r="AA88" s="527"/>
      <c r="AG88" s="529"/>
      <c r="AH88" s="529"/>
    </row>
    <row r="89" spans="1:59" ht="15.75" customHeight="1">
      <c r="A89" s="610">
        <v>9</v>
      </c>
      <c r="B89" s="537" t="s">
        <v>859</v>
      </c>
      <c r="C89" s="537" t="s">
        <v>158</v>
      </c>
      <c r="D89" s="537" t="s">
        <v>1976</v>
      </c>
      <c r="E89" s="527" t="s">
        <v>1977</v>
      </c>
      <c r="F89" s="527" t="s">
        <v>1978</v>
      </c>
      <c r="G89" s="528" t="s">
        <v>1948</v>
      </c>
      <c r="H89" s="528" t="s">
        <v>1949</v>
      </c>
      <c r="I89" s="527" t="s">
        <v>1979</v>
      </c>
      <c r="J89" s="527" t="s">
        <v>1980</v>
      </c>
      <c r="K89" s="527" t="s">
        <v>1904</v>
      </c>
      <c r="L89" s="528" t="s">
        <v>1981</v>
      </c>
      <c r="M89" s="528"/>
      <c r="N89" s="528" t="s">
        <v>1919</v>
      </c>
      <c r="O89" s="528" t="s">
        <v>1920</v>
      </c>
      <c r="P89" s="527" t="s">
        <v>1930</v>
      </c>
      <c r="Q89" s="527" t="s">
        <v>1931</v>
      </c>
      <c r="R89" s="528"/>
      <c r="Z89" s="527"/>
      <c r="AA89" s="527"/>
      <c r="AG89" s="529"/>
      <c r="AH89" s="529"/>
    </row>
    <row r="90" spans="1:59" ht="15.75" customHeight="1">
      <c r="A90" s="610">
        <v>10</v>
      </c>
      <c r="B90" s="537" t="s">
        <v>1982</v>
      </c>
      <c r="C90" s="537" t="s">
        <v>159</v>
      </c>
      <c r="D90" s="537" t="str">
        <f>D89</f>
        <v>Leo, Scorpio</v>
      </c>
      <c r="E90" s="527" t="str">
        <f>E89</f>
        <v>Sun,Mars</v>
      </c>
      <c r="F90" s="527" t="s">
        <v>1899</v>
      </c>
      <c r="G90" s="528" t="s">
        <v>1900</v>
      </c>
      <c r="H90" s="528" t="s">
        <v>1901</v>
      </c>
      <c r="I90" s="527" t="s">
        <v>1983</v>
      </c>
      <c r="J90" s="527" t="s">
        <v>1340</v>
      </c>
      <c r="K90" s="527" t="s">
        <v>1963</v>
      </c>
      <c r="L90" s="528" t="s">
        <v>1984</v>
      </c>
      <c r="M90" s="528"/>
      <c r="N90" s="528" t="s">
        <v>1930</v>
      </c>
      <c r="O90" s="528" t="s">
        <v>1931</v>
      </c>
      <c r="P90" s="527" t="s">
        <v>1943</v>
      </c>
      <c r="Q90" s="527" t="s">
        <v>1944</v>
      </c>
      <c r="R90" s="528"/>
      <c r="Z90" s="527"/>
      <c r="AA90" s="527"/>
      <c r="AG90" s="529"/>
      <c r="AH90" s="529"/>
    </row>
    <row r="91" spans="1:59" ht="15.75" customHeight="1">
      <c r="A91" s="610">
        <v>11</v>
      </c>
      <c r="B91" s="537" t="s">
        <v>852</v>
      </c>
      <c r="C91" s="537" t="s">
        <v>160</v>
      </c>
      <c r="D91" s="537" t="str">
        <f>D82</f>
        <v>Sagittarius, Pisces</v>
      </c>
      <c r="E91" s="537" t="str">
        <f>E82</f>
        <v>Jupiter</v>
      </c>
      <c r="F91" s="527" t="s">
        <v>1960</v>
      </c>
      <c r="G91" s="528" t="s">
        <v>1912</v>
      </c>
      <c r="H91" s="528" t="s">
        <v>1913</v>
      </c>
      <c r="I91" s="527" t="s">
        <v>1985</v>
      </c>
      <c r="J91" s="527" t="s">
        <v>1986</v>
      </c>
      <c r="K91" s="527" t="s">
        <v>1941</v>
      </c>
      <c r="L91" s="528" t="s">
        <v>1987</v>
      </c>
      <c r="M91" s="528"/>
      <c r="N91" s="528" t="s">
        <v>1943</v>
      </c>
      <c r="O91" s="528" t="s">
        <v>1944</v>
      </c>
      <c r="P91" s="527" t="s">
        <v>1918</v>
      </c>
      <c r="Q91" s="527" t="s">
        <v>1919</v>
      </c>
      <c r="R91" s="528"/>
      <c r="Z91" s="527"/>
      <c r="AA91" s="527"/>
      <c r="AG91" s="529"/>
      <c r="AH91" s="529"/>
    </row>
    <row r="92" spans="1:59" ht="15.75" customHeight="1">
      <c r="A92" s="610">
        <v>12</v>
      </c>
      <c r="B92" s="537" t="s">
        <v>847</v>
      </c>
      <c r="C92" s="537" t="s">
        <v>161</v>
      </c>
      <c r="D92" s="537" t="str">
        <f>D81</f>
        <v>Libra,Capricorn</v>
      </c>
      <c r="E92" s="537" t="str">
        <f>E81</f>
        <v>Venus,Saturn</v>
      </c>
      <c r="F92" s="527" t="s">
        <v>1967</v>
      </c>
      <c r="G92" s="528" t="s">
        <v>1925</v>
      </c>
      <c r="H92" s="528" t="s">
        <v>1926</v>
      </c>
      <c r="I92" s="527" t="s">
        <v>1988</v>
      </c>
      <c r="J92" s="527" t="s">
        <v>1989</v>
      </c>
      <c r="K92" s="527" t="s">
        <v>1963</v>
      </c>
      <c r="L92" s="528" t="s">
        <v>1990</v>
      </c>
      <c r="M92" s="528"/>
      <c r="N92" s="528" t="s">
        <v>1918</v>
      </c>
      <c r="O92" s="528" t="s">
        <v>1919</v>
      </c>
      <c r="P92" s="527" t="s">
        <v>1920</v>
      </c>
      <c r="Q92" s="527" t="s">
        <v>1930</v>
      </c>
      <c r="R92" s="528"/>
      <c r="Z92" s="527"/>
      <c r="AA92" s="527"/>
      <c r="AG92" s="529"/>
      <c r="AH92" s="529"/>
    </row>
    <row r="93" spans="1:59" ht="15.75" customHeight="1">
      <c r="A93" s="610">
        <v>13</v>
      </c>
      <c r="B93" s="537" t="s">
        <v>1991</v>
      </c>
      <c r="C93" s="537" t="s">
        <v>162</v>
      </c>
      <c r="D93" s="537" t="s">
        <v>1992</v>
      </c>
      <c r="E93" s="527" t="s">
        <v>1993</v>
      </c>
      <c r="F93" s="527" t="s">
        <v>1972</v>
      </c>
      <c r="G93" s="528" t="s">
        <v>1937</v>
      </c>
      <c r="H93" s="528" t="s">
        <v>1938</v>
      </c>
      <c r="I93" s="527" t="s">
        <v>1994</v>
      </c>
      <c r="J93" s="527" t="s">
        <v>1995</v>
      </c>
      <c r="K93" s="527" t="s">
        <v>1941</v>
      </c>
      <c r="L93" s="528" t="s">
        <v>1996</v>
      </c>
      <c r="M93" s="528"/>
      <c r="N93" s="528" t="s">
        <v>1920</v>
      </c>
      <c r="O93" s="528" t="s">
        <v>1930</v>
      </c>
      <c r="P93" s="527" t="s">
        <v>1931</v>
      </c>
      <c r="Q93" s="527" t="s">
        <v>1943</v>
      </c>
      <c r="R93" s="528"/>
      <c r="Z93" s="527"/>
      <c r="AA93" s="527"/>
      <c r="AG93" s="529"/>
      <c r="AH93" s="529"/>
    </row>
    <row r="94" spans="1:59" ht="15.75" customHeight="1">
      <c r="A94" s="610">
        <v>14</v>
      </c>
      <c r="B94" s="537" t="s">
        <v>1997</v>
      </c>
      <c r="C94" s="537" t="s">
        <v>163</v>
      </c>
      <c r="D94" s="537" t="s">
        <v>1998</v>
      </c>
      <c r="E94" s="527" t="s">
        <v>162</v>
      </c>
      <c r="F94" s="527" t="s">
        <v>1978</v>
      </c>
      <c r="G94" s="528" t="s">
        <v>1948</v>
      </c>
      <c r="H94" s="528" t="s">
        <v>1949</v>
      </c>
      <c r="I94" s="527" t="s">
        <v>1999</v>
      </c>
      <c r="J94" s="527" t="s">
        <v>910</v>
      </c>
      <c r="K94" s="527" t="s">
        <v>1904</v>
      </c>
      <c r="L94" s="528" t="s">
        <v>2000</v>
      </c>
      <c r="M94" s="528" t="s">
        <v>2001</v>
      </c>
      <c r="N94" s="528" t="s">
        <v>1931</v>
      </c>
      <c r="O94" s="528" t="s">
        <v>1943</v>
      </c>
      <c r="P94" s="527" t="s">
        <v>1944</v>
      </c>
      <c r="Q94" s="527" t="s">
        <v>2002</v>
      </c>
      <c r="R94" s="528"/>
      <c r="Z94" s="527"/>
      <c r="AA94" s="527"/>
      <c r="AG94" s="529"/>
      <c r="AH94" s="529"/>
    </row>
    <row r="95" spans="1:59" s="527" customFormat="1" ht="15.75" customHeight="1">
      <c r="A95" s="610">
        <v>15</v>
      </c>
      <c r="B95" s="537" t="s">
        <v>869</v>
      </c>
      <c r="C95" s="537" t="s">
        <v>164</v>
      </c>
      <c r="D95" s="537"/>
      <c r="F95" s="527" t="s">
        <v>1899</v>
      </c>
      <c r="G95" s="528" t="s">
        <v>1900</v>
      </c>
      <c r="H95" s="528" t="s">
        <v>1901</v>
      </c>
      <c r="I95" s="527" t="s">
        <v>1902</v>
      </c>
      <c r="J95" s="527" t="s">
        <v>1903</v>
      </c>
      <c r="K95" s="527" t="s">
        <v>1904</v>
      </c>
      <c r="L95" s="528" t="s">
        <v>2003</v>
      </c>
      <c r="M95" s="528"/>
      <c r="N95" s="528" t="s">
        <v>1944</v>
      </c>
      <c r="O95" s="528" t="s">
        <v>1918</v>
      </c>
      <c r="R95" s="528"/>
      <c r="AG95" s="529"/>
      <c r="AH95" s="529"/>
      <c r="BF95" s="530"/>
      <c r="BG95" s="530"/>
    </row>
    <row r="98" spans="1:36">
      <c r="A98" s="616" t="s">
        <v>1308</v>
      </c>
      <c r="B98" s="617" t="s">
        <v>2004</v>
      </c>
      <c r="C98" s="617" t="s">
        <v>224</v>
      </c>
      <c r="D98" s="617" t="s">
        <v>2005</v>
      </c>
      <c r="E98" s="617" t="s">
        <v>2006</v>
      </c>
      <c r="F98" s="617" t="s">
        <v>2007</v>
      </c>
      <c r="G98" s="618" t="s">
        <v>2008</v>
      </c>
      <c r="H98" s="527" t="s">
        <v>2009</v>
      </c>
      <c r="I98" s="527" t="s">
        <v>2010</v>
      </c>
      <c r="J98" s="527" t="s">
        <v>2011</v>
      </c>
      <c r="Z98" s="527"/>
      <c r="AB98" s="529"/>
    </row>
    <row r="99" spans="1:36" ht="17.25" customHeight="1">
      <c r="A99" s="619">
        <v>1</v>
      </c>
      <c r="B99" s="620" t="s">
        <v>2012</v>
      </c>
      <c r="C99" s="621" t="s">
        <v>2013</v>
      </c>
      <c r="D99" s="620" t="s">
        <v>566</v>
      </c>
      <c r="E99" s="622" t="s">
        <v>462</v>
      </c>
      <c r="F99" s="527" t="s">
        <v>1951</v>
      </c>
      <c r="G99" s="623" t="s">
        <v>159</v>
      </c>
      <c r="H99" s="527" t="str">
        <f t="shared" ref="H99:H111" si="13">D113</f>
        <v>Shravan</v>
      </c>
      <c r="I99" s="559" t="str">
        <f t="shared" ref="I99:I111" si="14">E113</f>
        <v>Moon</v>
      </c>
      <c r="J99" s="528" t="s">
        <v>2014</v>
      </c>
      <c r="K99"/>
      <c r="Z99" s="527"/>
      <c r="AB99" s="529"/>
    </row>
    <row r="100" spans="1:36">
      <c r="A100" s="610">
        <v>2</v>
      </c>
      <c r="B100" s="537" t="s">
        <v>2015</v>
      </c>
      <c r="C100" s="537" t="s">
        <v>2016</v>
      </c>
      <c r="D100" s="537" t="s">
        <v>644</v>
      </c>
      <c r="E100" s="537" t="s">
        <v>800</v>
      </c>
      <c r="F100" s="527" t="s">
        <v>2017</v>
      </c>
      <c r="G100" s="527" t="s">
        <v>159</v>
      </c>
      <c r="H100" s="527" t="str">
        <f t="shared" si="13"/>
        <v>Dhanistha</v>
      </c>
      <c r="I100" s="527" t="str">
        <f t="shared" si="14"/>
        <v>Mars</v>
      </c>
      <c r="K100"/>
      <c r="L100"/>
      <c r="M100"/>
      <c r="N100"/>
      <c r="O100"/>
      <c r="P100"/>
      <c r="Q100"/>
      <c r="R100"/>
      <c r="S100"/>
      <c r="T100"/>
      <c r="U100"/>
      <c r="V100"/>
      <c r="W100"/>
      <c r="X100"/>
      <c r="Y100"/>
      <c r="Z100"/>
      <c r="AA100"/>
      <c r="AB100"/>
      <c r="AC100"/>
      <c r="AD100"/>
      <c r="AE100"/>
      <c r="AF100"/>
      <c r="AG100"/>
      <c r="AH100"/>
      <c r="AI100"/>
      <c r="AJ100"/>
    </row>
    <row r="101" spans="1:36">
      <c r="A101" s="610">
        <v>3</v>
      </c>
      <c r="B101" s="537" t="s">
        <v>2018</v>
      </c>
      <c r="C101" s="537" t="s">
        <v>2019</v>
      </c>
      <c r="D101" s="537" t="s">
        <v>645</v>
      </c>
      <c r="E101" s="537" t="s">
        <v>166</v>
      </c>
      <c r="F101" s="527" t="s">
        <v>2020</v>
      </c>
      <c r="G101" s="527" t="s">
        <v>158</v>
      </c>
      <c r="H101" s="527" t="str">
        <f t="shared" si="13"/>
        <v>Satabishak</v>
      </c>
      <c r="I101" s="527" t="str">
        <f t="shared" si="14"/>
        <v>Rahu</v>
      </c>
      <c r="K101"/>
      <c r="Z101" s="527"/>
      <c r="AB101" s="529"/>
    </row>
    <row r="102" spans="1:36">
      <c r="A102" s="610">
        <v>4</v>
      </c>
      <c r="B102" s="537" t="s">
        <v>2021</v>
      </c>
      <c r="C102" s="537" t="s">
        <v>2022</v>
      </c>
      <c r="D102" s="537" t="s">
        <v>1581</v>
      </c>
      <c r="E102" s="537" t="s">
        <v>163</v>
      </c>
      <c r="F102" s="527" t="s">
        <v>1927</v>
      </c>
      <c r="G102" s="527" t="s">
        <v>158</v>
      </c>
      <c r="H102" s="527" t="str">
        <f t="shared" si="13"/>
        <v>Purva Bhadrapad</v>
      </c>
      <c r="I102" s="527" t="str">
        <f t="shared" si="14"/>
        <v>Jupiter</v>
      </c>
      <c r="K102"/>
      <c r="Z102" s="527"/>
      <c r="AB102" s="529"/>
    </row>
    <row r="103" spans="1:36">
      <c r="A103" s="610">
        <v>5</v>
      </c>
      <c r="B103" s="537" t="s">
        <v>2023</v>
      </c>
      <c r="C103" s="537" t="s">
        <v>2024</v>
      </c>
      <c r="D103" s="537" t="s">
        <v>1600</v>
      </c>
      <c r="E103" s="537" t="s">
        <v>158</v>
      </c>
      <c r="F103" s="527" t="s">
        <v>2025</v>
      </c>
      <c r="G103" s="527" t="s">
        <v>2026</v>
      </c>
      <c r="H103" s="527" t="str">
        <f t="shared" si="13"/>
        <v>Uttara Bhadrapad</v>
      </c>
      <c r="I103" s="527" t="str">
        <f t="shared" si="14"/>
        <v>Sat</v>
      </c>
      <c r="K103"/>
      <c r="Z103" s="527"/>
      <c r="AB103" s="529"/>
    </row>
    <row r="104" spans="1:36">
      <c r="A104" s="619">
        <v>6</v>
      </c>
      <c r="B104" s="620" t="s">
        <v>2027</v>
      </c>
      <c r="C104" s="620" t="s">
        <v>2028</v>
      </c>
      <c r="D104" s="620" t="s">
        <v>648</v>
      </c>
      <c r="E104" s="620" t="s">
        <v>159</v>
      </c>
      <c r="F104" s="527" t="s">
        <v>2029</v>
      </c>
      <c r="G104" s="623" t="s">
        <v>800</v>
      </c>
      <c r="H104" s="527" t="str">
        <f t="shared" si="13"/>
        <v>Revati</v>
      </c>
      <c r="I104" s="559" t="str">
        <f t="shared" si="14"/>
        <v>Merc</v>
      </c>
      <c r="K104"/>
      <c r="Z104" s="527"/>
      <c r="AB104" s="529"/>
    </row>
    <row r="105" spans="1:36">
      <c r="A105" s="610">
        <v>7</v>
      </c>
      <c r="B105" s="537" t="s">
        <v>2030</v>
      </c>
      <c r="C105" s="537" t="s">
        <v>2031</v>
      </c>
      <c r="D105" s="537" t="s">
        <v>649</v>
      </c>
      <c r="E105" s="537" t="s">
        <v>160</v>
      </c>
      <c r="F105" s="527" t="s">
        <v>2032</v>
      </c>
      <c r="G105" s="527" t="s">
        <v>2033</v>
      </c>
      <c r="H105" s="527" t="str">
        <f t="shared" si="13"/>
        <v>Ashvini</v>
      </c>
      <c r="I105" s="527" t="str">
        <f t="shared" si="14"/>
        <v>Ketu</v>
      </c>
      <c r="K105"/>
      <c r="Z105" s="527"/>
      <c r="AB105" s="529"/>
    </row>
    <row r="106" spans="1:36">
      <c r="A106" s="610">
        <v>8</v>
      </c>
      <c r="B106" s="537" t="s">
        <v>2034</v>
      </c>
      <c r="C106" s="537" t="s">
        <v>2035</v>
      </c>
      <c r="D106" s="537" t="s">
        <v>592</v>
      </c>
      <c r="E106" s="537" t="s">
        <v>165</v>
      </c>
      <c r="F106" s="527" t="s">
        <v>2036</v>
      </c>
      <c r="G106" s="559" t="s">
        <v>163</v>
      </c>
      <c r="H106" s="527" t="str">
        <f t="shared" si="13"/>
        <v>Bharani</v>
      </c>
      <c r="I106" s="559" t="str">
        <f t="shared" si="14"/>
        <v>Venus</v>
      </c>
      <c r="K106"/>
      <c r="Z106" s="527"/>
      <c r="AB106" s="529"/>
    </row>
    <row r="107" spans="1:36">
      <c r="A107" s="619">
        <v>9</v>
      </c>
      <c r="B107" s="620" t="s">
        <v>2037</v>
      </c>
      <c r="C107" s="620" t="s">
        <v>2038</v>
      </c>
      <c r="D107" s="620" t="s">
        <v>1672</v>
      </c>
      <c r="E107" s="620" t="s">
        <v>162</v>
      </c>
      <c r="F107" s="624" t="s">
        <v>1460</v>
      </c>
      <c r="G107" s="625" t="s">
        <v>2039</v>
      </c>
      <c r="H107" s="527" t="str">
        <f t="shared" si="13"/>
        <v>Kritika</v>
      </c>
      <c r="I107" s="527" t="str">
        <f t="shared" si="14"/>
        <v>Sun</v>
      </c>
      <c r="K107" t="s">
        <v>112</v>
      </c>
      <c r="Z107" s="527"/>
      <c r="AB107" s="529"/>
    </row>
    <row r="108" spans="1:36">
      <c r="A108" s="619">
        <v>10</v>
      </c>
      <c r="B108" s="620" t="s">
        <v>2040</v>
      </c>
      <c r="C108" s="620" t="s">
        <v>2041</v>
      </c>
      <c r="D108" s="620" t="s">
        <v>581</v>
      </c>
      <c r="E108" s="622" t="s">
        <v>462</v>
      </c>
      <c r="F108" s="624" t="s">
        <v>897</v>
      </c>
      <c r="G108" s="625" t="s">
        <v>160</v>
      </c>
      <c r="H108" s="527" t="str">
        <f t="shared" si="13"/>
        <v>Rohini</v>
      </c>
      <c r="I108" s="527" t="str">
        <f t="shared" si="14"/>
        <v>Moon</v>
      </c>
      <c r="K108"/>
      <c r="Z108" s="527"/>
      <c r="AB108" s="529"/>
    </row>
    <row r="109" spans="1:36">
      <c r="A109" s="610">
        <v>11</v>
      </c>
      <c r="B109" s="537" t="s">
        <v>2042</v>
      </c>
      <c r="C109" s="537" t="s">
        <v>2043</v>
      </c>
      <c r="D109" s="537" t="s">
        <v>1709</v>
      </c>
      <c r="E109" s="537" t="s">
        <v>800</v>
      </c>
      <c r="F109" s="527" t="s">
        <v>2044</v>
      </c>
      <c r="G109" s="559" t="s">
        <v>160</v>
      </c>
      <c r="H109" s="527" t="str">
        <f t="shared" si="13"/>
        <v>Mrigashira</v>
      </c>
      <c r="I109" s="559" t="str">
        <f t="shared" si="14"/>
        <v>Mars</v>
      </c>
      <c r="K109"/>
      <c r="Z109" s="527"/>
      <c r="AB109" s="529"/>
    </row>
    <row r="110" spans="1:36">
      <c r="A110" s="610">
        <v>12</v>
      </c>
      <c r="B110" s="537" t="s">
        <v>2045</v>
      </c>
      <c r="C110" s="537" t="s">
        <v>2046</v>
      </c>
      <c r="D110" s="537" t="s">
        <v>597</v>
      </c>
      <c r="E110" s="537" t="s">
        <v>166</v>
      </c>
      <c r="F110" s="527" t="s">
        <v>2047</v>
      </c>
      <c r="G110" s="527" t="s">
        <v>162</v>
      </c>
      <c r="H110" s="527" t="str">
        <f t="shared" si="13"/>
        <v>Ardra</v>
      </c>
      <c r="I110" s="527" t="str">
        <f t="shared" si="14"/>
        <v>Rahu</v>
      </c>
      <c r="K110"/>
      <c r="Z110" s="527"/>
      <c r="AB110" s="529"/>
    </row>
    <row r="111" spans="1:36">
      <c r="A111" s="610">
        <v>13</v>
      </c>
      <c r="B111" s="537" t="s">
        <v>2048</v>
      </c>
      <c r="C111" s="537" t="s">
        <v>2049</v>
      </c>
      <c r="D111" s="537" t="s">
        <v>1741</v>
      </c>
      <c r="E111" s="537" t="s">
        <v>163</v>
      </c>
      <c r="F111" s="527" t="s">
        <v>1371</v>
      </c>
      <c r="G111" s="559" t="s">
        <v>162</v>
      </c>
      <c r="H111" s="527" t="str">
        <f t="shared" si="13"/>
        <v>Punarvasu</v>
      </c>
      <c r="I111" s="559" t="str">
        <f t="shared" si="14"/>
        <v>Jupiter</v>
      </c>
      <c r="K111"/>
      <c r="Z111" s="527"/>
      <c r="AB111" s="529"/>
    </row>
    <row r="112" spans="1:36">
      <c r="A112" s="610">
        <v>14</v>
      </c>
      <c r="B112" s="537" t="s">
        <v>2050</v>
      </c>
      <c r="C112" s="537" t="s">
        <v>2051</v>
      </c>
      <c r="D112" s="537" t="s">
        <v>1760</v>
      </c>
      <c r="E112" s="537" t="s">
        <v>158</v>
      </c>
      <c r="F112" s="527" t="s">
        <v>2052</v>
      </c>
      <c r="G112" s="527" t="s">
        <v>2053</v>
      </c>
      <c r="H112" s="527" t="str">
        <f t="shared" ref="H112:H125" si="15">D99</f>
        <v>Pushya</v>
      </c>
      <c r="I112" s="527" t="str">
        <f t="shared" ref="I112:I125" si="16">E99</f>
        <v>Sat</v>
      </c>
      <c r="K112"/>
      <c r="Z112" s="527"/>
      <c r="AB112" s="529"/>
    </row>
    <row r="113" spans="1:28">
      <c r="A113" s="619">
        <v>15</v>
      </c>
      <c r="B113" s="620" t="s">
        <v>2054</v>
      </c>
      <c r="C113" s="620" t="s">
        <v>2055</v>
      </c>
      <c r="D113" s="620" t="s">
        <v>609</v>
      </c>
      <c r="E113" s="620" t="s">
        <v>159</v>
      </c>
      <c r="F113" s="527" t="s">
        <v>2056</v>
      </c>
      <c r="G113" s="625" t="s">
        <v>164</v>
      </c>
      <c r="H113" s="527" t="str">
        <f t="shared" si="15"/>
        <v>Ashlesha</v>
      </c>
      <c r="I113" s="527" t="str">
        <f t="shared" si="16"/>
        <v>Merc</v>
      </c>
      <c r="K113"/>
      <c r="Z113" s="527"/>
      <c r="AB113" s="529"/>
    </row>
    <row r="114" spans="1:28">
      <c r="A114" s="610">
        <v>16</v>
      </c>
      <c r="B114" s="537" t="s">
        <v>2057</v>
      </c>
      <c r="C114" s="537" t="s">
        <v>2058</v>
      </c>
      <c r="D114" s="537" t="s">
        <v>1798</v>
      </c>
      <c r="E114" s="537" t="s">
        <v>160</v>
      </c>
      <c r="F114" s="527" t="s">
        <v>1950</v>
      </c>
      <c r="G114" s="527" t="s">
        <v>164</v>
      </c>
      <c r="H114" s="527" t="str">
        <f t="shared" si="15"/>
        <v>Magha</v>
      </c>
      <c r="I114" s="527" t="str">
        <f t="shared" si="16"/>
        <v>Ketu</v>
      </c>
      <c r="K114"/>
      <c r="Z114" s="527"/>
      <c r="AB114" s="529"/>
    </row>
    <row r="115" spans="1:28">
      <c r="A115" s="619">
        <v>17</v>
      </c>
      <c r="B115" s="620" t="s">
        <v>2059</v>
      </c>
      <c r="C115" s="620" t="s">
        <v>2060</v>
      </c>
      <c r="D115" s="620" t="s">
        <v>1819</v>
      </c>
      <c r="E115" s="620" t="s">
        <v>165</v>
      </c>
      <c r="F115" s="527" t="s">
        <v>2061</v>
      </c>
      <c r="G115" s="625" t="s">
        <v>164</v>
      </c>
      <c r="H115" s="527" t="str">
        <f t="shared" si="15"/>
        <v>Purva Phalguni</v>
      </c>
      <c r="I115" s="527" t="str">
        <f t="shared" si="16"/>
        <v>Venus</v>
      </c>
      <c r="J115" s="527" t="s">
        <v>2062</v>
      </c>
      <c r="K115"/>
      <c r="Z115" s="527"/>
      <c r="AB115" s="529"/>
    </row>
    <row r="116" spans="1:28">
      <c r="A116" s="610">
        <v>18</v>
      </c>
      <c r="B116" s="537" t="s">
        <v>2063</v>
      </c>
      <c r="C116" s="537" t="s">
        <v>2064</v>
      </c>
      <c r="D116" s="537" t="s">
        <v>1835</v>
      </c>
      <c r="E116" s="537" t="s">
        <v>162</v>
      </c>
      <c r="F116" s="527" t="s">
        <v>2065</v>
      </c>
      <c r="G116" s="527" t="s">
        <v>164</v>
      </c>
      <c r="H116" s="527" t="str">
        <f t="shared" si="15"/>
        <v>Uttara Phalguni</v>
      </c>
      <c r="I116" s="527" t="str">
        <f t="shared" si="16"/>
        <v>Sun</v>
      </c>
      <c r="K116"/>
      <c r="Z116" s="527"/>
      <c r="AB116" s="529"/>
    </row>
    <row r="117" spans="1:28">
      <c r="A117" s="619">
        <v>19</v>
      </c>
      <c r="B117" s="620" t="s">
        <v>2066</v>
      </c>
      <c r="C117" s="620" t="s">
        <v>2067</v>
      </c>
      <c r="D117" s="620" t="s">
        <v>1853</v>
      </c>
      <c r="E117" s="622" t="s">
        <v>462</v>
      </c>
      <c r="F117" s="527" t="s">
        <v>2068</v>
      </c>
      <c r="G117" s="625" t="s">
        <v>2069</v>
      </c>
      <c r="H117" s="527" t="str">
        <f t="shared" si="15"/>
        <v>Hasta</v>
      </c>
      <c r="I117" s="527" t="str">
        <f t="shared" si="16"/>
        <v>Moon</v>
      </c>
      <c r="K117"/>
      <c r="Z117" s="527"/>
      <c r="AB117" s="529"/>
    </row>
    <row r="118" spans="1:28">
      <c r="A118" s="610">
        <v>20</v>
      </c>
      <c r="B118" s="537" t="s">
        <v>1999</v>
      </c>
      <c r="C118" s="537" t="s">
        <v>2070</v>
      </c>
      <c r="D118" s="537" t="s">
        <v>574</v>
      </c>
      <c r="E118" s="537" t="s">
        <v>800</v>
      </c>
      <c r="F118" s="527" t="s">
        <v>282</v>
      </c>
      <c r="G118" s="527" t="s">
        <v>162</v>
      </c>
      <c r="H118" s="527" t="str">
        <f t="shared" si="15"/>
        <v>Chitra</v>
      </c>
      <c r="I118" s="527" t="str">
        <f t="shared" si="16"/>
        <v>Mars</v>
      </c>
      <c r="K118"/>
      <c r="Z118" s="527"/>
      <c r="AB118" s="529"/>
    </row>
    <row r="119" spans="1:28">
      <c r="A119" s="610">
        <v>21</v>
      </c>
      <c r="B119" s="537" t="s">
        <v>620</v>
      </c>
      <c r="C119" s="537" t="s">
        <v>2071</v>
      </c>
      <c r="D119" s="537" t="s">
        <v>602</v>
      </c>
      <c r="E119" s="537" t="s">
        <v>166</v>
      </c>
      <c r="F119" s="527" t="s">
        <v>2072</v>
      </c>
      <c r="G119" s="527" t="s">
        <v>160</v>
      </c>
      <c r="H119" s="527" t="str">
        <f t="shared" si="15"/>
        <v>Swati</v>
      </c>
      <c r="I119" s="527" t="str">
        <f t="shared" si="16"/>
        <v>Rahu</v>
      </c>
      <c r="K119"/>
      <c r="Z119" s="527"/>
      <c r="AB119" s="529"/>
    </row>
    <row r="120" spans="1:28">
      <c r="A120" s="610">
        <v>22</v>
      </c>
      <c r="B120" s="537" t="s">
        <v>2073</v>
      </c>
      <c r="C120" s="537" t="s">
        <v>2074</v>
      </c>
      <c r="D120" s="537" t="s">
        <v>639</v>
      </c>
      <c r="E120" s="537" t="s">
        <v>163</v>
      </c>
      <c r="F120" s="527" t="s">
        <v>2075</v>
      </c>
      <c r="G120" s="527" t="s">
        <v>160</v>
      </c>
      <c r="H120" s="527" t="str">
        <f t="shared" si="15"/>
        <v>Vishakha</v>
      </c>
      <c r="I120" s="527" t="str">
        <f t="shared" si="16"/>
        <v>Jupiter</v>
      </c>
      <c r="K120"/>
      <c r="Z120" s="527"/>
      <c r="AB120" s="529"/>
    </row>
    <row r="121" spans="1:28">
      <c r="A121" s="610">
        <v>23</v>
      </c>
      <c r="B121" s="537" t="s">
        <v>2076</v>
      </c>
      <c r="C121" s="537" t="s">
        <v>2077</v>
      </c>
      <c r="D121" s="537" t="s">
        <v>553</v>
      </c>
      <c r="E121" s="537" t="s">
        <v>158</v>
      </c>
      <c r="F121" s="527" t="s">
        <v>2078</v>
      </c>
      <c r="G121" s="527" t="s">
        <v>2079</v>
      </c>
      <c r="H121" s="527" t="str">
        <f t="shared" si="15"/>
        <v>Anuradha</v>
      </c>
      <c r="I121" s="527" t="str">
        <f t="shared" si="16"/>
        <v>Sat</v>
      </c>
      <c r="K121"/>
      <c r="Z121" s="527"/>
      <c r="AB121" s="529"/>
    </row>
    <row r="122" spans="1:28">
      <c r="A122" s="610">
        <v>24</v>
      </c>
      <c r="B122" s="537" t="s">
        <v>2080</v>
      </c>
      <c r="C122" s="537" t="s">
        <v>2081</v>
      </c>
      <c r="D122" s="537" t="s">
        <v>641</v>
      </c>
      <c r="E122" s="537" t="s">
        <v>159</v>
      </c>
      <c r="F122" s="527" t="s">
        <v>2082</v>
      </c>
      <c r="G122" s="527" t="s">
        <v>163</v>
      </c>
      <c r="H122" s="527" t="str">
        <f t="shared" si="15"/>
        <v>Jyeshtha</v>
      </c>
      <c r="I122" s="527" t="str">
        <f t="shared" si="16"/>
        <v>Merc</v>
      </c>
      <c r="K122"/>
      <c r="Z122" s="527"/>
      <c r="AB122" s="529"/>
    </row>
    <row r="123" spans="1:28">
      <c r="A123" s="610">
        <v>25</v>
      </c>
      <c r="B123" s="537" t="s">
        <v>2083</v>
      </c>
      <c r="C123" s="537" t="s">
        <v>2084</v>
      </c>
      <c r="D123" s="537" t="s">
        <v>1457</v>
      </c>
      <c r="E123" s="537" t="s">
        <v>160</v>
      </c>
      <c r="F123" s="527" t="s">
        <v>2085</v>
      </c>
      <c r="G123" s="527" t="s">
        <v>2086</v>
      </c>
      <c r="H123" s="527" t="str">
        <f t="shared" si="15"/>
        <v>Mula</v>
      </c>
      <c r="I123" s="527" t="str">
        <f t="shared" si="16"/>
        <v>Ketu</v>
      </c>
      <c r="K123"/>
      <c r="Z123" s="527"/>
      <c r="AB123" s="529"/>
    </row>
    <row r="124" spans="1:28">
      <c r="A124" s="610">
        <v>26</v>
      </c>
      <c r="B124" s="537" t="s">
        <v>2087</v>
      </c>
      <c r="C124" s="537" t="s">
        <v>2088</v>
      </c>
      <c r="D124" s="537" t="s">
        <v>557</v>
      </c>
      <c r="E124" s="537" t="s">
        <v>165</v>
      </c>
      <c r="F124" s="527" t="s">
        <v>2089</v>
      </c>
      <c r="G124" s="527" t="s">
        <v>161</v>
      </c>
      <c r="H124" s="527" t="str">
        <f t="shared" si="15"/>
        <v>Purva Ashadha</v>
      </c>
      <c r="I124" s="527" t="str">
        <f t="shared" si="16"/>
        <v>Venus</v>
      </c>
      <c r="K124"/>
      <c r="Z124" s="527"/>
      <c r="AB124" s="529"/>
    </row>
    <row r="125" spans="1:28">
      <c r="A125" s="619">
        <v>27</v>
      </c>
      <c r="B125" s="620" t="s">
        <v>2090</v>
      </c>
      <c r="C125" s="620" t="s">
        <v>2091</v>
      </c>
      <c r="D125" s="620" t="s">
        <v>643</v>
      </c>
      <c r="E125" s="620" t="s">
        <v>162</v>
      </c>
      <c r="F125" s="527" t="s">
        <v>2092</v>
      </c>
      <c r="G125" s="625" t="s">
        <v>2093</v>
      </c>
      <c r="H125" s="527" t="str">
        <f t="shared" si="15"/>
        <v>Uttara Ashadha</v>
      </c>
      <c r="I125" s="527" t="str">
        <f t="shared" si="16"/>
        <v>Sun</v>
      </c>
      <c r="J125" s="527" t="s">
        <v>2094</v>
      </c>
      <c r="K125"/>
      <c r="Z125" s="527"/>
      <c r="AB125" s="529"/>
    </row>
    <row r="127" spans="1:28">
      <c r="A127" s="527" t="s">
        <v>2095</v>
      </c>
      <c r="B127" s="527" t="s">
        <v>244</v>
      </c>
      <c r="C127" s="527" t="s">
        <v>2096</v>
      </c>
      <c r="D127" s="527" t="s">
        <v>2097</v>
      </c>
      <c r="E127" s="527" t="s">
        <v>2098</v>
      </c>
      <c r="F127" s="528"/>
      <c r="Z127" s="527"/>
      <c r="AB127" s="529"/>
    </row>
    <row r="128" spans="1:28">
      <c r="A128" s="527" t="s">
        <v>1751</v>
      </c>
      <c r="B128" s="527" t="s">
        <v>158</v>
      </c>
      <c r="C128" s="527" t="s">
        <v>1999</v>
      </c>
      <c r="D128" s="626">
        <v>0.68333333333333302</v>
      </c>
      <c r="E128" s="626"/>
      <c r="F128" s="528"/>
      <c r="Z128" s="527"/>
      <c r="AB128" s="529"/>
    </row>
    <row r="129" spans="1:28">
      <c r="A129" s="527" t="s">
        <v>1810</v>
      </c>
      <c r="B129" s="527" t="s">
        <v>159</v>
      </c>
      <c r="C129" s="527" t="s">
        <v>1979</v>
      </c>
      <c r="D129" s="626">
        <v>0.51666666666666705</v>
      </c>
      <c r="E129" s="626">
        <v>0.61666666666666703</v>
      </c>
      <c r="F129" s="528"/>
      <c r="Z129" s="527"/>
      <c r="AB129" s="529"/>
    </row>
    <row r="130" spans="1:28">
      <c r="A130" s="527" t="s">
        <v>1359</v>
      </c>
      <c r="B130" s="527" t="s">
        <v>160</v>
      </c>
      <c r="C130" s="527" t="s">
        <v>2099</v>
      </c>
      <c r="D130" s="626">
        <v>0.35</v>
      </c>
      <c r="E130" s="626">
        <v>0.95</v>
      </c>
      <c r="F130" s="528"/>
      <c r="Z130" s="527"/>
      <c r="AB130" s="529"/>
    </row>
    <row r="131" spans="1:28">
      <c r="A131" s="527" t="s">
        <v>1446</v>
      </c>
      <c r="B131" s="527" t="s">
        <v>161</v>
      </c>
      <c r="C131" s="527" t="s">
        <v>2017</v>
      </c>
      <c r="D131" s="626">
        <v>0.483333333333333</v>
      </c>
      <c r="E131" s="626"/>
      <c r="F131" s="528"/>
      <c r="Z131" s="527"/>
      <c r="AB131" s="529"/>
    </row>
    <row r="132" spans="1:28">
      <c r="A132" s="527" t="s">
        <v>1538</v>
      </c>
      <c r="B132" s="527" t="s">
        <v>162</v>
      </c>
      <c r="C132" s="527" t="s">
        <v>1927</v>
      </c>
      <c r="D132" s="626">
        <v>0.41666666666666702</v>
      </c>
      <c r="E132" s="626">
        <v>0.61666666666666703</v>
      </c>
      <c r="F132" s="528"/>
      <c r="Z132" s="527"/>
      <c r="AB132" s="529"/>
    </row>
    <row r="133" spans="1:28">
      <c r="A133" s="527" t="s">
        <v>1613</v>
      </c>
      <c r="B133" s="527" t="s">
        <v>163</v>
      </c>
      <c r="C133" s="527" t="s">
        <v>1969</v>
      </c>
      <c r="D133" s="626">
        <v>0.35</v>
      </c>
      <c r="E133" s="626">
        <v>0.51666666666666705</v>
      </c>
      <c r="F133" s="528"/>
      <c r="Z133" s="527"/>
      <c r="AB133" s="529"/>
    </row>
    <row r="134" spans="1:28">
      <c r="A134" s="527" t="s">
        <v>1682</v>
      </c>
      <c r="B134" s="527" t="s">
        <v>164</v>
      </c>
      <c r="C134" s="527" t="s">
        <v>2100</v>
      </c>
      <c r="D134" s="626">
        <v>0.31666666666666698</v>
      </c>
      <c r="E134" s="626"/>
      <c r="F134" s="528"/>
      <c r="Z134" s="527"/>
      <c r="AB134" s="529"/>
    </row>
    <row r="135" spans="1:28">
      <c r="C135" s="626"/>
      <c r="D135" s="626"/>
    </row>
    <row r="136" spans="1:28">
      <c r="A136" s="527" t="s">
        <v>2101</v>
      </c>
      <c r="B136" s="527" t="s">
        <v>2102</v>
      </c>
      <c r="C136" s="626" t="s">
        <v>2103</v>
      </c>
      <c r="D136" s="528" t="s">
        <v>244</v>
      </c>
      <c r="E136" s="626" t="s">
        <v>2104</v>
      </c>
      <c r="F136" s="527" t="s">
        <v>2105</v>
      </c>
      <c r="G136" s="527" t="s">
        <v>2106</v>
      </c>
      <c r="Z136" s="527"/>
      <c r="AB136" s="529"/>
    </row>
    <row r="137" spans="1:28">
      <c r="A137" s="527">
        <v>1</v>
      </c>
      <c r="B137" s="527" t="s">
        <v>2107</v>
      </c>
      <c r="C137" s="626" t="s">
        <v>2108</v>
      </c>
      <c r="D137" s="528" t="s">
        <v>158</v>
      </c>
      <c r="E137" s="626" t="s">
        <v>2109</v>
      </c>
      <c r="F137" s="527" t="s">
        <v>2110</v>
      </c>
      <c r="G137" s="527" t="s">
        <v>1969</v>
      </c>
      <c r="Z137" s="527"/>
      <c r="AB137" s="529"/>
    </row>
    <row r="138" spans="1:28">
      <c r="A138" s="527">
        <v>2</v>
      </c>
      <c r="B138" s="527" t="s">
        <v>2111</v>
      </c>
      <c r="C138" s="626" t="s">
        <v>2112</v>
      </c>
      <c r="D138" s="528" t="s">
        <v>159</v>
      </c>
      <c r="E138" s="626" t="s">
        <v>2113</v>
      </c>
      <c r="G138" s="527" t="s">
        <v>2114</v>
      </c>
      <c r="Z138" s="527"/>
      <c r="AB138" s="529"/>
    </row>
    <row r="139" spans="1:28">
      <c r="A139" s="527">
        <v>3</v>
      </c>
      <c r="B139" s="527" t="s">
        <v>2115</v>
      </c>
      <c r="C139" s="626" t="s">
        <v>2116</v>
      </c>
      <c r="D139" s="528" t="s">
        <v>160</v>
      </c>
      <c r="E139" s="626" t="s">
        <v>2117</v>
      </c>
      <c r="G139" s="527" t="s">
        <v>2118</v>
      </c>
      <c r="Z139" s="527"/>
      <c r="AB139" s="529"/>
    </row>
    <row r="140" spans="1:28">
      <c r="A140" s="527">
        <v>4</v>
      </c>
      <c r="B140" s="527" t="s">
        <v>2119</v>
      </c>
      <c r="C140" s="626" t="s">
        <v>2120</v>
      </c>
      <c r="D140" s="528" t="s">
        <v>161</v>
      </c>
      <c r="E140" s="626" t="s">
        <v>2121</v>
      </c>
      <c r="G140" s="527" t="s">
        <v>2122</v>
      </c>
      <c r="Z140" s="527"/>
      <c r="AB140" s="529"/>
    </row>
    <row r="141" spans="1:28">
      <c r="A141" s="527">
        <v>5</v>
      </c>
      <c r="B141" s="527" t="s">
        <v>2123</v>
      </c>
      <c r="C141" s="626" t="s">
        <v>2124</v>
      </c>
      <c r="D141" s="528" t="s">
        <v>162</v>
      </c>
      <c r="E141" s="626" t="s">
        <v>2125</v>
      </c>
      <c r="F141" s="527" t="s">
        <v>2126</v>
      </c>
      <c r="G141" s="527" t="s">
        <v>2127</v>
      </c>
      <c r="Z141" s="527"/>
      <c r="AB141" s="529"/>
    </row>
    <row r="142" spans="1:28">
      <c r="A142" s="527">
        <v>6</v>
      </c>
      <c r="B142" s="527" t="s">
        <v>2128</v>
      </c>
      <c r="C142" s="626" t="s">
        <v>2129</v>
      </c>
      <c r="D142" s="528" t="s">
        <v>163</v>
      </c>
      <c r="E142" s="626" t="s">
        <v>2130</v>
      </c>
      <c r="G142" s="527" t="s">
        <v>2078</v>
      </c>
      <c r="Z142" s="527"/>
      <c r="AB142" s="529"/>
    </row>
    <row r="143" spans="1:28">
      <c r="A143" s="627">
        <v>7</v>
      </c>
      <c r="B143" s="627" t="s">
        <v>2131</v>
      </c>
      <c r="C143" s="628" t="s">
        <v>2132</v>
      </c>
      <c r="D143" s="629" t="s">
        <v>164</v>
      </c>
      <c r="E143" s="628" t="s">
        <v>2133</v>
      </c>
      <c r="F143" s="627"/>
      <c r="G143" s="527" t="s">
        <v>1951</v>
      </c>
      <c r="Z143" s="527"/>
      <c r="AB143" s="529"/>
    </row>
    <row r="144" spans="1:28" ht="24">
      <c r="A144" s="527">
        <v>8</v>
      </c>
      <c r="B144" s="527" t="s">
        <v>2134</v>
      </c>
      <c r="C144" s="626" t="s">
        <v>2135</v>
      </c>
      <c r="D144" s="528" t="s">
        <v>2136</v>
      </c>
      <c r="E144" s="626" t="s">
        <v>2137</v>
      </c>
      <c r="F144" s="527" t="s">
        <v>2138</v>
      </c>
      <c r="G144" s="527" t="s">
        <v>910</v>
      </c>
      <c r="Z144" s="527"/>
      <c r="AB144" s="529"/>
    </row>
    <row r="145" spans="1:59" ht="24">
      <c r="A145" s="527">
        <v>9</v>
      </c>
      <c r="B145" s="527" t="s">
        <v>2139</v>
      </c>
      <c r="C145" s="626" t="s">
        <v>2140</v>
      </c>
      <c r="D145" s="528" t="s">
        <v>2141</v>
      </c>
      <c r="E145" s="626" t="s">
        <v>2142</v>
      </c>
      <c r="G145" s="527" t="s">
        <v>2143</v>
      </c>
      <c r="Z145" s="527"/>
      <c r="AB145" s="529"/>
    </row>
    <row r="146" spans="1:59" ht="24">
      <c r="A146" s="527">
        <v>10</v>
      </c>
      <c r="B146" s="527" t="s">
        <v>2144</v>
      </c>
      <c r="C146" s="626" t="s">
        <v>2145</v>
      </c>
      <c r="D146" s="528" t="s">
        <v>2146</v>
      </c>
      <c r="E146" s="626" t="s">
        <v>2142</v>
      </c>
      <c r="F146" s="527" t="s">
        <v>2147</v>
      </c>
      <c r="G146" s="527" t="s">
        <v>2148</v>
      </c>
      <c r="Z146" s="527"/>
      <c r="AB146" s="529"/>
    </row>
    <row r="147" spans="1:59" ht="24">
      <c r="A147" s="527">
        <v>11</v>
      </c>
      <c r="B147" s="527" t="s">
        <v>2149</v>
      </c>
      <c r="C147" s="626" t="s">
        <v>2150</v>
      </c>
      <c r="D147" s="528" t="s">
        <v>2151</v>
      </c>
      <c r="E147" s="626" t="s">
        <v>2152</v>
      </c>
      <c r="G147" s="527" t="s">
        <v>2153</v>
      </c>
      <c r="Z147" s="527"/>
      <c r="AB147" s="529"/>
    </row>
    <row r="148" spans="1:59">
      <c r="C148" s="626"/>
      <c r="D148" s="528"/>
      <c r="E148" s="626"/>
      <c r="Z148" s="527"/>
      <c r="AB148" s="529"/>
    </row>
    <row r="149" spans="1:59" ht="18">
      <c r="A149" s="630" t="s">
        <v>178</v>
      </c>
      <c r="B149" s="630" t="s">
        <v>788</v>
      </c>
      <c r="C149" s="630" t="s">
        <v>789</v>
      </c>
      <c r="D149" s="630" t="s">
        <v>790</v>
      </c>
      <c r="E149" s="630" t="s">
        <v>791</v>
      </c>
      <c r="F149" s="630" t="s">
        <v>792</v>
      </c>
      <c r="G149" s="630" t="s">
        <v>793</v>
      </c>
      <c r="H149" s="630" t="s">
        <v>794</v>
      </c>
      <c r="I149" s="630" t="s">
        <v>795</v>
      </c>
      <c r="J149" s="630" t="s">
        <v>796</v>
      </c>
      <c r="K149" s="630" t="s">
        <v>797</v>
      </c>
      <c r="L149" s="630" t="s">
        <v>798</v>
      </c>
      <c r="M149" s="630" t="s">
        <v>799</v>
      </c>
      <c r="N149" s="630" t="s">
        <v>2154</v>
      </c>
      <c r="O149" s="630" t="s">
        <v>2155</v>
      </c>
      <c r="P149" s="630" t="s">
        <v>2156</v>
      </c>
      <c r="Q149" s="630" t="s">
        <v>2157</v>
      </c>
      <c r="R149" s="630" t="s">
        <v>2158</v>
      </c>
      <c r="S149" s="630" t="s">
        <v>2159</v>
      </c>
      <c r="T149" s="630" t="s">
        <v>2160</v>
      </c>
      <c r="U149" s="630" t="s">
        <v>2161</v>
      </c>
      <c r="V149" s="630" t="s">
        <v>2162</v>
      </c>
      <c r="W149" s="630" t="s">
        <v>2163</v>
      </c>
      <c r="X149" s="630" t="s">
        <v>2164</v>
      </c>
      <c r="Y149" s="630" t="s">
        <v>2165</v>
      </c>
      <c r="Z149" s="630" t="s">
        <v>2166</v>
      </c>
      <c r="AA149" s="630" t="s">
        <v>2167</v>
      </c>
      <c r="AB149" s="630" t="s">
        <v>2168</v>
      </c>
      <c r="AC149" s="630" t="s">
        <v>2169</v>
      </c>
      <c r="AD149" s="630" t="s">
        <v>2170</v>
      </c>
      <c r="AE149" s="630" t="s">
        <v>2171</v>
      </c>
      <c r="AF149" s="630" t="s">
        <v>2172</v>
      </c>
      <c r="AG149" s="630" t="s">
        <v>2173</v>
      </c>
      <c r="AH149" s="630" t="s">
        <v>2174</v>
      </c>
      <c r="AI149" s="630" t="s">
        <v>2175</v>
      </c>
      <c r="AJ149" s="630" t="s">
        <v>2176</v>
      </c>
      <c r="AK149" s="630" t="s">
        <v>2177</v>
      </c>
      <c r="AL149" s="630" t="s">
        <v>2178</v>
      </c>
      <c r="AM149" s="630" t="s">
        <v>2179</v>
      </c>
      <c r="AN149" s="630" t="s">
        <v>2180</v>
      </c>
      <c r="AO149" s="630" t="s">
        <v>2181</v>
      </c>
      <c r="AP149" s="630" t="s">
        <v>2182</v>
      </c>
      <c r="AQ149" s="630" t="s">
        <v>2183</v>
      </c>
      <c r="AR149" s="630" t="s">
        <v>2184</v>
      </c>
      <c r="AS149" s="630" t="s">
        <v>2185</v>
      </c>
      <c r="AT149" s="630" t="s">
        <v>2186</v>
      </c>
      <c r="AU149" s="630" t="s">
        <v>2187</v>
      </c>
      <c r="AV149" s="630" t="s">
        <v>2188</v>
      </c>
      <c r="AW149" s="630" t="s">
        <v>2189</v>
      </c>
      <c r="AX149" s="630" t="s">
        <v>2190</v>
      </c>
      <c r="AY149" s="630" t="s">
        <v>2191</v>
      </c>
    </row>
    <row r="150" spans="1:59" ht="18">
      <c r="A150" s="630" t="s">
        <v>2192</v>
      </c>
      <c r="B150" s="630" t="s">
        <v>2193</v>
      </c>
      <c r="C150" s="631" t="s">
        <v>2194</v>
      </c>
      <c r="D150" s="632" t="s">
        <v>2195</v>
      </c>
      <c r="E150" s="631" t="s">
        <v>2196</v>
      </c>
      <c r="F150" s="630" t="s">
        <v>2197</v>
      </c>
      <c r="G150" s="630" t="s">
        <v>2198</v>
      </c>
      <c r="H150" s="630" t="s">
        <v>2199</v>
      </c>
      <c r="I150" s="630" t="s">
        <v>2199</v>
      </c>
      <c r="J150" s="630" t="s">
        <v>2200</v>
      </c>
      <c r="K150" s="630" t="s">
        <v>2200</v>
      </c>
      <c r="L150" s="630" t="s">
        <v>2201</v>
      </c>
      <c r="M150" s="630" t="s">
        <v>2202</v>
      </c>
      <c r="N150" s="630" t="s">
        <v>2203</v>
      </c>
      <c r="O150" s="630" t="s">
        <v>2204</v>
      </c>
      <c r="P150" s="630" t="s">
        <v>2193</v>
      </c>
      <c r="Q150" s="630" t="s">
        <v>2205</v>
      </c>
      <c r="R150" s="630" t="s">
        <v>2206</v>
      </c>
      <c r="S150" s="630" t="s">
        <v>2207</v>
      </c>
      <c r="T150" s="630" t="s">
        <v>2208</v>
      </c>
      <c r="U150" s="630" t="s">
        <v>2209</v>
      </c>
      <c r="V150" s="630" t="s">
        <v>2210</v>
      </c>
      <c r="W150" s="630" t="s">
        <v>2211</v>
      </c>
      <c r="X150" s="630" t="s">
        <v>2211</v>
      </c>
      <c r="Y150" s="630" t="s">
        <v>2212</v>
      </c>
      <c r="Z150" s="630" t="s">
        <v>2213</v>
      </c>
      <c r="AA150" s="633" t="s">
        <v>2214</v>
      </c>
      <c r="AB150" s="633" t="s">
        <v>2215</v>
      </c>
      <c r="AC150" s="630" t="s">
        <v>2216</v>
      </c>
      <c r="AD150" s="630" t="s">
        <v>2217</v>
      </c>
      <c r="AE150" s="630" t="s">
        <v>2218</v>
      </c>
      <c r="AF150" s="630" t="s">
        <v>2219</v>
      </c>
      <c r="AG150" s="630" t="s">
        <v>2220</v>
      </c>
      <c r="AH150" s="630" t="s">
        <v>2221</v>
      </c>
      <c r="AI150" s="630" t="s">
        <v>2222</v>
      </c>
      <c r="AJ150" s="630" t="s">
        <v>2223</v>
      </c>
      <c r="AK150" s="630" t="s">
        <v>2224</v>
      </c>
      <c r="AL150" s="630" t="s">
        <v>2225</v>
      </c>
      <c r="AM150" s="630" t="s">
        <v>2226</v>
      </c>
      <c r="AN150" s="630" t="s">
        <v>2227</v>
      </c>
      <c r="AO150" s="630" t="s">
        <v>2228</v>
      </c>
      <c r="AP150" s="630" t="s">
        <v>2229</v>
      </c>
      <c r="AQ150" s="630" t="s">
        <v>2230</v>
      </c>
      <c r="AR150" s="630" t="s">
        <v>2231</v>
      </c>
      <c r="AS150" s="630" t="s">
        <v>2232</v>
      </c>
      <c r="AT150" s="630" t="s">
        <v>2233</v>
      </c>
      <c r="AU150" s="630" t="s">
        <v>2234</v>
      </c>
      <c r="AV150" s="630" t="s">
        <v>2235</v>
      </c>
      <c r="AW150" s="630" t="s">
        <v>2236</v>
      </c>
      <c r="AX150" s="630" t="s">
        <v>2237</v>
      </c>
      <c r="AY150" s="630" t="s">
        <v>2238</v>
      </c>
    </row>
    <row r="151" spans="1:59" ht="18">
      <c r="A151" s="630" t="s">
        <v>2239</v>
      </c>
      <c r="B151" s="630" t="s">
        <v>2240</v>
      </c>
      <c r="C151" s="631" t="s">
        <v>2241</v>
      </c>
      <c r="D151" s="632" t="s">
        <v>2242</v>
      </c>
      <c r="E151" s="631" t="s">
        <v>2243</v>
      </c>
      <c r="F151" s="630" t="s">
        <v>2244</v>
      </c>
      <c r="G151" s="630" t="s">
        <v>2245</v>
      </c>
      <c r="H151" s="630" t="s">
        <v>2246</v>
      </c>
      <c r="I151" s="630" t="s">
        <v>2247</v>
      </c>
      <c r="J151" s="630" t="s">
        <v>2248</v>
      </c>
      <c r="K151" s="630" t="s">
        <v>2249</v>
      </c>
      <c r="L151" s="630" t="s">
        <v>2250</v>
      </c>
      <c r="M151" s="630" t="s">
        <v>2251</v>
      </c>
      <c r="N151" s="630" t="s">
        <v>2252</v>
      </c>
      <c r="O151" s="630" t="s">
        <v>2253</v>
      </c>
      <c r="P151" s="630" t="s">
        <v>2254</v>
      </c>
      <c r="Q151" s="630" t="s">
        <v>2255</v>
      </c>
      <c r="R151" s="630" t="s">
        <v>2256</v>
      </c>
      <c r="S151" s="630" t="s">
        <v>2257</v>
      </c>
      <c r="T151" s="630" t="s">
        <v>2258</v>
      </c>
      <c r="U151" s="630" t="s">
        <v>2259</v>
      </c>
      <c r="V151" s="630" t="s">
        <v>2260</v>
      </c>
      <c r="W151" s="630" t="s">
        <v>2261</v>
      </c>
      <c r="X151" s="630" t="s">
        <v>2261</v>
      </c>
      <c r="Y151" s="630" t="s">
        <v>2262</v>
      </c>
      <c r="Z151" s="630" t="s">
        <v>2263</v>
      </c>
      <c r="AA151" s="633" t="s">
        <v>2264</v>
      </c>
      <c r="AB151" s="633" t="s">
        <v>2265</v>
      </c>
      <c r="AC151" s="630" t="s">
        <v>2266</v>
      </c>
      <c r="AD151" s="630" t="s">
        <v>2267</v>
      </c>
      <c r="AE151" s="630" t="s">
        <v>2268</v>
      </c>
      <c r="AF151" s="630" t="s">
        <v>2269</v>
      </c>
      <c r="AG151" s="630" t="s">
        <v>2270</v>
      </c>
      <c r="AH151" s="630" t="s">
        <v>2271</v>
      </c>
      <c r="AI151" s="630" t="s">
        <v>2272</v>
      </c>
      <c r="AJ151" s="630" t="s">
        <v>2273</v>
      </c>
      <c r="AK151" s="630" t="s">
        <v>2274</v>
      </c>
      <c r="AL151" s="630" t="s">
        <v>2275</v>
      </c>
      <c r="AM151" s="630" t="s">
        <v>2276</v>
      </c>
      <c r="AN151" s="630" t="s">
        <v>2277</v>
      </c>
      <c r="AO151" s="630" t="s">
        <v>2278</v>
      </c>
      <c r="AP151" s="630" t="s">
        <v>2279</v>
      </c>
      <c r="AQ151" s="630" t="s">
        <v>2280</v>
      </c>
      <c r="AR151" s="630" t="s">
        <v>2281</v>
      </c>
      <c r="AS151" s="630" t="s">
        <v>2282</v>
      </c>
      <c r="AT151" s="630" t="s">
        <v>2283</v>
      </c>
      <c r="AU151" s="630" t="s">
        <v>2284</v>
      </c>
      <c r="AV151" s="630" t="s">
        <v>2285</v>
      </c>
      <c r="AW151" s="630" t="s">
        <v>2286</v>
      </c>
      <c r="AX151" s="630" t="s">
        <v>2287</v>
      </c>
      <c r="AY151" s="630" t="s">
        <v>2288</v>
      </c>
    </row>
    <row r="152" spans="1:59" s="527" customFormat="1" ht="12">
      <c r="BF152" s="530"/>
      <c r="BG152" s="530"/>
    </row>
    <row r="153" spans="1:59">
      <c r="A153" s="527" t="s">
        <v>2289</v>
      </c>
      <c r="B153" s="527" t="s">
        <v>2290</v>
      </c>
      <c r="C153" s="527" t="s">
        <v>474</v>
      </c>
      <c r="D153" s="527" t="s">
        <v>475</v>
      </c>
      <c r="E153" s="527" t="s">
        <v>476</v>
      </c>
      <c r="F153" s="527" t="s">
        <v>477</v>
      </c>
      <c r="G153" s="527" t="s">
        <v>478</v>
      </c>
      <c r="H153" s="527" t="s">
        <v>479</v>
      </c>
      <c r="I153" s="527" t="s">
        <v>2291</v>
      </c>
      <c r="J153" s="527" t="s">
        <v>2292</v>
      </c>
      <c r="K153" s="527" t="s">
        <v>2293</v>
      </c>
      <c r="L153" s="527" t="s">
        <v>893</v>
      </c>
      <c r="M153" s="527" t="s">
        <v>894</v>
      </c>
      <c r="N153" s="527" t="s">
        <v>895</v>
      </c>
      <c r="O153" s="527" t="s">
        <v>2294</v>
      </c>
      <c r="P153" s="527" t="s">
        <v>2295</v>
      </c>
      <c r="Z153" s="527"/>
      <c r="AA153" s="527"/>
    </row>
    <row r="154" spans="1:59">
      <c r="A154" s="634" t="s">
        <v>2193</v>
      </c>
      <c r="B154" s="635" t="s">
        <v>2194</v>
      </c>
      <c r="C154" s="635" t="s">
        <v>2195</v>
      </c>
      <c r="D154" s="635" t="s">
        <v>2196</v>
      </c>
      <c r="E154" s="635" t="s">
        <v>2197</v>
      </c>
      <c r="F154" s="635" t="s">
        <v>2198</v>
      </c>
      <c r="G154" s="635" t="s">
        <v>2199</v>
      </c>
      <c r="H154" s="635" t="s">
        <v>2199</v>
      </c>
      <c r="I154" s="635" t="s">
        <v>2200</v>
      </c>
      <c r="J154" s="635" t="s">
        <v>2200</v>
      </c>
      <c r="K154" s="635" t="s">
        <v>2201</v>
      </c>
      <c r="L154" s="635" t="s">
        <v>2202</v>
      </c>
      <c r="M154" s="635" t="s">
        <v>2203</v>
      </c>
      <c r="N154" s="635" t="s">
        <v>2204</v>
      </c>
      <c r="O154" s="635" t="s">
        <v>2193</v>
      </c>
      <c r="P154" s="636" t="s">
        <v>2205</v>
      </c>
      <c r="Z154" s="527"/>
      <c r="AA154" s="527"/>
    </row>
    <row r="155" spans="1:59">
      <c r="A155" s="637" t="s">
        <v>2240</v>
      </c>
      <c r="B155" s="602" t="s">
        <v>2241</v>
      </c>
      <c r="C155" s="602" t="s">
        <v>2242</v>
      </c>
      <c r="D155" s="602" t="s">
        <v>2243</v>
      </c>
      <c r="E155" s="602" t="s">
        <v>2244</v>
      </c>
      <c r="F155" s="602" t="s">
        <v>2245</v>
      </c>
      <c r="G155" s="602" t="s">
        <v>2246</v>
      </c>
      <c r="H155" s="602" t="s">
        <v>2247</v>
      </c>
      <c r="I155" s="602" t="s">
        <v>2248</v>
      </c>
      <c r="J155" s="602" t="s">
        <v>2249</v>
      </c>
      <c r="K155" s="602" t="s">
        <v>2250</v>
      </c>
      <c r="L155" s="602" t="s">
        <v>2251</v>
      </c>
      <c r="M155" s="602" t="s">
        <v>2252</v>
      </c>
      <c r="N155" s="602" t="s">
        <v>2253</v>
      </c>
      <c r="O155" s="602" t="s">
        <v>2254</v>
      </c>
      <c r="P155" s="638" t="s">
        <v>2255</v>
      </c>
      <c r="Z155" s="527"/>
      <c r="AA155" s="527"/>
    </row>
    <row r="156" spans="1:59">
      <c r="A156" s="639">
        <v>0</v>
      </c>
      <c r="B156" s="640">
        <v>0</v>
      </c>
      <c r="C156" s="640">
        <v>0</v>
      </c>
      <c r="D156" s="640">
        <v>0</v>
      </c>
      <c r="E156" s="640">
        <v>0</v>
      </c>
      <c r="F156" s="640">
        <v>0</v>
      </c>
      <c r="G156" s="640">
        <v>0</v>
      </c>
      <c r="H156" s="640">
        <v>0</v>
      </c>
      <c r="I156" s="640">
        <v>0</v>
      </c>
      <c r="J156" s="640">
        <v>0</v>
      </c>
      <c r="K156" s="640">
        <v>0</v>
      </c>
      <c r="L156" s="640">
        <v>0</v>
      </c>
      <c r="M156" s="640">
        <v>0</v>
      </c>
      <c r="N156" s="640">
        <v>0</v>
      </c>
      <c r="O156" s="640">
        <v>0</v>
      </c>
      <c r="P156" s="641">
        <v>0</v>
      </c>
      <c r="Z156" s="527"/>
      <c r="AA156" s="527"/>
    </row>
    <row r="157" spans="1:59">
      <c r="A157" s="634" t="s">
        <v>2206</v>
      </c>
      <c r="B157" s="635" t="s">
        <v>2207</v>
      </c>
      <c r="C157" s="635" t="s">
        <v>2208</v>
      </c>
      <c r="D157" s="635" t="s">
        <v>2209</v>
      </c>
      <c r="E157" s="635" t="s">
        <v>2210</v>
      </c>
      <c r="F157" s="635" t="s">
        <v>2211</v>
      </c>
      <c r="G157" s="635" t="s">
        <v>2211</v>
      </c>
      <c r="H157" s="635" t="s">
        <v>2212</v>
      </c>
      <c r="I157" s="635" t="s">
        <v>2213</v>
      </c>
      <c r="J157" s="636" t="s">
        <v>2214</v>
      </c>
      <c r="K157" s="635"/>
      <c r="L157" s="635"/>
      <c r="M157" s="635"/>
      <c r="N157" s="635"/>
      <c r="O157" s="635"/>
      <c r="P157" s="636"/>
      <c r="Z157" s="527"/>
      <c r="AA157" s="527"/>
    </row>
    <row r="158" spans="1:59">
      <c r="A158" s="637" t="s">
        <v>2256</v>
      </c>
      <c r="B158" s="602" t="s">
        <v>2257</v>
      </c>
      <c r="C158" s="602" t="s">
        <v>2258</v>
      </c>
      <c r="D158" s="602" t="s">
        <v>2259</v>
      </c>
      <c r="E158" s="602" t="s">
        <v>2260</v>
      </c>
      <c r="F158" s="602" t="s">
        <v>2261</v>
      </c>
      <c r="G158" s="602" t="s">
        <v>2261</v>
      </c>
      <c r="H158" s="602" t="s">
        <v>2262</v>
      </c>
      <c r="I158" s="602" t="s">
        <v>2263</v>
      </c>
      <c r="J158" s="638" t="s">
        <v>2264</v>
      </c>
      <c r="K158" s="602"/>
      <c r="L158" s="602"/>
      <c r="M158" s="602"/>
      <c r="N158" s="602"/>
      <c r="O158" s="602"/>
      <c r="P158" s="638"/>
      <c r="Z158" s="527"/>
      <c r="AA158" s="527"/>
    </row>
    <row r="159" spans="1:59">
      <c r="A159" s="639">
        <v>1</v>
      </c>
      <c r="B159" s="640">
        <v>2</v>
      </c>
      <c r="C159" s="640">
        <v>3</v>
      </c>
      <c r="D159" s="640">
        <v>4</v>
      </c>
      <c r="E159" s="640">
        <v>5</v>
      </c>
      <c r="F159" s="640">
        <v>6</v>
      </c>
      <c r="G159" s="640">
        <v>7</v>
      </c>
      <c r="H159" s="640">
        <v>8</v>
      </c>
      <c r="I159" s="640">
        <v>9</v>
      </c>
      <c r="J159" s="641">
        <v>0</v>
      </c>
      <c r="K159" s="640"/>
      <c r="L159" s="640"/>
      <c r="M159" s="640"/>
      <c r="N159" s="640"/>
      <c r="O159" s="640"/>
      <c r="P159" s="641"/>
      <c r="Z159" s="527"/>
      <c r="AA159" s="527"/>
    </row>
    <row r="160" spans="1:59">
      <c r="A160" s="634" t="s">
        <v>2215</v>
      </c>
      <c r="B160" s="635" t="s">
        <v>2216</v>
      </c>
      <c r="C160" s="635" t="s">
        <v>2217</v>
      </c>
      <c r="D160" s="635" t="s">
        <v>2218</v>
      </c>
      <c r="E160" s="635" t="s">
        <v>2219</v>
      </c>
      <c r="F160" s="635" t="s">
        <v>2220</v>
      </c>
      <c r="G160" s="635" t="s">
        <v>2221</v>
      </c>
      <c r="H160" s="635" t="s">
        <v>2222</v>
      </c>
      <c r="I160" s="635" t="s">
        <v>2223</v>
      </c>
      <c r="J160" s="636" t="s">
        <v>2224</v>
      </c>
      <c r="K160" s="635"/>
      <c r="L160" s="635"/>
      <c r="M160" s="635"/>
      <c r="N160" s="635"/>
      <c r="O160" s="635"/>
      <c r="P160" s="636"/>
      <c r="Z160" s="527"/>
      <c r="AA160" s="527"/>
    </row>
    <row r="161" spans="1:28">
      <c r="A161" s="637" t="s">
        <v>2265</v>
      </c>
      <c r="B161" s="602" t="s">
        <v>2266</v>
      </c>
      <c r="C161" s="602" t="s">
        <v>2267</v>
      </c>
      <c r="D161" s="602" t="s">
        <v>2268</v>
      </c>
      <c r="E161" s="602" t="s">
        <v>2269</v>
      </c>
      <c r="F161" s="602" t="s">
        <v>2270</v>
      </c>
      <c r="G161" s="602" t="s">
        <v>2271</v>
      </c>
      <c r="H161" s="602" t="s">
        <v>2272</v>
      </c>
      <c r="I161" s="602" t="s">
        <v>2273</v>
      </c>
      <c r="J161" s="638" t="s">
        <v>2274</v>
      </c>
      <c r="K161" s="602"/>
      <c r="L161" s="602"/>
      <c r="M161" s="602"/>
      <c r="N161" s="602"/>
      <c r="O161" s="602"/>
      <c r="P161" s="638"/>
      <c r="Z161" s="527"/>
      <c r="AA161" s="527"/>
    </row>
    <row r="162" spans="1:28">
      <c r="A162" s="639">
        <v>1</v>
      </c>
      <c r="B162" s="640">
        <v>2</v>
      </c>
      <c r="C162" s="640">
        <v>3</v>
      </c>
      <c r="D162" s="640">
        <v>4</v>
      </c>
      <c r="E162" s="640">
        <v>5</v>
      </c>
      <c r="F162" s="640">
        <v>6</v>
      </c>
      <c r="G162" s="640">
        <v>7</v>
      </c>
      <c r="H162" s="640">
        <v>8</v>
      </c>
      <c r="I162" s="640">
        <v>9</v>
      </c>
      <c r="J162" s="641">
        <v>0</v>
      </c>
      <c r="K162" s="640"/>
      <c r="L162" s="640"/>
      <c r="M162" s="640"/>
      <c r="N162" s="640"/>
      <c r="O162" s="640"/>
      <c r="P162" s="641"/>
      <c r="Z162" s="527"/>
      <c r="AA162" s="527"/>
    </row>
    <row r="163" spans="1:28">
      <c r="A163" s="634" t="s">
        <v>2225</v>
      </c>
      <c r="B163" s="635" t="s">
        <v>2226</v>
      </c>
      <c r="C163" s="635" t="s">
        <v>2227</v>
      </c>
      <c r="D163" s="635" t="s">
        <v>2228</v>
      </c>
      <c r="E163" s="636" t="s">
        <v>2229</v>
      </c>
      <c r="F163" s="635"/>
      <c r="G163" s="635"/>
      <c r="H163" s="635"/>
      <c r="I163" s="635"/>
      <c r="J163" s="635"/>
      <c r="K163" s="635"/>
      <c r="L163" s="635"/>
      <c r="M163" s="635"/>
      <c r="N163" s="635"/>
      <c r="O163" s="635"/>
      <c r="P163" s="636"/>
      <c r="Z163" s="527"/>
      <c r="AA163" s="527"/>
    </row>
    <row r="164" spans="1:28">
      <c r="A164" s="637" t="s">
        <v>2275</v>
      </c>
      <c r="B164" s="602" t="s">
        <v>2276</v>
      </c>
      <c r="C164" s="602" t="s">
        <v>2277</v>
      </c>
      <c r="D164" s="602" t="s">
        <v>2278</v>
      </c>
      <c r="E164" s="638" t="s">
        <v>2279</v>
      </c>
      <c r="F164" s="602"/>
      <c r="G164" s="602"/>
      <c r="H164" s="602"/>
      <c r="I164" s="602"/>
      <c r="J164" s="602"/>
      <c r="K164" s="602"/>
      <c r="L164" s="602"/>
      <c r="M164" s="602"/>
      <c r="N164" s="602"/>
      <c r="O164" s="602"/>
      <c r="P164" s="638"/>
      <c r="Z164" s="527"/>
      <c r="AA164" s="527"/>
    </row>
    <row r="165" spans="1:28">
      <c r="A165" s="639">
        <v>1</v>
      </c>
      <c r="B165" s="640">
        <v>2</v>
      </c>
      <c r="C165" s="640">
        <v>3</v>
      </c>
      <c r="D165" s="640">
        <v>4</v>
      </c>
      <c r="E165" s="641">
        <v>5</v>
      </c>
      <c r="F165" s="640"/>
      <c r="G165" s="640"/>
      <c r="H165" s="640"/>
      <c r="I165" s="640"/>
      <c r="J165" s="640"/>
      <c r="K165" s="640"/>
      <c r="L165" s="640"/>
      <c r="M165" s="640"/>
      <c r="N165" s="640"/>
      <c r="O165" s="640"/>
      <c r="P165" s="641"/>
      <c r="Z165" s="527"/>
      <c r="AA165" s="527"/>
    </row>
    <row r="166" spans="1:28">
      <c r="A166" s="634" t="s">
        <v>2230</v>
      </c>
      <c r="B166" s="635" t="s">
        <v>2231</v>
      </c>
      <c r="C166" s="635" t="s">
        <v>2232</v>
      </c>
      <c r="D166" s="635" t="s">
        <v>2233</v>
      </c>
      <c r="E166" s="635" t="s">
        <v>2234</v>
      </c>
      <c r="F166" s="635" t="s">
        <v>2235</v>
      </c>
      <c r="G166" s="635" t="s">
        <v>2236</v>
      </c>
      <c r="H166" s="635" t="s">
        <v>2237</v>
      </c>
      <c r="I166" s="636" t="s">
        <v>2296</v>
      </c>
      <c r="J166" s="602"/>
      <c r="K166" s="602"/>
      <c r="L166" s="602"/>
      <c r="M166" s="602"/>
      <c r="N166" s="602"/>
      <c r="O166" s="602"/>
      <c r="P166" s="602"/>
      <c r="Z166" s="527"/>
      <c r="AA166" s="527"/>
    </row>
    <row r="167" spans="1:28">
      <c r="A167" s="637" t="s">
        <v>2280</v>
      </c>
      <c r="B167" s="602" t="s">
        <v>2281</v>
      </c>
      <c r="C167" s="602" t="s">
        <v>2282</v>
      </c>
      <c r="D167" s="602" t="s">
        <v>2283</v>
      </c>
      <c r="E167" s="602" t="s">
        <v>2284</v>
      </c>
      <c r="F167" s="602" t="s">
        <v>2285</v>
      </c>
      <c r="G167" s="602" t="s">
        <v>2286</v>
      </c>
      <c r="H167" s="602" t="s">
        <v>2287</v>
      </c>
      <c r="I167" s="638" t="s">
        <v>2297</v>
      </c>
      <c r="J167" s="602"/>
      <c r="K167" s="602"/>
      <c r="L167" s="602"/>
      <c r="M167" s="602"/>
      <c r="N167" s="602"/>
      <c r="O167" s="602"/>
      <c r="P167" s="602"/>
      <c r="Z167" s="527"/>
      <c r="AA167" s="527"/>
    </row>
    <row r="168" spans="1:28">
      <c r="A168" s="639">
        <v>1</v>
      </c>
      <c r="B168" s="640">
        <v>2</v>
      </c>
      <c r="C168" s="640">
        <v>3</v>
      </c>
      <c r="D168" s="640">
        <v>4</v>
      </c>
      <c r="E168" s="640">
        <v>5</v>
      </c>
      <c r="F168" s="640">
        <v>6</v>
      </c>
      <c r="G168" s="640">
        <v>7</v>
      </c>
      <c r="H168" s="640">
        <v>8</v>
      </c>
      <c r="I168" s="641" t="s">
        <v>2298</v>
      </c>
      <c r="J168" s="602"/>
      <c r="K168" s="602"/>
      <c r="L168" s="602"/>
      <c r="M168" s="602"/>
      <c r="N168" s="602"/>
      <c r="O168" s="602"/>
      <c r="P168" s="602"/>
      <c r="Z168" s="527"/>
      <c r="AA168" s="527"/>
    </row>
    <row r="170" spans="1:28">
      <c r="A170" t="s">
        <v>2299</v>
      </c>
      <c r="B170" t="s">
        <v>788</v>
      </c>
      <c r="C170" t="s">
        <v>789</v>
      </c>
      <c r="D170" t="s">
        <v>790</v>
      </c>
      <c r="E170" t="s">
        <v>791</v>
      </c>
      <c r="F170" t="s">
        <v>2300</v>
      </c>
      <c r="G170" s="529" t="s">
        <v>2301</v>
      </c>
      <c r="H170" s="529" t="s">
        <v>2302</v>
      </c>
      <c r="I170" s="529" t="s">
        <v>2303</v>
      </c>
      <c r="J170" s="529" t="s">
        <v>2304</v>
      </c>
      <c r="Z170" s="527"/>
      <c r="AB170" s="529"/>
    </row>
    <row r="171" spans="1:28">
      <c r="A171">
        <v>1</v>
      </c>
      <c r="B171" t="s">
        <v>2305</v>
      </c>
      <c r="C171" t="s">
        <v>2306</v>
      </c>
      <c r="D171" t="s">
        <v>2307</v>
      </c>
      <c r="E171" t="s">
        <v>2308</v>
      </c>
      <c r="F171" t="s">
        <v>2309</v>
      </c>
      <c r="G171" s="642" t="str">
        <f t="shared" ref="G171:J174" si="17">B176&amp;" "&amp;G176</f>
        <v>अ क थ ह a ka tha ha</v>
      </c>
      <c r="H171" s="642" t="str">
        <f t="shared" si="17"/>
        <v>उ ङ प u ṅa pa</v>
      </c>
      <c r="I171" s="642" t="str">
        <f t="shared" si="17"/>
        <v>आ ख द ā kha da</v>
      </c>
      <c r="J171" s="642" t="str">
        <f t="shared" si="17"/>
        <v>ऊ च फ ū ca pha</v>
      </c>
      <c r="Z171" s="527"/>
      <c r="AB171" s="529"/>
    </row>
    <row r="172" spans="1:28">
      <c r="A172">
        <v>2</v>
      </c>
      <c r="B172" t="s">
        <v>2310</v>
      </c>
      <c r="C172" t="s">
        <v>2311</v>
      </c>
      <c r="D172" t="s">
        <v>2312</v>
      </c>
      <c r="E172" t="s">
        <v>2313</v>
      </c>
      <c r="F172" t="s">
        <v>2314</v>
      </c>
      <c r="G172" s="642" t="str">
        <f t="shared" si="17"/>
        <v>ओ ड व o ḍa va</v>
      </c>
      <c r="H172" s="642" t="str">
        <f t="shared" si="17"/>
        <v>ऌ झ म ḷ jha ma</v>
      </c>
      <c r="I172" s="642" t="str">
        <f t="shared" si="17"/>
        <v>औ ढ श au ḍha śa</v>
      </c>
      <c r="J172" s="642" t="str">
        <f t="shared" si="17"/>
        <v>ॡ ञ य ḹ ña ya</v>
      </c>
      <c r="Z172" s="527"/>
      <c r="AB172" s="529"/>
    </row>
    <row r="173" spans="1:28">
      <c r="A173">
        <v>3</v>
      </c>
      <c r="B173" t="s">
        <v>2315</v>
      </c>
      <c r="C173" t="s">
        <v>2316</v>
      </c>
      <c r="D173" t="s">
        <v>2317</v>
      </c>
      <c r="E173" t="s">
        <v>2318</v>
      </c>
      <c r="F173" t="s">
        <v>2319</v>
      </c>
      <c r="G173" s="642" t="str">
        <f t="shared" si="17"/>
        <v>ई घ न ī gha na</v>
      </c>
      <c r="H173" s="642" t="str">
        <f t="shared" si="17"/>
        <v>ॠ ज भ ṝ ja bha</v>
      </c>
      <c r="I173" s="642" t="str">
        <f t="shared" si="17"/>
        <v>इ ग ध i ga dha</v>
      </c>
      <c r="J173" s="642" t="str">
        <f t="shared" si="17"/>
        <v>ऋ छ ब ṛ cha ba</v>
      </c>
      <c r="Z173" s="527"/>
      <c r="AB173" s="529"/>
    </row>
    <row r="174" spans="1:28">
      <c r="A174">
        <v>4</v>
      </c>
      <c r="B174" t="s">
        <v>2320</v>
      </c>
      <c r="C174" t="s">
        <v>2321</v>
      </c>
      <c r="D174" t="s">
        <v>2322</v>
      </c>
      <c r="E174" t="s">
        <v>2323</v>
      </c>
      <c r="F174" t="s">
        <v>2324</v>
      </c>
      <c r="G174" s="642" t="str">
        <f t="shared" si="17"/>
        <v>अः त स aḥ ta sa</v>
      </c>
      <c r="H174" s="642" t="str">
        <f t="shared" si="17"/>
        <v>ऐ ठ ल ai ṭha la</v>
      </c>
      <c r="I174" s="642" t="str">
        <f t="shared" si="17"/>
        <v>अं ण ष aṁ ṇa ṣa</v>
      </c>
      <c r="J174" s="642" t="str">
        <f t="shared" si="17"/>
        <v>ए ट र e ṭa ra</v>
      </c>
      <c r="Z174" s="527"/>
      <c r="AB174" s="529"/>
    </row>
    <row r="175" spans="1:28" ht="15.75">
      <c r="A175" s="643" t="s">
        <v>2325</v>
      </c>
      <c r="B175">
        <v>1</v>
      </c>
      <c r="C175">
        <v>2</v>
      </c>
      <c r="D175">
        <v>3</v>
      </c>
      <c r="E175">
        <v>4</v>
      </c>
      <c r="F175"/>
      <c r="G175" s="529">
        <v>1</v>
      </c>
      <c r="H175" s="529">
        <v>2</v>
      </c>
      <c r="I175" s="529">
        <v>3</v>
      </c>
      <c r="J175" s="529">
        <v>4</v>
      </c>
      <c r="Z175" s="527"/>
      <c r="AB175" s="529"/>
    </row>
    <row r="176" spans="1:28" ht="15.75">
      <c r="A176">
        <v>1</v>
      </c>
      <c r="B176" s="643" t="s">
        <v>2326</v>
      </c>
      <c r="C176" s="643" t="s">
        <v>2327</v>
      </c>
      <c r="D176" s="643" t="s">
        <v>2328</v>
      </c>
      <c r="E176" s="643" t="s">
        <v>2329</v>
      </c>
      <c r="F176" s="643">
        <v>1</v>
      </c>
      <c r="G176" s="529" t="s">
        <v>2330</v>
      </c>
      <c r="H176" s="529" t="s">
        <v>2331</v>
      </c>
      <c r="I176" s="529" t="s">
        <v>2332</v>
      </c>
      <c r="J176" s="529" t="s">
        <v>2333</v>
      </c>
      <c r="Z176" s="527"/>
      <c r="AB176" s="529"/>
    </row>
    <row r="177" spans="1:28" ht="15.75">
      <c r="A177">
        <v>2</v>
      </c>
      <c r="B177" s="643" t="s">
        <v>2334</v>
      </c>
      <c r="C177" s="643" t="s">
        <v>2335</v>
      </c>
      <c r="D177" s="643" t="s">
        <v>2336</v>
      </c>
      <c r="E177" s="643" t="s">
        <v>2337</v>
      </c>
      <c r="F177" s="643">
        <v>2</v>
      </c>
      <c r="G177" s="529" t="s">
        <v>2338</v>
      </c>
      <c r="H177" s="529" t="s">
        <v>2339</v>
      </c>
      <c r="I177" s="529" t="s">
        <v>2340</v>
      </c>
      <c r="J177" s="529" t="s">
        <v>2341</v>
      </c>
      <c r="Z177" s="527"/>
      <c r="AB177" s="529"/>
    </row>
    <row r="178" spans="1:28" ht="15.75">
      <c r="A178">
        <v>3</v>
      </c>
      <c r="B178" s="643" t="s">
        <v>2342</v>
      </c>
      <c r="C178" s="643" t="s">
        <v>2343</v>
      </c>
      <c r="D178" s="643" t="s">
        <v>2344</v>
      </c>
      <c r="E178" s="643" t="s">
        <v>2345</v>
      </c>
      <c r="F178" s="643">
        <v>3</v>
      </c>
      <c r="G178" s="529" t="s">
        <v>2346</v>
      </c>
      <c r="H178" s="529" t="s">
        <v>2347</v>
      </c>
      <c r="I178" s="529" t="s">
        <v>2317</v>
      </c>
      <c r="J178" s="529" t="s">
        <v>2348</v>
      </c>
      <c r="Z178" s="527"/>
      <c r="AB178" s="529"/>
    </row>
    <row r="179" spans="1:28" ht="15.75">
      <c r="A179">
        <v>4</v>
      </c>
      <c r="B179" s="643" t="s">
        <v>2349</v>
      </c>
      <c r="C179" s="643" t="s">
        <v>2350</v>
      </c>
      <c r="D179" s="643" t="s">
        <v>2351</v>
      </c>
      <c r="E179" s="643" t="s">
        <v>2352</v>
      </c>
      <c r="F179" s="643">
        <v>4</v>
      </c>
      <c r="G179" s="529" t="s">
        <v>2353</v>
      </c>
      <c r="H179" s="529" t="s">
        <v>2354</v>
      </c>
      <c r="I179" s="529" t="s">
        <v>2355</v>
      </c>
      <c r="J179" s="529" t="s">
        <v>2356</v>
      </c>
      <c r="Z179" s="527"/>
      <c r="AB179" s="529"/>
    </row>
    <row r="181" spans="1:28">
      <c r="B181" s="527" t="s">
        <v>2357</v>
      </c>
      <c r="C181" s="527" t="s">
        <v>2358</v>
      </c>
      <c r="D181" s="527" t="s">
        <v>2359</v>
      </c>
      <c r="E181" s="528" t="s">
        <v>2360</v>
      </c>
      <c r="F181" s="644" t="s">
        <v>2361</v>
      </c>
      <c r="G181" s="527" t="s">
        <v>2357</v>
      </c>
      <c r="H181" s="527" t="s">
        <v>2358</v>
      </c>
      <c r="I181" s="527" t="s">
        <v>2359</v>
      </c>
      <c r="J181" s="528" t="s">
        <v>2360</v>
      </c>
      <c r="K181" s="644" t="s">
        <v>2361</v>
      </c>
    </row>
    <row r="182" spans="1:28">
      <c r="B182" s="527">
        <v>1</v>
      </c>
      <c r="C182" s="527">
        <v>2</v>
      </c>
      <c r="D182" s="527">
        <v>3</v>
      </c>
      <c r="E182" s="527">
        <v>4</v>
      </c>
      <c r="F182" s="527">
        <v>5</v>
      </c>
      <c r="G182" s="527">
        <v>1</v>
      </c>
      <c r="H182" s="527">
        <v>2</v>
      </c>
      <c r="I182" s="527">
        <v>3</v>
      </c>
      <c r="J182" s="527">
        <v>4</v>
      </c>
      <c r="K182" s="527">
        <v>5</v>
      </c>
    </row>
    <row r="184" spans="1:28">
      <c r="F184" s="536"/>
    </row>
    <row r="185" spans="1:28">
      <c r="E185" s="645"/>
    </row>
    <row r="187" spans="1:28">
      <c r="A187" s="528" t="s">
        <v>243</v>
      </c>
      <c r="B187" s="528" t="s">
        <v>2362</v>
      </c>
      <c r="C187" s="528" t="s">
        <v>2363</v>
      </c>
      <c r="D187" s="528" t="s">
        <v>2364</v>
      </c>
      <c r="E187" s="528" t="s">
        <v>779</v>
      </c>
      <c r="F187" s="527" t="s">
        <v>324</v>
      </c>
      <c r="G187" s="527" t="s">
        <v>2365</v>
      </c>
    </row>
    <row r="188" spans="1:28" ht="108">
      <c r="A188" s="528">
        <v>1</v>
      </c>
      <c r="B188" s="528" t="s">
        <v>2366</v>
      </c>
      <c r="C188" s="528" t="s">
        <v>2367</v>
      </c>
      <c r="D188" s="528" t="s">
        <v>2368</v>
      </c>
      <c r="E188" s="528">
        <v>8</v>
      </c>
      <c r="F188" s="527" t="s">
        <v>2369</v>
      </c>
      <c r="G188" s="527">
        <v>8</v>
      </c>
    </row>
    <row r="189" spans="1:28" ht="108">
      <c r="A189" s="528">
        <v>2</v>
      </c>
      <c r="B189" s="528" t="s">
        <v>2370</v>
      </c>
      <c r="C189" s="528" t="s">
        <v>2371</v>
      </c>
      <c r="D189" s="528" t="s">
        <v>2372</v>
      </c>
      <c r="E189" s="528">
        <v>7</v>
      </c>
      <c r="G189" s="527">
        <v>0</v>
      </c>
    </row>
    <row r="190" spans="1:28" ht="24">
      <c r="A190" s="528">
        <v>3</v>
      </c>
      <c r="B190" s="528" t="s">
        <v>2373</v>
      </c>
      <c r="C190" s="528" t="s">
        <v>2374</v>
      </c>
      <c r="D190" s="528" t="s">
        <v>2375</v>
      </c>
      <c r="E190" s="528">
        <v>6</v>
      </c>
      <c r="G190" s="527">
        <v>0</v>
      </c>
    </row>
    <row r="191" spans="1:28" ht="60">
      <c r="A191" s="528">
        <v>4</v>
      </c>
      <c r="B191" s="528" t="s">
        <v>2376</v>
      </c>
      <c r="C191" s="528" t="s">
        <v>2377</v>
      </c>
      <c r="D191" s="528" t="s">
        <v>2378</v>
      </c>
      <c r="E191" s="528">
        <v>5</v>
      </c>
      <c r="G191" s="527">
        <v>0</v>
      </c>
    </row>
    <row r="192" spans="1:28" ht="36">
      <c r="A192" s="528">
        <v>5</v>
      </c>
      <c r="B192" s="528" t="s">
        <v>889</v>
      </c>
      <c r="C192" s="528" t="s">
        <v>2379</v>
      </c>
      <c r="D192" s="528" t="s">
        <v>2380</v>
      </c>
      <c r="E192" s="528">
        <v>4</v>
      </c>
      <c r="G192" s="527">
        <v>2</v>
      </c>
    </row>
    <row r="193" spans="1:13" ht="96">
      <c r="A193" s="528">
        <v>6</v>
      </c>
      <c r="B193" s="528" t="s">
        <v>2381</v>
      </c>
      <c r="C193" s="528" t="s">
        <v>2382</v>
      </c>
      <c r="D193" s="528" t="s">
        <v>2383</v>
      </c>
      <c r="E193" s="528">
        <v>3</v>
      </c>
      <c r="F193" s="527" t="s">
        <v>395</v>
      </c>
      <c r="G193" s="527">
        <v>3</v>
      </c>
    </row>
    <row r="194" spans="1:13" ht="300">
      <c r="A194" s="528">
        <v>7</v>
      </c>
      <c r="B194" s="528" t="s">
        <v>2384</v>
      </c>
      <c r="C194" s="528" t="s">
        <v>2385</v>
      </c>
      <c r="D194" s="528" t="s">
        <v>2386</v>
      </c>
      <c r="E194" s="528">
        <v>2</v>
      </c>
      <c r="G194" s="527">
        <v>1</v>
      </c>
    </row>
    <row r="195" spans="1:13" ht="116.65" customHeight="1">
      <c r="A195" s="528">
        <v>8</v>
      </c>
      <c r="B195" s="528" t="s">
        <v>1299</v>
      </c>
      <c r="C195" s="528" t="s">
        <v>2387</v>
      </c>
      <c r="D195" s="528" t="s">
        <v>2388</v>
      </c>
      <c r="E195" s="528">
        <v>1</v>
      </c>
      <c r="G195" s="527">
        <v>0.5</v>
      </c>
    </row>
    <row r="196" spans="1:13" ht="113.45" customHeight="1">
      <c r="A196" s="528">
        <v>9</v>
      </c>
      <c r="B196" s="528" t="s">
        <v>2389</v>
      </c>
      <c r="C196" s="615" t="s">
        <v>2390</v>
      </c>
      <c r="D196" s="615" t="s">
        <v>2391</v>
      </c>
      <c r="E196" s="615" t="s">
        <v>2392</v>
      </c>
      <c r="F196" s="615"/>
      <c r="G196" s="615"/>
      <c r="H196" s="615"/>
      <c r="I196" s="615"/>
      <c r="J196" s="615"/>
      <c r="K196" s="615"/>
      <c r="L196" s="615"/>
      <c r="M196" s="615"/>
    </row>
    <row r="197" spans="1:13" ht="180">
      <c r="A197" s="528">
        <v>10</v>
      </c>
      <c r="B197" s="615" t="s">
        <v>2393</v>
      </c>
      <c r="C197" s="615" t="s">
        <v>2394</v>
      </c>
      <c r="D197" s="615" t="s">
        <v>2395</v>
      </c>
      <c r="E197" s="615" t="s">
        <v>2392</v>
      </c>
      <c r="F197" s="615"/>
      <c r="G197" s="615"/>
      <c r="H197" s="615"/>
      <c r="I197" s="615"/>
      <c r="J197" s="615"/>
      <c r="K197" s="615"/>
      <c r="L197" s="615"/>
    </row>
    <row r="198" spans="1:13" ht="108">
      <c r="A198" s="528">
        <v>11</v>
      </c>
      <c r="B198" s="528" t="s">
        <v>2396</v>
      </c>
      <c r="C198" s="528" t="s">
        <v>2397</v>
      </c>
      <c r="D198" s="528" t="s">
        <v>2398</v>
      </c>
      <c r="E198" s="528" t="s">
        <v>2392</v>
      </c>
    </row>
    <row r="199" spans="1:13" ht="48">
      <c r="A199" s="528">
        <v>12</v>
      </c>
      <c r="B199" s="528" t="s">
        <v>2399</v>
      </c>
      <c r="C199" s="528" t="s">
        <v>2400</v>
      </c>
      <c r="D199" s="528" t="s">
        <v>2401</v>
      </c>
      <c r="E199" s="528" t="s">
        <v>2392</v>
      </c>
    </row>
    <row r="200" spans="1:13" ht="24">
      <c r="A200" s="528">
        <v>13</v>
      </c>
      <c r="B200" s="528" t="s">
        <v>2402</v>
      </c>
      <c r="C200" s="528" t="s">
        <v>2403</v>
      </c>
      <c r="D200" s="528" t="s">
        <v>2404</v>
      </c>
      <c r="E200" s="528" t="s">
        <v>2392</v>
      </c>
    </row>
    <row r="201" spans="1:13">
      <c r="B201" s="528"/>
      <c r="C201" s="528"/>
      <c r="D201" s="528"/>
    </row>
    <row r="202" spans="1:13">
      <c r="A202" s="528" t="s">
        <v>320</v>
      </c>
      <c r="B202" s="646" t="s">
        <v>2405</v>
      </c>
      <c r="C202" s="527" t="s">
        <v>2406</v>
      </c>
      <c r="D202" s="528" t="s">
        <v>2407</v>
      </c>
    </row>
    <row r="203" spans="1:13">
      <c r="A203" s="528"/>
      <c r="B203" s="528"/>
      <c r="C203" s="528"/>
      <c r="D203" s="528"/>
    </row>
    <row r="204" spans="1:13">
      <c r="A204" s="647" t="s">
        <v>2408</v>
      </c>
      <c r="B204" s="647" t="s">
        <v>2409</v>
      </c>
      <c r="C204" s="647" t="s">
        <v>2410</v>
      </c>
      <c r="D204" s="647" t="s">
        <v>2411</v>
      </c>
    </row>
    <row r="205" spans="1:13">
      <c r="A205" s="543" t="s">
        <v>2412</v>
      </c>
      <c r="B205" s="543" t="s">
        <v>2413</v>
      </c>
      <c r="C205" s="543" t="s">
        <v>2414</v>
      </c>
      <c r="D205" s="543" t="s">
        <v>2415</v>
      </c>
    </row>
    <row r="206" spans="1:13">
      <c r="A206" s="543" t="s">
        <v>2416</v>
      </c>
      <c r="B206" s="543" t="s">
        <v>2417</v>
      </c>
      <c r="C206" s="543" t="s">
        <v>2418</v>
      </c>
      <c r="D206" s="543" t="s">
        <v>2419</v>
      </c>
    </row>
    <row r="207" spans="1:13" ht="13.5" customHeight="1">
      <c r="A207" s="543" t="s">
        <v>2420</v>
      </c>
      <c r="B207" s="543" t="s">
        <v>2421</v>
      </c>
      <c r="C207" s="543" t="s">
        <v>2422</v>
      </c>
      <c r="D207" s="543" t="s">
        <v>2423</v>
      </c>
    </row>
    <row r="208" spans="1:13" ht="13.5" customHeight="1">
      <c r="A208" s="648" t="s">
        <v>2424</v>
      </c>
      <c r="B208" s="648"/>
      <c r="C208" s="648"/>
      <c r="D208" s="543"/>
    </row>
    <row r="209" spans="1:256" ht="13.5" customHeight="1">
      <c r="A209" s="648" t="s">
        <v>2425</v>
      </c>
      <c r="B209" s="648"/>
      <c r="C209" s="648"/>
      <c r="D209" s="543"/>
    </row>
    <row r="210" spans="1:256" ht="24">
      <c r="A210" s="648" t="s">
        <v>2426</v>
      </c>
      <c r="B210" s="648"/>
      <c r="C210" s="648"/>
      <c r="D210" s="543"/>
    </row>
    <row r="211" spans="1:256" ht="84">
      <c r="A211" s="649" t="s">
        <v>2427</v>
      </c>
      <c r="B211" s="649"/>
      <c r="C211" s="649"/>
      <c r="D211" s="543"/>
    </row>
    <row r="212" spans="1:256" ht="12.75" customHeight="1">
      <c r="A212" s="649"/>
      <c r="B212" s="649"/>
      <c r="C212" s="649"/>
    </row>
    <row r="213" spans="1:256" s="559" customFormat="1" ht="14.25" customHeight="1">
      <c r="A213" s="1349" t="s">
        <v>2428</v>
      </c>
      <c r="B213" s="1349"/>
      <c r="C213" s="527"/>
      <c r="D213" s="527"/>
      <c r="E213" s="528"/>
      <c r="F213" s="527"/>
      <c r="G213" s="527"/>
      <c r="H213" s="527"/>
      <c r="I213" s="527"/>
      <c r="J213" s="527"/>
      <c r="K213" s="527"/>
      <c r="L213" s="527"/>
      <c r="M213" s="527"/>
      <c r="N213" s="527"/>
      <c r="O213" s="527"/>
      <c r="P213" s="527"/>
      <c r="Q213" s="527"/>
      <c r="R213" s="527"/>
      <c r="S213" s="527"/>
      <c r="T213" s="527"/>
      <c r="U213" s="527"/>
      <c r="V213" s="527"/>
      <c r="W213" s="527"/>
      <c r="X213" s="527"/>
      <c r="Y213" s="527"/>
      <c r="Z213" s="529"/>
      <c r="AA213" s="529"/>
      <c r="AB213" s="527"/>
      <c r="AC213" s="527"/>
      <c r="AD213" s="527"/>
      <c r="AE213" s="527"/>
      <c r="AF213" s="527"/>
      <c r="AG213" s="527"/>
      <c r="AH213" s="527"/>
      <c r="AI213" s="527"/>
      <c r="AJ213" s="527"/>
      <c r="AK213" s="527"/>
      <c r="AL213" s="527"/>
      <c r="AM213" s="527"/>
      <c r="AN213" s="527"/>
      <c r="AO213" s="527"/>
      <c r="AP213" s="527"/>
      <c r="AQ213" s="527"/>
      <c r="AR213" s="527"/>
      <c r="AS213" s="527"/>
      <c r="BF213" s="651"/>
      <c r="BG213" s="651"/>
      <c r="IV213" s="652"/>
    </row>
    <row r="214" spans="1:256">
      <c r="A214" s="653"/>
      <c r="B214" s="559" t="s">
        <v>2429</v>
      </c>
      <c r="C214" s="559" t="s">
        <v>2430</v>
      </c>
      <c r="D214" s="654" t="s">
        <v>2431</v>
      </c>
      <c r="E214" s="559" t="s">
        <v>2432</v>
      </c>
      <c r="F214" s="559" t="s">
        <v>2433</v>
      </c>
      <c r="G214" s="559" t="s">
        <v>2433</v>
      </c>
      <c r="H214" s="655" t="s">
        <v>595</v>
      </c>
      <c r="I214" s="655" t="s">
        <v>2434</v>
      </c>
      <c r="J214" s="655" t="s">
        <v>2435</v>
      </c>
      <c r="K214" s="559" t="s">
        <v>2436</v>
      </c>
      <c r="L214" s="559" t="s">
        <v>548</v>
      </c>
      <c r="M214" s="652" t="s">
        <v>2437</v>
      </c>
      <c r="N214" s="559" t="s">
        <v>2438</v>
      </c>
      <c r="O214" s="559" t="s">
        <v>2439</v>
      </c>
      <c r="P214" s="559" t="s">
        <v>2440</v>
      </c>
      <c r="Q214" s="656" t="s">
        <v>2441</v>
      </c>
      <c r="R214" s="657" t="s">
        <v>2442</v>
      </c>
      <c r="S214" s="559" t="s">
        <v>2443</v>
      </c>
      <c r="T214" s="559" t="s">
        <v>2444</v>
      </c>
      <c r="U214" s="559" t="s">
        <v>2445</v>
      </c>
      <c r="V214" s="559" t="s">
        <v>2445</v>
      </c>
      <c r="W214" s="559" t="s">
        <v>2446</v>
      </c>
      <c r="X214" s="559" t="s">
        <v>2447</v>
      </c>
      <c r="Y214" s="559" t="s">
        <v>2448</v>
      </c>
      <c r="Z214" s="579" t="s">
        <v>2449</v>
      </c>
      <c r="AA214" s="579" t="s">
        <v>2450</v>
      </c>
      <c r="AB214" s="559" t="s">
        <v>2451</v>
      </c>
      <c r="AC214" s="559" t="s">
        <v>2452</v>
      </c>
      <c r="AD214" s="559" t="s">
        <v>2453</v>
      </c>
      <c r="AE214" s="559" t="s">
        <v>2454</v>
      </c>
      <c r="AF214" s="559" t="s">
        <v>2455</v>
      </c>
      <c r="AG214" s="559" t="s">
        <v>2456</v>
      </c>
      <c r="AH214" s="559"/>
      <c r="AI214" s="559"/>
      <c r="AJ214" s="559"/>
      <c r="AK214" s="559"/>
      <c r="AL214" s="559"/>
      <c r="AM214" s="559"/>
      <c r="AN214" s="559"/>
      <c r="AO214" s="559"/>
      <c r="AP214" s="559"/>
      <c r="AQ214" s="559"/>
      <c r="AR214" s="559"/>
      <c r="IU214" s="577"/>
    </row>
    <row r="215" spans="1:256">
      <c r="A215" s="658">
        <v>1</v>
      </c>
      <c r="B215" s="659" t="s">
        <v>2457</v>
      </c>
      <c r="C215" s="652" t="s">
        <v>2458</v>
      </c>
      <c r="D215" s="650" t="s">
        <v>2459</v>
      </c>
      <c r="E215" s="577" t="s">
        <v>2460</v>
      </c>
      <c r="F215" s="577" t="s">
        <v>1348</v>
      </c>
      <c r="G215" s="577" t="s">
        <v>1349</v>
      </c>
      <c r="H215" s="660" t="s">
        <v>158</v>
      </c>
      <c r="I215" s="660" t="s">
        <v>2461</v>
      </c>
      <c r="J215" s="660" t="s">
        <v>2462</v>
      </c>
      <c r="K215" s="527" t="s">
        <v>165</v>
      </c>
      <c r="L215" s="527">
        <f>12/4</f>
        <v>3</v>
      </c>
      <c r="M215" s="577" t="s">
        <v>2463</v>
      </c>
      <c r="N215" s="527">
        <v>0</v>
      </c>
      <c r="O215" s="527" t="s">
        <v>2464</v>
      </c>
      <c r="P215" s="527" t="s">
        <v>2465</v>
      </c>
      <c r="Q215" s="527" t="s">
        <v>158</v>
      </c>
      <c r="R215" s="577">
        <v>1</v>
      </c>
      <c r="S215" s="532" t="s">
        <v>166</v>
      </c>
      <c r="T215" s="532">
        <v>7</v>
      </c>
      <c r="U215" s="661" t="s">
        <v>2466</v>
      </c>
      <c r="V215" s="334" t="s">
        <v>2467</v>
      </c>
      <c r="W215" s="68">
        <v>0</v>
      </c>
      <c r="X215" s="662">
        <v>1</v>
      </c>
      <c r="Y215" s="527" t="s">
        <v>2468</v>
      </c>
      <c r="Z215" s="529" t="s">
        <v>2469</v>
      </c>
      <c r="AA215" s="529" t="s">
        <v>2470</v>
      </c>
      <c r="AB215" s="663" t="s">
        <v>2471</v>
      </c>
      <c r="AC215" s="527" t="s">
        <v>2472</v>
      </c>
      <c r="AD215" s="527" t="s">
        <v>2473</v>
      </c>
      <c r="AE215" s="527" t="s">
        <v>2474</v>
      </c>
      <c r="AF215" s="527" t="s">
        <v>2475</v>
      </c>
      <c r="IU215" s="577"/>
    </row>
    <row r="216" spans="1:256">
      <c r="A216" s="664">
        <v>2</v>
      </c>
      <c r="B216" s="665" t="s">
        <v>2476</v>
      </c>
      <c r="C216" s="577" t="s">
        <v>2477</v>
      </c>
      <c r="D216" s="650" t="s">
        <v>2478</v>
      </c>
      <c r="E216" s="577" t="s">
        <v>2479</v>
      </c>
      <c r="F216" s="577" t="s">
        <v>1383</v>
      </c>
      <c r="G216" s="577" t="s">
        <v>1384</v>
      </c>
      <c r="H216" s="660" t="s">
        <v>159</v>
      </c>
      <c r="I216" s="660" t="s">
        <v>2480</v>
      </c>
      <c r="J216" s="660" t="s">
        <v>2481</v>
      </c>
      <c r="K216" s="527" t="s">
        <v>165</v>
      </c>
      <c r="L216" s="527">
        <f>12/4</f>
        <v>3</v>
      </c>
      <c r="M216" s="577" t="s">
        <v>639</v>
      </c>
      <c r="N216" s="527">
        <f t="shared" ref="N216:N235" si="18">N215+13+1/3</f>
        <v>13.333333333333334</v>
      </c>
      <c r="O216" s="527" t="s">
        <v>2482</v>
      </c>
      <c r="P216" s="527" t="s">
        <v>2483</v>
      </c>
      <c r="Q216" s="527" t="s">
        <v>159</v>
      </c>
      <c r="R216" s="577">
        <v>2</v>
      </c>
      <c r="S216" s="532" t="s">
        <v>163</v>
      </c>
      <c r="T216" s="532">
        <v>20</v>
      </c>
      <c r="U216" s="661" t="s">
        <v>2484</v>
      </c>
      <c r="V216" s="334" t="s">
        <v>2485</v>
      </c>
      <c r="W216" s="68">
        <v>0.5</v>
      </c>
      <c r="X216" s="662">
        <v>2</v>
      </c>
      <c r="Y216" s="527" t="s">
        <v>2486</v>
      </c>
      <c r="Z216" s="529" t="s">
        <v>2487</v>
      </c>
      <c r="AA216" s="529" t="s">
        <v>2488</v>
      </c>
      <c r="AB216" s="663" t="s">
        <v>2489</v>
      </c>
      <c r="AC216" s="527" t="s">
        <v>2490</v>
      </c>
      <c r="AD216" s="527" t="s">
        <v>2491</v>
      </c>
      <c r="AE216" s="527" t="s">
        <v>2492</v>
      </c>
      <c r="AF216" s="527" t="s">
        <v>2493</v>
      </c>
      <c r="IU216" s="577"/>
    </row>
    <row r="217" spans="1:256">
      <c r="A217" s="664">
        <v>3</v>
      </c>
      <c r="B217" s="665" t="s">
        <v>1972</v>
      </c>
      <c r="C217" s="577" t="s">
        <v>2494</v>
      </c>
      <c r="D217" s="650" t="s">
        <v>2495</v>
      </c>
      <c r="E217" s="577" t="s">
        <v>2496</v>
      </c>
      <c r="F217" s="577" t="s">
        <v>1413</v>
      </c>
      <c r="G217" s="577" t="s">
        <v>1414</v>
      </c>
      <c r="H217" s="660" t="s">
        <v>160</v>
      </c>
      <c r="I217" s="660" t="s">
        <v>2497</v>
      </c>
      <c r="J217" s="660" t="s">
        <v>2498</v>
      </c>
      <c r="K217" s="527" t="s">
        <v>163</v>
      </c>
      <c r="L217" s="527">
        <f>21/3</f>
        <v>7</v>
      </c>
      <c r="M217" s="577" t="s">
        <v>640</v>
      </c>
      <c r="N217" s="527">
        <f t="shared" si="18"/>
        <v>26.666666666666668</v>
      </c>
      <c r="O217" s="527" t="s">
        <v>2499</v>
      </c>
      <c r="P217" s="527" t="s">
        <v>2500</v>
      </c>
      <c r="Q217" s="527" t="s">
        <v>160</v>
      </c>
      <c r="R217" s="577">
        <v>3</v>
      </c>
      <c r="S217" s="532" t="s">
        <v>158</v>
      </c>
      <c r="T217" s="532">
        <v>6</v>
      </c>
      <c r="U217" s="661" t="s">
        <v>2501</v>
      </c>
      <c r="V217" s="334" t="s">
        <v>2502</v>
      </c>
      <c r="W217" s="68">
        <v>0.67</v>
      </c>
      <c r="X217" s="662">
        <v>3</v>
      </c>
      <c r="Y217" s="527" t="s">
        <v>2503</v>
      </c>
      <c r="Z217" s="529" t="s">
        <v>2504</v>
      </c>
      <c r="AA217" s="529" t="s">
        <v>2505</v>
      </c>
      <c r="AB217" s="663" t="s">
        <v>2506</v>
      </c>
      <c r="AC217" s="527" t="s">
        <v>2507</v>
      </c>
      <c r="AD217" s="527" t="s">
        <v>2508</v>
      </c>
      <c r="AE217" s="527" t="s">
        <v>2509</v>
      </c>
      <c r="AF217" s="527" t="s">
        <v>2510</v>
      </c>
      <c r="AG217" s="527" t="s">
        <v>2359</v>
      </c>
      <c r="IU217" s="577"/>
    </row>
    <row r="218" spans="1:256">
      <c r="A218" s="664">
        <v>4</v>
      </c>
      <c r="B218" s="659" t="s">
        <v>2511</v>
      </c>
      <c r="C218" s="652" t="s">
        <v>2512</v>
      </c>
      <c r="D218" s="650" t="s">
        <v>2513</v>
      </c>
      <c r="E218" s="577" t="s">
        <v>2514</v>
      </c>
      <c r="F218" s="577" t="s">
        <v>1439</v>
      </c>
      <c r="G218" s="577" t="s">
        <v>1440</v>
      </c>
      <c r="H218" s="660" t="s">
        <v>161</v>
      </c>
      <c r="I218" s="660" t="s">
        <v>2515</v>
      </c>
      <c r="J218" s="660" t="s">
        <v>2516</v>
      </c>
      <c r="K218" s="527" t="s">
        <v>163</v>
      </c>
      <c r="L218" s="527">
        <f>21/3</f>
        <v>7</v>
      </c>
      <c r="M218" s="577" t="s">
        <v>641</v>
      </c>
      <c r="N218" s="527">
        <f t="shared" si="18"/>
        <v>40.000000000000007</v>
      </c>
      <c r="O218" s="527" t="s">
        <v>2517</v>
      </c>
      <c r="P218" s="527" t="s">
        <v>2518</v>
      </c>
      <c r="Q218" s="527" t="s">
        <v>161</v>
      </c>
      <c r="R218" s="577">
        <v>4</v>
      </c>
      <c r="S218" s="532" t="s">
        <v>159</v>
      </c>
      <c r="T218" s="532">
        <v>10</v>
      </c>
      <c r="U218" s="661" t="s">
        <v>2519</v>
      </c>
      <c r="V218" s="334" t="s">
        <v>2520</v>
      </c>
      <c r="W218" s="68">
        <v>0.75</v>
      </c>
      <c r="X218" s="662">
        <v>4</v>
      </c>
      <c r="Y218" s="527" t="s">
        <v>2521</v>
      </c>
      <c r="Z218" s="529" t="s">
        <v>2522</v>
      </c>
      <c r="AA218" s="529" t="s">
        <v>2523</v>
      </c>
      <c r="AB218" s="663" t="s">
        <v>2524</v>
      </c>
      <c r="AC218" s="527" t="s">
        <v>2525</v>
      </c>
      <c r="AD218" s="527" t="s">
        <v>2526</v>
      </c>
      <c r="AE218" s="527" t="s">
        <v>2527</v>
      </c>
      <c r="AF218" s="527" t="s">
        <v>2528</v>
      </c>
      <c r="AG218" s="527" t="s">
        <v>2529</v>
      </c>
      <c r="IU218" s="577"/>
    </row>
    <row r="219" spans="1:256">
      <c r="A219" s="664">
        <v>5</v>
      </c>
      <c r="B219" s="665" t="s">
        <v>2530</v>
      </c>
      <c r="C219" s="577" t="s">
        <v>2531</v>
      </c>
      <c r="D219" s="650" t="s">
        <v>2532</v>
      </c>
      <c r="E219" s="577" t="s">
        <v>2533</v>
      </c>
      <c r="F219" s="577" t="s">
        <v>1467</v>
      </c>
      <c r="G219" s="577" t="s">
        <v>1468</v>
      </c>
      <c r="H219" s="660" t="s">
        <v>162</v>
      </c>
      <c r="I219" s="660" t="s">
        <v>2534</v>
      </c>
      <c r="J219" s="660" t="s">
        <v>2535</v>
      </c>
      <c r="K219" s="527" t="s">
        <v>163</v>
      </c>
      <c r="L219" s="527">
        <f>21/3</f>
        <v>7</v>
      </c>
      <c r="M219" s="577" t="s">
        <v>642</v>
      </c>
      <c r="N219" s="527">
        <f t="shared" si="18"/>
        <v>53.333333333333343</v>
      </c>
      <c r="O219" s="527" t="s">
        <v>2536</v>
      </c>
      <c r="P219" s="527" t="s">
        <v>2537</v>
      </c>
      <c r="Q219" s="527" t="s">
        <v>162</v>
      </c>
      <c r="R219" s="527">
        <v>5</v>
      </c>
      <c r="S219" s="532" t="s">
        <v>160</v>
      </c>
      <c r="T219" s="532">
        <v>7</v>
      </c>
      <c r="U219" s="661" t="s">
        <v>2538</v>
      </c>
      <c r="V219" s="334" t="s">
        <v>2539</v>
      </c>
      <c r="W219" s="68">
        <v>1</v>
      </c>
      <c r="X219" s="662">
        <v>5</v>
      </c>
      <c r="Y219" s="527" t="s">
        <v>2540</v>
      </c>
      <c r="Z219" s="529" t="s">
        <v>2541</v>
      </c>
      <c r="AA219" s="529" t="s">
        <v>2542</v>
      </c>
      <c r="AB219" s="663" t="s">
        <v>2543</v>
      </c>
      <c r="AC219" s="527" t="s">
        <v>2544</v>
      </c>
      <c r="AD219" s="527" t="s">
        <v>2545</v>
      </c>
      <c r="AE219" s="527" t="s">
        <v>2546</v>
      </c>
      <c r="AF219" s="527" t="s">
        <v>991</v>
      </c>
      <c r="AG219" s="527" t="s">
        <v>2547</v>
      </c>
      <c r="IU219" s="577"/>
    </row>
    <row r="220" spans="1:256">
      <c r="A220" s="664">
        <v>6</v>
      </c>
      <c r="B220" s="665" t="s">
        <v>2548</v>
      </c>
      <c r="C220" s="577" t="s">
        <v>2549</v>
      </c>
      <c r="D220" s="650" t="s">
        <v>2550</v>
      </c>
      <c r="E220" s="577" t="s">
        <v>2551</v>
      </c>
      <c r="F220" s="577" t="s">
        <v>1490</v>
      </c>
      <c r="G220" s="577" t="s">
        <v>1491</v>
      </c>
      <c r="H220" s="660" t="s">
        <v>163</v>
      </c>
      <c r="I220" s="660" t="s">
        <v>2552</v>
      </c>
      <c r="J220" s="660" t="s">
        <v>2553</v>
      </c>
      <c r="K220" s="527" t="s">
        <v>158</v>
      </c>
      <c r="L220" s="527">
        <f>6/4</f>
        <v>1.5</v>
      </c>
      <c r="M220" s="577" t="s">
        <v>557</v>
      </c>
      <c r="N220" s="527">
        <f t="shared" si="18"/>
        <v>66.666666666666671</v>
      </c>
      <c r="O220" s="527" t="s">
        <v>2554</v>
      </c>
      <c r="P220" s="527" t="s">
        <v>2555</v>
      </c>
      <c r="Q220" s="527" t="s">
        <v>163</v>
      </c>
      <c r="R220" s="527">
        <v>6</v>
      </c>
      <c r="S220" s="532" t="s">
        <v>165</v>
      </c>
      <c r="T220" s="532">
        <v>18</v>
      </c>
      <c r="U220" s="661" t="s">
        <v>2556</v>
      </c>
      <c r="V220" s="334" t="s">
        <v>2557</v>
      </c>
      <c r="W220" s="68">
        <v>1.1100000000000001</v>
      </c>
      <c r="X220" s="662">
        <v>6</v>
      </c>
      <c r="Y220" s="527" t="s">
        <v>2558</v>
      </c>
      <c r="Z220" s="529" t="s">
        <v>2559</v>
      </c>
      <c r="AA220" s="529" t="s">
        <v>2560</v>
      </c>
      <c r="AB220" s="663" t="s">
        <v>2561</v>
      </c>
      <c r="AC220" s="527" t="s">
        <v>2562</v>
      </c>
      <c r="AD220" s="527" t="s">
        <v>2563</v>
      </c>
      <c r="AE220" s="527" t="s">
        <v>2564</v>
      </c>
      <c r="AF220" s="527" t="s">
        <v>927</v>
      </c>
      <c r="AG220" s="527" t="s">
        <v>2565</v>
      </c>
      <c r="IU220" s="577"/>
    </row>
    <row r="221" spans="1:256">
      <c r="A221" s="664">
        <v>7</v>
      </c>
      <c r="B221" s="665" t="s">
        <v>2566</v>
      </c>
      <c r="C221" s="577" t="s">
        <v>2567</v>
      </c>
      <c r="D221" s="650" t="s">
        <v>2568</v>
      </c>
      <c r="E221" s="577" t="s">
        <v>2569</v>
      </c>
      <c r="F221" s="577" t="s">
        <v>1514</v>
      </c>
      <c r="G221" s="577" t="s">
        <v>1515</v>
      </c>
      <c r="H221" s="660" t="s">
        <v>164</v>
      </c>
      <c r="I221" s="660" t="s">
        <v>2570</v>
      </c>
      <c r="J221" s="660" t="s">
        <v>2571</v>
      </c>
      <c r="K221" s="527" t="s">
        <v>158</v>
      </c>
      <c r="L221" s="527">
        <f>6/4</f>
        <v>1.5</v>
      </c>
      <c r="M221" s="577" t="s">
        <v>643</v>
      </c>
      <c r="N221" s="527">
        <f t="shared" si="18"/>
        <v>80</v>
      </c>
      <c r="O221" s="527" t="s">
        <v>2572</v>
      </c>
      <c r="P221" s="527" t="s">
        <v>2573</v>
      </c>
      <c r="Q221" s="527" t="s">
        <v>164</v>
      </c>
      <c r="R221" s="527">
        <v>7</v>
      </c>
      <c r="S221" s="532" t="s">
        <v>162</v>
      </c>
      <c r="T221" s="532">
        <v>16</v>
      </c>
      <c r="U221" s="661" t="s">
        <v>2574</v>
      </c>
      <c r="V221" s="334" t="s">
        <v>2575</v>
      </c>
      <c r="W221" s="68">
        <v>1.25</v>
      </c>
      <c r="X221" s="662">
        <v>7</v>
      </c>
      <c r="Y221" s="527" t="s">
        <v>2576</v>
      </c>
      <c r="Z221" s="529" t="s">
        <v>2577</v>
      </c>
      <c r="AA221" s="529" t="s">
        <v>2578</v>
      </c>
      <c r="AB221" s="663" t="s">
        <v>2579</v>
      </c>
      <c r="AC221" s="527" t="s">
        <v>2580</v>
      </c>
      <c r="AD221" s="527" t="s">
        <v>2581</v>
      </c>
      <c r="AE221" s="527" t="s">
        <v>2582</v>
      </c>
      <c r="AF221" s="527" t="s">
        <v>2583</v>
      </c>
      <c r="IU221" s="577"/>
    </row>
    <row r="222" spans="1:256">
      <c r="A222" s="664">
        <v>8</v>
      </c>
      <c r="B222" s="659" t="s">
        <v>2584</v>
      </c>
      <c r="C222" s="652" t="s">
        <v>2585</v>
      </c>
      <c r="D222" s="650" t="s">
        <v>2586</v>
      </c>
      <c r="E222" s="577" t="s">
        <v>2587</v>
      </c>
      <c r="F222" s="577" t="s">
        <v>1534</v>
      </c>
      <c r="G222" s="577" t="s">
        <v>1535</v>
      </c>
      <c r="H222" s="660" t="s">
        <v>165</v>
      </c>
      <c r="I222" s="660" t="s">
        <v>2588</v>
      </c>
      <c r="J222" s="660" t="s">
        <v>2589</v>
      </c>
      <c r="K222" s="527" t="s">
        <v>158</v>
      </c>
      <c r="L222" s="527">
        <f>6/4</f>
        <v>1.5</v>
      </c>
      <c r="M222" s="577" t="s">
        <v>566</v>
      </c>
      <c r="N222" s="527">
        <f t="shared" si="18"/>
        <v>93.333333333333329</v>
      </c>
      <c r="O222" s="527" t="s">
        <v>2590</v>
      </c>
      <c r="P222" s="527" t="s">
        <v>2591</v>
      </c>
      <c r="Q222" s="527" t="s">
        <v>165</v>
      </c>
      <c r="R222" s="527">
        <v>8</v>
      </c>
      <c r="S222" s="532" t="s">
        <v>164</v>
      </c>
      <c r="T222" s="532">
        <v>19</v>
      </c>
      <c r="U222" s="661" t="s">
        <v>2592</v>
      </c>
      <c r="V222" s="334" t="s">
        <v>2593</v>
      </c>
      <c r="W222" s="68">
        <v>1.33</v>
      </c>
      <c r="X222" s="662">
        <v>8</v>
      </c>
      <c r="Y222" s="527" t="s">
        <v>2594</v>
      </c>
      <c r="Z222" s="529" t="s">
        <v>2595</v>
      </c>
      <c r="AA222" s="529" t="s">
        <v>2596</v>
      </c>
      <c r="AB222" s="663" t="s">
        <v>2597</v>
      </c>
      <c r="AC222" s="527" t="s">
        <v>2598</v>
      </c>
      <c r="AD222" s="527" t="s">
        <v>2599</v>
      </c>
      <c r="AE222" s="527" t="s">
        <v>2600</v>
      </c>
      <c r="AF222" s="527" t="s">
        <v>2601</v>
      </c>
      <c r="AG222" s="527" t="s">
        <v>2602</v>
      </c>
      <c r="IU222" s="577"/>
    </row>
    <row r="223" spans="1:256">
      <c r="A223" s="664">
        <v>9</v>
      </c>
      <c r="B223" s="665" t="s">
        <v>2603</v>
      </c>
      <c r="C223" s="577" t="s">
        <v>2604</v>
      </c>
      <c r="D223" s="650" t="s">
        <v>2605</v>
      </c>
      <c r="E223" s="577" t="s">
        <v>2606</v>
      </c>
      <c r="F223" s="577" t="s">
        <v>1550</v>
      </c>
      <c r="G223" s="577" t="s">
        <v>1551</v>
      </c>
      <c r="H223" s="660" t="s">
        <v>166</v>
      </c>
      <c r="I223" s="660" t="s">
        <v>2607</v>
      </c>
      <c r="J223" s="660" t="s">
        <v>2608</v>
      </c>
      <c r="K223" s="527" t="s">
        <v>158</v>
      </c>
      <c r="L223" s="527">
        <f>6/4</f>
        <v>1.5</v>
      </c>
      <c r="M223" s="577" t="s">
        <v>644</v>
      </c>
      <c r="N223" s="527">
        <f t="shared" si="18"/>
        <v>106.66666666666666</v>
      </c>
      <c r="O223" s="527" t="s">
        <v>2609</v>
      </c>
      <c r="P223" s="527" t="s">
        <v>2610</v>
      </c>
      <c r="Q223" s="527" t="s">
        <v>166</v>
      </c>
      <c r="R223" s="527">
        <v>9</v>
      </c>
      <c r="S223" s="532" t="s">
        <v>161</v>
      </c>
      <c r="T223" s="532">
        <v>17</v>
      </c>
      <c r="U223" s="661" t="s">
        <v>2611</v>
      </c>
      <c r="V223" s="334" t="s">
        <v>2612</v>
      </c>
      <c r="W223" s="68">
        <v>1.5</v>
      </c>
      <c r="X223" s="662">
        <v>9</v>
      </c>
      <c r="Y223" s="527" t="s">
        <v>2613</v>
      </c>
      <c r="Z223" s="529" t="s">
        <v>2614</v>
      </c>
      <c r="AA223" s="529" t="s">
        <v>2615</v>
      </c>
      <c r="AB223" s="663" t="s">
        <v>2616</v>
      </c>
      <c r="AC223" s="527" t="s">
        <v>2617</v>
      </c>
      <c r="AD223" s="527" t="s">
        <v>2618</v>
      </c>
      <c r="AE223" s="527" t="s">
        <v>2619</v>
      </c>
      <c r="AF223" s="527" t="s">
        <v>2620</v>
      </c>
      <c r="AG223" s="527" t="s">
        <v>2621</v>
      </c>
      <c r="IU223" s="577"/>
    </row>
    <row r="224" spans="1:256">
      <c r="A224" s="664">
        <v>10</v>
      </c>
      <c r="B224" s="665" t="s">
        <v>2622</v>
      </c>
      <c r="C224" s="577" t="s">
        <v>2623</v>
      </c>
      <c r="D224" s="650" t="s">
        <v>2624</v>
      </c>
      <c r="E224" s="577" t="s">
        <v>2625</v>
      </c>
      <c r="F224" s="577" t="s">
        <v>1567</v>
      </c>
      <c r="G224" s="577" t="s">
        <v>1568</v>
      </c>
      <c r="H224" s="660"/>
      <c r="I224" s="660" t="s">
        <v>2626</v>
      </c>
      <c r="J224" s="660" t="s">
        <v>2627</v>
      </c>
      <c r="K224" s="527" t="s">
        <v>1464</v>
      </c>
      <c r="L224" s="527">
        <f>15/3</f>
        <v>5</v>
      </c>
      <c r="M224" s="577" t="s">
        <v>645</v>
      </c>
      <c r="N224" s="527">
        <f t="shared" si="18"/>
        <v>119.99999999999999</v>
      </c>
      <c r="O224" s="527" t="s">
        <v>2628</v>
      </c>
      <c r="P224" s="527" t="s">
        <v>2629</v>
      </c>
      <c r="U224" s="661" t="s">
        <v>2630</v>
      </c>
      <c r="V224" s="334" t="s">
        <v>2631</v>
      </c>
      <c r="W224" s="68">
        <v>1.88</v>
      </c>
      <c r="X224" s="662">
        <v>10</v>
      </c>
      <c r="Y224" s="527" t="s">
        <v>2632</v>
      </c>
      <c r="Z224" s="529" t="s">
        <v>2633</v>
      </c>
      <c r="AA224" s="529" t="s">
        <v>2496</v>
      </c>
      <c r="AB224" s="663" t="s">
        <v>2634</v>
      </c>
      <c r="AC224" s="527" t="s">
        <v>2635</v>
      </c>
      <c r="AD224" s="527" t="s">
        <v>2636</v>
      </c>
      <c r="AE224" s="527" t="s">
        <v>2637</v>
      </c>
      <c r="AF224" s="527" t="s">
        <v>2638</v>
      </c>
      <c r="IU224" s="577"/>
    </row>
    <row r="225" spans="1:256">
      <c r="A225" s="664">
        <v>11</v>
      </c>
      <c r="B225" s="665" t="s">
        <v>2639</v>
      </c>
      <c r="C225" s="577" t="s">
        <v>2640</v>
      </c>
      <c r="D225" s="650" t="s">
        <v>2641</v>
      </c>
      <c r="E225" s="577" t="s">
        <v>2642</v>
      </c>
      <c r="F225" s="577" t="s">
        <v>1586</v>
      </c>
      <c r="G225" s="577" t="s">
        <v>1587</v>
      </c>
      <c r="H225" s="660"/>
      <c r="I225" s="660" t="s">
        <v>2643</v>
      </c>
      <c r="J225" s="660" t="s">
        <v>2644</v>
      </c>
      <c r="K225" s="527" t="s">
        <v>1464</v>
      </c>
      <c r="L225" s="527">
        <f>15/3</f>
        <v>5</v>
      </c>
      <c r="M225" s="577" t="s">
        <v>2645</v>
      </c>
      <c r="N225" s="527">
        <f t="shared" si="18"/>
        <v>133.33333333333334</v>
      </c>
      <c r="O225" s="527" t="s">
        <v>2646</v>
      </c>
      <c r="P225" s="527" t="s">
        <v>2647</v>
      </c>
      <c r="U225" s="661" t="s">
        <v>2648</v>
      </c>
      <c r="V225" s="334" t="s">
        <v>2649</v>
      </c>
      <c r="W225" s="68">
        <v>2</v>
      </c>
      <c r="X225" s="662">
        <v>11</v>
      </c>
      <c r="Y225" s="527" t="s">
        <v>2650</v>
      </c>
      <c r="Z225" s="529" t="s">
        <v>2651</v>
      </c>
      <c r="AA225" s="529" t="s">
        <v>2652</v>
      </c>
      <c r="AB225" s="663" t="s">
        <v>2653</v>
      </c>
      <c r="AC225" s="527" t="s">
        <v>2654</v>
      </c>
      <c r="AD225" s="527" t="s">
        <v>2655</v>
      </c>
      <c r="AE225" s="527" t="s">
        <v>2656</v>
      </c>
      <c r="AF225" s="527" t="s">
        <v>2657</v>
      </c>
      <c r="AG225" s="527" t="s">
        <v>2658</v>
      </c>
      <c r="IU225" s="577"/>
    </row>
    <row r="226" spans="1:256">
      <c r="A226" s="664">
        <v>12</v>
      </c>
      <c r="B226" s="659" t="s">
        <v>2659</v>
      </c>
      <c r="C226" s="652" t="s">
        <v>2660</v>
      </c>
      <c r="D226" s="650" t="s">
        <v>2661</v>
      </c>
      <c r="E226" s="577" t="s">
        <v>2662</v>
      </c>
      <c r="F226" s="577" t="s">
        <v>1607</v>
      </c>
      <c r="G226" s="577" t="s">
        <v>1608</v>
      </c>
      <c r="H226" s="660"/>
      <c r="I226" s="660" t="s">
        <v>2663</v>
      </c>
      <c r="J226" s="660" t="s">
        <v>2664</v>
      </c>
      <c r="K226" s="527" t="s">
        <v>1464</v>
      </c>
      <c r="L226" s="527">
        <f>15/3</f>
        <v>5</v>
      </c>
      <c r="M226" s="577" t="s">
        <v>2665</v>
      </c>
      <c r="N226" s="527">
        <f t="shared" si="18"/>
        <v>146.66666666666669</v>
      </c>
      <c r="O226" s="527" t="s">
        <v>2666</v>
      </c>
      <c r="P226" s="527" t="s">
        <v>1121</v>
      </c>
      <c r="U226" s="661" t="s">
        <v>2667</v>
      </c>
      <c r="V226" s="334" t="s">
        <v>2668</v>
      </c>
      <c r="W226" s="68">
        <v>2.2200000000000002</v>
      </c>
      <c r="X226" s="662">
        <v>12</v>
      </c>
      <c r="Y226" s="527" t="s">
        <v>2669</v>
      </c>
      <c r="Z226" s="529" t="s">
        <v>2670</v>
      </c>
      <c r="AA226" s="529" t="s">
        <v>2671</v>
      </c>
      <c r="AB226" s="663" t="s">
        <v>2672</v>
      </c>
      <c r="AC226" s="527" t="s">
        <v>2673</v>
      </c>
      <c r="AD226" s="527" t="s">
        <v>2674</v>
      </c>
      <c r="AE226" s="527" t="s">
        <v>2675</v>
      </c>
      <c r="AF226" s="527" t="s">
        <v>1669</v>
      </c>
      <c r="AG226" s="527" t="s">
        <v>2676</v>
      </c>
      <c r="IU226" s="577"/>
    </row>
    <row r="227" spans="1:256">
      <c r="A227" s="664">
        <v>13</v>
      </c>
      <c r="B227" s="665" t="s">
        <v>2677</v>
      </c>
      <c r="C227" s="577" t="s">
        <v>2678</v>
      </c>
      <c r="D227" s="650" t="s">
        <v>2679</v>
      </c>
      <c r="E227" s="577" t="s">
        <v>2680</v>
      </c>
      <c r="F227" s="577" t="s">
        <v>1628</v>
      </c>
      <c r="G227" s="577" t="s">
        <v>1629</v>
      </c>
      <c r="K227" s="527" t="s">
        <v>160</v>
      </c>
      <c r="L227" s="527">
        <f>8/4</f>
        <v>2</v>
      </c>
      <c r="M227" s="577" t="s">
        <v>648</v>
      </c>
      <c r="N227" s="527">
        <f t="shared" si="18"/>
        <v>160.00000000000003</v>
      </c>
      <c r="U227" s="661" t="s">
        <v>2681</v>
      </c>
      <c r="V227" s="334" t="s">
        <v>2682</v>
      </c>
      <c r="W227" s="68">
        <v>2.25</v>
      </c>
      <c r="X227" s="662">
        <v>13</v>
      </c>
      <c r="Y227" s="527" t="s">
        <v>2683</v>
      </c>
      <c r="Z227" s="529" t="s">
        <v>2684</v>
      </c>
      <c r="AA227" s="529" t="s">
        <v>2685</v>
      </c>
      <c r="IV227" s="577"/>
    </row>
    <row r="228" spans="1:256">
      <c r="A228" s="664">
        <v>14</v>
      </c>
      <c r="B228" s="665" t="s">
        <v>2686</v>
      </c>
      <c r="C228" s="577" t="s">
        <v>2687</v>
      </c>
      <c r="D228" s="650" t="s">
        <v>2688</v>
      </c>
      <c r="E228" s="577" t="s">
        <v>2689</v>
      </c>
      <c r="F228" s="577" t="s">
        <v>1646</v>
      </c>
      <c r="G228" s="577" t="s">
        <v>1647</v>
      </c>
      <c r="K228" s="527" t="s">
        <v>160</v>
      </c>
      <c r="L228" s="527">
        <f>8/4</f>
        <v>2</v>
      </c>
      <c r="M228" s="577" t="s">
        <v>649</v>
      </c>
      <c r="N228" s="527">
        <f t="shared" si="18"/>
        <v>173.33333333333337</v>
      </c>
      <c r="U228" s="661" t="s">
        <v>2690</v>
      </c>
      <c r="V228" s="334" t="s">
        <v>2691</v>
      </c>
      <c r="W228" s="68">
        <v>2.5</v>
      </c>
      <c r="X228" s="662">
        <v>14</v>
      </c>
      <c r="Y228" s="527" t="s">
        <v>2692</v>
      </c>
      <c r="Z228" s="529" t="s">
        <v>2693</v>
      </c>
      <c r="AA228" s="529" t="s">
        <v>2694</v>
      </c>
      <c r="IV228" s="577"/>
    </row>
    <row r="229" spans="1:256">
      <c r="A229" s="664">
        <v>15</v>
      </c>
      <c r="B229" s="665" t="s">
        <v>2695</v>
      </c>
      <c r="C229" s="577" t="s">
        <v>2696</v>
      </c>
      <c r="D229" s="650" t="s">
        <v>2697</v>
      </c>
      <c r="E229" s="577" t="s">
        <v>2694</v>
      </c>
      <c r="F229" s="577" t="s">
        <v>1662</v>
      </c>
      <c r="G229" s="577" t="s">
        <v>1663</v>
      </c>
      <c r="K229" s="527" t="s">
        <v>160</v>
      </c>
      <c r="L229" s="527">
        <f>8/4</f>
        <v>2</v>
      </c>
      <c r="M229" s="577" t="s">
        <v>592</v>
      </c>
      <c r="N229" s="527">
        <f t="shared" si="18"/>
        <v>186.66666666666671</v>
      </c>
      <c r="U229" s="661" t="s">
        <v>2698</v>
      </c>
      <c r="V229" s="334" t="s">
        <v>2699</v>
      </c>
      <c r="W229" s="68">
        <v>2.67</v>
      </c>
      <c r="X229" s="662">
        <v>15</v>
      </c>
      <c r="Y229" s="527" t="s">
        <v>2700</v>
      </c>
      <c r="Z229" s="529" t="s">
        <v>2701</v>
      </c>
      <c r="AA229" s="529" t="s">
        <v>2702</v>
      </c>
      <c r="IV229" s="577"/>
    </row>
    <row r="230" spans="1:256">
      <c r="A230" s="664">
        <v>16</v>
      </c>
      <c r="B230" s="665" t="s">
        <v>2703</v>
      </c>
      <c r="C230" s="577" t="s">
        <v>2704</v>
      </c>
      <c r="D230" s="650" t="s">
        <v>2705</v>
      </c>
      <c r="E230" s="577" t="s">
        <v>2706</v>
      </c>
      <c r="F230" s="577" t="s">
        <v>1678</v>
      </c>
      <c r="G230" s="577" t="s">
        <v>1679</v>
      </c>
      <c r="K230" s="527" t="s">
        <v>160</v>
      </c>
      <c r="L230" s="527">
        <f>8/4</f>
        <v>2</v>
      </c>
      <c r="M230" s="577" t="s">
        <v>650</v>
      </c>
      <c r="N230" s="527">
        <f t="shared" si="18"/>
        <v>200.00000000000006</v>
      </c>
      <c r="U230" s="661" t="s">
        <v>2707</v>
      </c>
      <c r="V230" s="334" t="s">
        <v>2708</v>
      </c>
      <c r="W230" s="68">
        <v>3</v>
      </c>
      <c r="X230" s="662">
        <v>16</v>
      </c>
      <c r="Y230" s="527" t="s">
        <v>2709</v>
      </c>
      <c r="Z230" s="529" t="s">
        <v>2710</v>
      </c>
      <c r="AA230" s="529" t="s">
        <v>2711</v>
      </c>
      <c r="IV230" s="577"/>
    </row>
    <row r="231" spans="1:256">
      <c r="A231" s="664">
        <v>17</v>
      </c>
      <c r="B231" s="665" t="s">
        <v>2712</v>
      </c>
      <c r="C231" s="577" t="s">
        <v>2713</v>
      </c>
      <c r="D231" s="650" t="s">
        <v>2714</v>
      </c>
      <c r="E231" s="577" t="s">
        <v>2715</v>
      </c>
      <c r="F231" s="577" t="s">
        <v>1697</v>
      </c>
      <c r="G231" s="577" t="s">
        <v>1698</v>
      </c>
      <c r="K231" s="527" t="s">
        <v>161</v>
      </c>
      <c r="L231" s="527">
        <f>17/3</f>
        <v>5.666666666666667</v>
      </c>
      <c r="M231" s="577" t="s">
        <v>581</v>
      </c>
      <c r="N231" s="527">
        <f t="shared" si="18"/>
        <v>213.3333333333334</v>
      </c>
      <c r="U231" s="661" t="s">
        <v>2716</v>
      </c>
      <c r="V231" s="334" t="s">
        <v>2717</v>
      </c>
      <c r="W231" s="68">
        <v>3.33</v>
      </c>
      <c r="X231" s="662">
        <v>17</v>
      </c>
      <c r="Y231" s="527" t="s">
        <v>2718</v>
      </c>
      <c r="Z231" s="529" t="s">
        <v>2719</v>
      </c>
      <c r="AA231" s="529" t="s">
        <v>2720</v>
      </c>
      <c r="IV231" s="577"/>
    </row>
    <row r="232" spans="1:256">
      <c r="A232" s="664">
        <v>18</v>
      </c>
      <c r="B232" s="665" t="s">
        <v>1972</v>
      </c>
      <c r="C232" s="577" t="s">
        <v>2721</v>
      </c>
      <c r="D232" s="650" t="s">
        <v>2722</v>
      </c>
      <c r="E232" s="577" t="s">
        <v>2723</v>
      </c>
      <c r="F232" s="577" t="s">
        <v>1713</v>
      </c>
      <c r="G232" s="577" t="s">
        <v>1714</v>
      </c>
      <c r="K232" s="527" t="s">
        <v>161</v>
      </c>
      <c r="L232" s="527">
        <f>17/3</f>
        <v>5.666666666666667</v>
      </c>
      <c r="M232" s="577" t="s">
        <v>651</v>
      </c>
      <c r="N232" s="527">
        <f t="shared" si="18"/>
        <v>226.66666666666674</v>
      </c>
      <c r="U232" s="661" t="s">
        <v>2724</v>
      </c>
      <c r="V232" s="334" t="s">
        <v>2725</v>
      </c>
      <c r="W232" s="68">
        <v>3.5</v>
      </c>
      <c r="X232" s="662">
        <v>18</v>
      </c>
      <c r="Y232" s="527" t="s">
        <v>2726</v>
      </c>
      <c r="Z232" s="529" t="s">
        <v>2727</v>
      </c>
      <c r="AA232" s="529" t="s">
        <v>2728</v>
      </c>
      <c r="IV232" s="577"/>
    </row>
    <row r="233" spans="1:256">
      <c r="A233" s="664">
        <v>19</v>
      </c>
      <c r="B233" s="659" t="s">
        <v>2729</v>
      </c>
      <c r="C233" s="652" t="s">
        <v>2730</v>
      </c>
      <c r="D233" s="650" t="s">
        <v>2731</v>
      </c>
      <c r="E233" s="577" t="s">
        <v>2732</v>
      </c>
      <c r="F233" s="577" t="s">
        <v>1727</v>
      </c>
      <c r="G233" s="577" t="s">
        <v>1728</v>
      </c>
      <c r="K233" s="527" t="s">
        <v>161</v>
      </c>
      <c r="L233" s="527">
        <f>17/3</f>
        <v>5.666666666666667</v>
      </c>
      <c r="M233" s="577" t="s">
        <v>652</v>
      </c>
      <c r="N233" s="527">
        <f t="shared" si="18"/>
        <v>240.00000000000009</v>
      </c>
      <c r="U233" s="661" t="s">
        <v>2733</v>
      </c>
      <c r="V233" s="334" t="s">
        <v>2734</v>
      </c>
      <c r="W233" s="68">
        <v>3.75</v>
      </c>
      <c r="X233" s="662">
        <v>19</v>
      </c>
      <c r="Y233" s="527" t="s">
        <v>2735</v>
      </c>
      <c r="Z233" s="529" t="s">
        <v>2736</v>
      </c>
      <c r="AA233" s="529" t="s">
        <v>2737</v>
      </c>
      <c r="IV233" s="577"/>
    </row>
    <row r="234" spans="1:256">
      <c r="A234" s="664">
        <v>20</v>
      </c>
      <c r="B234" s="666" t="s">
        <v>2738</v>
      </c>
      <c r="C234" s="527" t="s">
        <v>2739</v>
      </c>
      <c r="D234" s="650" t="s">
        <v>2740</v>
      </c>
      <c r="E234" s="577" t="s">
        <v>2741</v>
      </c>
      <c r="F234" s="577" t="s">
        <v>1747</v>
      </c>
      <c r="G234" s="577" t="s">
        <v>1748</v>
      </c>
      <c r="K234" s="527" t="s">
        <v>164</v>
      </c>
      <c r="L234" s="527">
        <f>10/4</f>
        <v>2.5</v>
      </c>
      <c r="M234" s="577" t="s">
        <v>653</v>
      </c>
      <c r="N234" s="527">
        <f t="shared" si="18"/>
        <v>253.33333333333343</v>
      </c>
      <c r="U234" s="661" t="s">
        <v>2742</v>
      </c>
      <c r="V234" s="334" t="s">
        <v>2743</v>
      </c>
      <c r="W234" s="68">
        <v>4</v>
      </c>
      <c r="X234" s="662">
        <v>20</v>
      </c>
      <c r="Y234" s="527" t="s">
        <v>2744</v>
      </c>
      <c r="Z234" s="529" t="s">
        <v>2745</v>
      </c>
      <c r="AA234" s="529" t="s">
        <v>2746</v>
      </c>
      <c r="IV234" s="577"/>
    </row>
    <row r="235" spans="1:256">
      <c r="A235" s="664">
        <v>21</v>
      </c>
      <c r="B235" s="666" t="s">
        <v>2747</v>
      </c>
      <c r="C235" s="577" t="s">
        <v>2748</v>
      </c>
      <c r="D235" s="650" t="s">
        <v>2749</v>
      </c>
      <c r="E235" s="577" t="s">
        <v>2750</v>
      </c>
      <c r="F235" s="577" t="s">
        <v>1767</v>
      </c>
      <c r="G235" s="577" t="s">
        <v>1768</v>
      </c>
      <c r="K235" s="527" t="s">
        <v>164</v>
      </c>
      <c r="L235" s="527">
        <f>10/4</f>
        <v>2.5</v>
      </c>
      <c r="M235" s="527" t="s">
        <v>654</v>
      </c>
      <c r="N235" s="527">
        <f t="shared" si="18"/>
        <v>266.66666666666674</v>
      </c>
      <c r="U235" s="661" t="s">
        <v>2751</v>
      </c>
      <c r="V235" s="334" t="s">
        <v>2752</v>
      </c>
      <c r="W235" s="68">
        <v>4.29</v>
      </c>
      <c r="X235" s="662">
        <v>21</v>
      </c>
      <c r="Y235" s="527" t="s">
        <v>2753</v>
      </c>
      <c r="Z235" s="529" t="s">
        <v>2754</v>
      </c>
      <c r="AA235" s="529" t="s">
        <v>2755</v>
      </c>
      <c r="IV235" s="577"/>
    </row>
    <row r="236" spans="1:256">
      <c r="A236" s="664">
        <v>22</v>
      </c>
      <c r="B236" s="666" t="s">
        <v>2756</v>
      </c>
      <c r="C236" s="527" t="s">
        <v>2757</v>
      </c>
      <c r="D236" s="650" t="s">
        <v>2758</v>
      </c>
      <c r="E236" s="577" t="s">
        <v>2759</v>
      </c>
      <c r="F236" s="577" t="s">
        <v>1780</v>
      </c>
      <c r="G236" s="577" t="s">
        <v>2760</v>
      </c>
      <c r="K236" s="527" t="s">
        <v>164</v>
      </c>
      <c r="L236" s="527">
        <f>10/4</f>
        <v>2.5</v>
      </c>
      <c r="M236" s="527" t="s">
        <v>2761</v>
      </c>
      <c r="N236" s="527">
        <f>N235+(13+1/3)*0.75</f>
        <v>276.66666666666674</v>
      </c>
      <c r="U236" s="661" t="s">
        <v>2762</v>
      </c>
      <c r="V236" s="334" t="s">
        <v>2763</v>
      </c>
      <c r="W236" s="68">
        <v>4.4400000000000004</v>
      </c>
      <c r="X236" s="662">
        <v>22</v>
      </c>
      <c r="Y236" s="527" t="s">
        <v>2764</v>
      </c>
      <c r="Z236" s="529" t="s">
        <v>2765</v>
      </c>
      <c r="AA236" s="529" t="s">
        <v>2766</v>
      </c>
      <c r="IV236" s="577"/>
    </row>
    <row r="237" spans="1:256">
      <c r="A237" s="664">
        <v>23</v>
      </c>
      <c r="B237" s="667" t="s">
        <v>2767</v>
      </c>
      <c r="C237" s="559" t="s">
        <v>2768</v>
      </c>
      <c r="D237" s="650" t="s">
        <v>2769</v>
      </c>
      <c r="E237" s="577" t="s">
        <v>2770</v>
      </c>
      <c r="F237" s="577" t="s">
        <v>1786</v>
      </c>
      <c r="G237" s="577" t="s">
        <v>1787</v>
      </c>
      <c r="K237" s="527" t="s">
        <v>164</v>
      </c>
      <c r="L237" s="527">
        <f>10/4</f>
        <v>2.5</v>
      </c>
      <c r="M237" s="527" t="s">
        <v>2771</v>
      </c>
      <c r="N237" s="527">
        <f>N235+(13+1/3)/15</f>
        <v>267.55555555555566</v>
      </c>
      <c r="U237" s="661" t="s">
        <v>2772</v>
      </c>
      <c r="V237" s="334" t="s">
        <v>2773</v>
      </c>
      <c r="W237" s="68">
        <v>4.5</v>
      </c>
      <c r="X237" s="662">
        <v>23</v>
      </c>
      <c r="Y237" s="527" t="s">
        <v>2774</v>
      </c>
      <c r="Z237" s="529" t="s">
        <v>2775</v>
      </c>
      <c r="AA237" s="529" t="s">
        <v>2776</v>
      </c>
      <c r="IV237" s="577"/>
    </row>
    <row r="238" spans="1:256">
      <c r="A238" s="664">
        <v>24</v>
      </c>
      <c r="B238" s="666" t="s">
        <v>2777</v>
      </c>
      <c r="C238" s="527" t="s">
        <v>2778</v>
      </c>
      <c r="D238" s="650" t="s">
        <v>2779</v>
      </c>
      <c r="E238" s="577" t="s">
        <v>2780</v>
      </c>
      <c r="F238" s="577" t="s">
        <v>1805</v>
      </c>
      <c r="G238" s="577" t="s">
        <v>1806</v>
      </c>
      <c r="K238" s="527" t="s">
        <v>162</v>
      </c>
      <c r="L238" s="527">
        <f>19/3</f>
        <v>6.333333333333333</v>
      </c>
      <c r="M238" s="527" t="s">
        <v>657</v>
      </c>
      <c r="N238" s="527">
        <f>N235+(13+1/3)*2</f>
        <v>293.33333333333343</v>
      </c>
      <c r="U238" s="661" t="s">
        <v>2781</v>
      </c>
      <c r="V238" s="334" t="s">
        <v>2782</v>
      </c>
      <c r="W238" s="68">
        <v>4.67</v>
      </c>
      <c r="X238" s="662">
        <v>24</v>
      </c>
      <c r="Y238" s="527" t="s">
        <v>2783</v>
      </c>
      <c r="Z238" s="529" t="s">
        <v>2784</v>
      </c>
      <c r="AA238" s="529" t="s">
        <v>2785</v>
      </c>
      <c r="IV238" s="577"/>
    </row>
    <row r="239" spans="1:256">
      <c r="A239" s="664">
        <v>25</v>
      </c>
      <c r="B239" s="667" t="s">
        <v>2786</v>
      </c>
      <c r="C239" s="652" t="s">
        <v>2787</v>
      </c>
      <c r="D239" s="650" t="s">
        <v>2788</v>
      </c>
      <c r="E239" s="577" t="s">
        <v>2789</v>
      </c>
      <c r="F239" s="577" t="s">
        <v>1825</v>
      </c>
      <c r="G239" s="577" t="s">
        <v>1826</v>
      </c>
      <c r="K239" s="527" t="s">
        <v>162</v>
      </c>
      <c r="L239" s="527">
        <f>19/3</f>
        <v>6.333333333333333</v>
      </c>
      <c r="M239" s="527" t="s">
        <v>658</v>
      </c>
      <c r="N239" s="527">
        <f>N238+13+1/3</f>
        <v>306.66666666666674</v>
      </c>
      <c r="U239" s="661" t="s">
        <v>2790</v>
      </c>
      <c r="V239" s="334" t="s">
        <v>2791</v>
      </c>
      <c r="W239" s="68">
        <v>5</v>
      </c>
      <c r="X239" s="662">
        <v>25</v>
      </c>
      <c r="Y239" s="527" t="s">
        <v>2792</v>
      </c>
      <c r="Z239" s="529" t="s">
        <v>2793</v>
      </c>
      <c r="AA239" s="529" t="s">
        <v>2505</v>
      </c>
      <c r="IV239" s="577"/>
    </row>
    <row r="240" spans="1:256" ht="24">
      <c r="A240" s="577">
        <v>26</v>
      </c>
      <c r="B240" s="667" t="s">
        <v>2794</v>
      </c>
      <c r="C240" s="652" t="s">
        <v>2795</v>
      </c>
      <c r="D240" s="650" t="s">
        <v>2796</v>
      </c>
      <c r="E240" s="577" t="s">
        <v>2797</v>
      </c>
      <c r="F240" s="577" t="s">
        <v>1841</v>
      </c>
      <c r="G240" s="577" t="s">
        <v>1842</v>
      </c>
      <c r="K240" s="527" t="s">
        <v>162</v>
      </c>
      <c r="L240" s="527">
        <f>19/3</f>
        <v>6.333333333333333</v>
      </c>
      <c r="M240" s="527" t="s">
        <v>659</v>
      </c>
      <c r="N240" s="527">
        <f>N239+13+1/3</f>
        <v>320.00000000000006</v>
      </c>
      <c r="U240" s="661" t="s">
        <v>2798</v>
      </c>
      <c r="V240" s="334" t="s">
        <v>2799</v>
      </c>
      <c r="W240" s="68">
        <v>5.25</v>
      </c>
      <c r="X240" s="662">
        <v>26</v>
      </c>
      <c r="Y240" s="527" t="s">
        <v>2800</v>
      </c>
      <c r="Z240" s="529" t="s">
        <v>2801</v>
      </c>
      <c r="AA240" s="529" t="s">
        <v>2802</v>
      </c>
      <c r="IV240" s="577"/>
    </row>
    <row r="241" spans="1:256">
      <c r="A241" s="577">
        <v>27</v>
      </c>
      <c r="B241" s="666" t="s">
        <v>2803</v>
      </c>
      <c r="C241" s="577" t="s">
        <v>2804</v>
      </c>
      <c r="D241" s="650" t="s">
        <v>2805</v>
      </c>
      <c r="E241" s="577" t="s">
        <v>2806</v>
      </c>
      <c r="F241" s="577" t="s">
        <v>1859</v>
      </c>
      <c r="G241" s="577" t="s">
        <v>1860</v>
      </c>
      <c r="K241" s="527" t="s">
        <v>165</v>
      </c>
      <c r="L241" s="527">
        <f>12/4</f>
        <v>3</v>
      </c>
      <c r="M241" s="527" t="s">
        <v>660</v>
      </c>
      <c r="N241" s="527">
        <f>N240+13+1/3</f>
        <v>333.33333333333337</v>
      </c>
      <c r="U241" s="661" t="s">
        <v>2807</v>
      </c>
      <c r="V241" s="334" t="s">
        <v>2808</v>
      </c>
      <c r="W241" s="68">
        <v>5.33</v>
      </c>
      <c r="X241" s="662">
        <v>27</v>
      </c>
      <c r="Y241" s="527" t="s">
        <v>2809</v>
      </c>
      <c r="Z241" s="529" t="s">
        <v>2810</v>
      </c>
      <c r="AA241" s="529" t="s">
        <v>2811</v>
      </c>
      <c r="IV241" s="577"/>
    </row>
    <row r="242" spans="1:256">
      <c r="A242" s="577">
        <v>28</v>
      </c>
      <c r="B242" s="666" t="s">
        <v>1967</v>
      </c>
      <c r="C242" s="577" t="s">
        <v>2812</v>
      </c>
      <c r="D242" s="650"/>
      <c r="E242" s="527"/>
      <c r="F242" s="577" t="s">
        <v>1870</v>
      </c>
      <c r="G242" s="577" t="s">
        <v>1871</v>
      </c>
      <c r="K242" s="527" t="s">
        <v>165</v>
      </c>
      <c r="L242" s="527">
        <f>12/4</f>
        <v>3</v>
      </c>
      <c r="M242" s="527" t="s">
        <v>574</v>
      </c>
      <c r="N242" s="527">
        <f>N241+13+1/3</f>
        <v>346.66666666666669</v>
      </c>
      <c r="U242" s="661" t="s">
        <v>2813</v>
      </c>
      <c r="V242" s="334" t="s">
        <v>2814</v>
      </c>
      <c r="W242" s="68">
        <v>5.5</v>
      </c>
      <c r="X242" s="662">
        <v>28</v>
      </c>
      <c r="Y242" s="527" t="s">
        <v>2815</v>
      </c>
      <c r="Z242" s="529" t="s">
        <v>2816</v>
      </c>
      <c r="AA242" s="529" t="s">
        <v>2817</v>
      </c>
      <c r="IV242" s="577"/>
    </row>
    <row r="243" spans="1:256">
      <c r="A243" s="577">
        <v>29</v>
      </c>
      <c r="B243" s="666" t="s">
        <v>2818</v>
      </c>
      <c r="C243" s="577" t="s">
        <v>2819</v>
      </c>
      <c r="D243" s="528"/>
      <c r="E243" s="527"/>
      <c r="F243" s="577"/>
      <c r="G243" s="577"/>
      <c r="U243" s="661" t="s">
        <v>2820</v>
      </c>
      <c r="V243" s="334" t="s">
        <v>2821</v>
      </c>
      <c r="W243" s="68">
        <v>5.56</v>
      </c>
      <c r="X243" s="662">
        <v>29</v>
      </c>
      <c r="Y243" s="527" t="s">
        <v>2822</v>
      </c>
      <c r="Z243" s="529" t="s">
        <v>2823</v>
      </c>
      <c r="AA243" s="529" t="s">
        <v>2824</v>
      </c>
      <c r="IV243" s="577"/>
    </row>
    <row r="244" spans="1:256">
      <c r="A244" s="577">
        <v>30</v>
      </c>
      <c r="B244" s="666" t="s">
        <v>2825</v>
      </c>
      <c r="C244" s="577" t="s">
        <v>2826</v>
      </c>
      <c r="D244" s="528"/>
      <c r="E244" s="527"/>
      <c r="U244" s="661" t="s">
        <v>2827</v>
      </c>
      <c r="V244" s="334" t="s">
        <v>2828</v>
      </c>
      <c r="W244" s="68">
        <v>5.63</v>
      </c>
      <c r="X244" s="662">
        <v>30</v>
      </c>
      <c r="Y244" s="527" t="s">
        <v>2829</v>
      </c>
      <c r="Z244" s="529" t="s">
        <v>2830</v>
      </c>
      <c r="AA244" s="529" t="s">
        <v>2831</v>
      </c>
      <c r="IV244" s="577"/>
    </row>
    <row r="245" spans="1:256">
      <c r="A245" s="577">
        <v>31</v>
      </c>
      <c r="B245" s="666" t="s">
        <v>2832</v>
      </c>
      <c r="C245" s="577" t="s">
        <v>2833</v>
      </c>
      <c r="D245" s="528"/>
      <c r="E245" s="527"/>
      <c r="U245" s="661" t="s">
        <v>2834</v>
      </c>
      <c r="V245" s="334" t="s">
        <v>2835</v>
      </c>
      <c r="W245" s="68">
        <v>6</v>
      </c>
      <c r="X245" s="662">
        <v>31</v>
      </c>
      <c r="Y245" s="527" t="s">
        <v>2836</v>
      </c>
      <c r="Z245" s="529" t="s">
        <v>2837</v>
      </c>
      <c r="AA245" s="529" t="s">
        <v>2838</v>
      </c>
      <c r="IV245" s="577"/>
    </row>
    <row r="246" spans="1:256">
      <c r="A246" s="577">
        <v>32</v>
      </c>
      <c r="B246" s="666" t="s">
        <v>2839</v>
      </c>
      <c r="C246" s="577" t="s">
        <v>2840</v>
      </c>
      <c r="D246" s="528"/>
      <c r="E246" s="527"/>
      <c r="U246" s="661" t="s">
        <v>2841</v>
      </c>
      <c r="V246" s="334" t="s">
        <v>2842</v>
      </c>
      <c r="W246" s="68">
        <v>6.25</v>
      </c>
      <c r="X246" s="662">
        <v>32</v>
      </c>
      <c r="Y246" s="527" t="s">
        <v>2843</v>
      </c>
      <c r="Z246" s="529" t="s">
        <v>2844</v>
      </c>
      <c r="AA246" s="529" t="s">
        <v>2702</v>
      </c>
      <c r="IV246" s="577"/>
    </row>
    <row r="247" spans="1:256">
      <c r="A247" s="577">
        <v>33</v>
      </c>
      <c r="B247" s="666" t="s">
        <v>2691</v>
      </c>
      <c r="C247" s="577" t="s">
        <v>2690</v>
      </c>
      <c r="D247" s="528"/>
      <c r="E247" s="527"/>
      <c r="U247" s="661" t="s">
        <v>2845</v>
      </c>
      <c r="V247" s="334" t="s">
        <v>2846</v>
      </c>
      <c r="W247" s="68">
        <v>6.5</v>
      </c>
      <c r="X247" s="662">
        <v>33</v>
      </c>
      <c r="Y247" s="527" t="s">
        <v>2847</v>
      </c>
      <c r="Z247" s="529" t="s">
        <v>2848</v>
      </c>
      <c r="AA247" s="529" t="s">
        <v>2849</v>
      </c>
      <c r="IV247" s="577"/>
    </row>
    <row r="248" spans="1:256">
      <c r="A248" s="577">
        <v>34</v>
      </c>
      <c r="B248" s="666" t="s">
        <v>2850</v>
      </c>
      <c r="C248" s="577" t="s">
        <v>2851</v>
      </c>
      <c r="D248" s="528"/>
      <c r="E248" s="527"/>
      <c r="U248" s="661" t="s">
        <v>2852</v>
      </c>
      <c r="V248" s="334" t="s">
        <v>2853</v>
      </c>
      <c r="W248" s="68">
        <v>6.67</v>
      </c>
      <c r="X248" s="662">
        <v>34</v>
      </c>
      <c r="Y248" s="527" t="s">
        <v>2854</v>
      </c>
      <c r="Z248" s="529" t="s">
        <v>2469</v>
      </c>
      <c r="AA248" s="529" t="s">
        <v>2855</v>
      </c>
      <c r="IV248" s="577"/>
    </row>
    <row r="249" spans="1:256">
      <c r="A249" s="577">
        <v>35</v>
      </c>
      <c r="B249" s="666" t="s">
        <v>2485</v>
      </c>
      <c r="C249" s="577" t="s">
        <v>2484</v>
      </c>
      <c r="D249" s="528"/>
      <c r="E249" s="527"/>
      <c r="U249" s="661" t="s">
        <v>2856</v>
      </c>
      <c r="V249" s="334" t="s">
        <v>2857</v>
      </c>
      <c r="W249" s="68">
        <v>6.75</v>
      </c>
      <c r="X249" s="662">
        <v>35</v>
      </c>
      <c r="Y249" s="527" t="s">
        <v>2858</v>
      </c>
      <c r="Z249" s="529" t="s">
        <v>2859</v>
      </c>
      <c r="AA249" s="529" t="s">
        <v>2479</v>
      </c>
      <c r="IV249" s="577"/>
    </row>
    <row r="250" spans="1:256">
      <c r="A250" s="577">
        <v>36</v>
      </c>
      <c r="B250" s="666" t="s">
        <v>2860</v>
      </c>
      <c r="C250" s="577" t="s">
        <v>2861</v>
      </c>
      <c r="D250" s="528"/>
      <c r="E250" s="527"/>
      <c r="U250" s="661" t="s">
        <v>2862</v>
      </c>
      <c r="V250" s="334" t="s">
        <v>2863</v>
      </c>
      <c r="W250" s="68">
        <v>7</v>
      </c>
      <c r="X250" s="662">
        <v>36</v>
      </c>
      <c r="Y250" s="527" t="s">
        <v>2864</v>
      </c>
      <c r="Z250" s="529" t="s">
        <v>2865</v>
      </c>
      <c r="AA250" s="529" t="s">
        <v>2866</v>
      </c>
      <c r="IV250" s="577"/>
    </row>
    <row r="251" spans="1:256">
      <c r="A251" s="577">
        <v>37</v>
      </c>
      <c r="B251" s="667" t="s">
        <v>2867</v>
      </c>
      <c r="C251" s="652" t="s">
        <v>2868</v>
      </c>
      <c r="D251" s="528"/>
      <c r="E251" s="527"/>
      <c r="U251" s="661" t="s">
        <v>2869</v>
      </c>
      <c r="V251" s="334" t="s">
        <v>2870</v>
      </c>
      <c r="W251" s="68">
        <v>7.33</v>
      </c>
      <c r="X251" s="662">
        <v>37</v>
      </c>
      <c r="Y251" s="527" t="s">
        <v>2871</v>
      </c>
      <c r="Z251" s="529" t="s">
        <v>2872</v>
      </c>
      <c r="AA251" s="529" t="s">
        <v>2873</v>
      </c>
      <c r="IV251" s="577"/>
    </row>
    <row r="252" spans="1:256">
      <c r="A252" s="577">
        <v>38</v>
      </c>
      <c r="B252" s="667" t="s">
        <v>2874</v>
      </c>
      <c r="C252" s="652" t="s">
        <v>2875</v>
      </c>
      <c r="D252" s="528"/>
      <c r="E252" s="527"/>
      <c r="U252" s="661" t="s">
        <v>2876</v>
      </c>
      <c r="V252" s="334" t="s">
        <v>2877</v>
      </c>
      <c r="W252" s="68">
        <v>7.5</v>
      </c>
      <c r="X252" s="662">
        <v>38</v>
      </c>
      <c r="Y252" s="527" t="s">
        <v>2718</v>
      </c>
      <c r="Z252" s="529" t="s">
        <v>2872</v>
      </c>
      <c r="AA252" s="529" t="s">
        <v>2720</v>
      </c>
      <c r="IV252" s="577"/>
    </row>
    <row r="253" spans="1:256">
      <c r="A253" s="577">
        <v>39</v>
      </c>
      <c r="B253" s="666" t="s">
        <v>2878</v>
      </c>
      <c r="C253" s="577" t="s">
        <v>2879</v>
      </c>
      <c r="D253" s="528"/>
      <c r="E253" s="527"/>
      <c r="U253" s="661" t="s">
        <v>2880</v>
      </c>
      <c r="V253" s="334" t="s">
        <v>2881</v>
      </c>
      <c r="W253" s="68">
        <v>7.78</v>
      </c>
      <c r="X253" s="662">
        <v>39</v>
      </c>
      <c r="Y253" s="527" t="s">
        <v>2882</v>
      </c>
      <c r="Z253" s="529" t="s">
        <v>2883</v>
      </c>
      <c r="AA253" s="529" t="s">
        <v>2884</v>
      </c>
      <c r="IV253" s="577"/>
    </row>
    <row r="254" spans="1:256">
      <c r="A254" s="577">
        <v>40</v>
      </c>
      <c r="B254" s="666" t="s">
        <v>2885</v>
      </c>
      <c r="C254" s="577" t="s">
        <v>2886</v>
      </c>
      <c r="D254" s="528"/>
      <c r="E254" s="527"/>
      <c r="U254" s="661" t="s">
        <v>2887</v>
      </c>
      <c r="V254" s="334" t="s">
        <v>2888</v>
      </c>
      <c r="W254" s="68">
        <v>8</v>
      </c>
      <c r="X254" s="662">
        <v>40</v>
      </c>
      <c r="Y254" s="527" t="s">
        <v>2889</v>
      </c>
      <c r="Z254" s="529" t="s">
        <v>2890</v>
      </c>
      <c r="AA254" s="529" t="s">
        <v>2891</v>
      </c>
      <c r="IV254" s="577"/>
    </row>
    <row r="255" spans="1:256">
      <c r="A255" s="577">
        <v>41</v>
      </c>
      <c r="D255" s="528"/>
      <c r="E255" s="527"/>
      <c r="U255" s="661" t="s">
        <v>2892</v>
      </c>
      <c r="V255" s="334" t="s">
        <v>2893</v>
      </c>
      <c r="W255" s="68">
        <v>8.25</v>
      </c>
      <c r="X255" s="662">
        <v>41</v>
      </c>
      <c r="Y255" s="527" t="s">
        <v>2894</v>
      </c>
      <c r="Z255" s="529" t="s">
        <v>2895</v>
      </c>
      <c r="AA255" s="529" t="s">
        <v>2896</v>
      </c>
      <c r="IV255" s="577"/>
    </row>
    <row r="256" spans="1:256">
      <c r="A256" s="577">
        <v>42</v>
      </c>
      <c r="D256" s="528"/>
      <c r="E256" s="527"/>
      <c r="U256" s="661" t="s">
        <v>2897</v>
      </c>
      <c r="V256" s="334" t="s">
        <v>2898</v>
      </c>
      <c r="W256" s="68">
        <v>8.5</v>
      </c>
      <c r="X256" s="662">
        <v>42</v>
      </c>
      <c r="Y256" s="527" t="s">
        <v>2899</v>
      </c>
      <c r="Z256" s="529" t="s">
        <v>2900</v>
      </c>
      <c r="AA256" s="529" t="s">
        <v>2901</v>
      </c>
      <c r="IV256" s="577"/>
    </row>
    <row r="257" spans="1:256">
      <c r="A257" s="577">
        <v>43</v>
      </c>
      <c r="D257" s="528"/>
      <c r="E257" s="527"/>
      <c r="U257" s="661" t="s">
        <v>2902</v>
      </c>
      <c r="V257" s="334" t="s">
        <v>2903</v>
      </c>
      <c r="W257" s="68">
        <v>8.57</v>
      </c>
      <c r="X257" s="662">
        <v>43</v>
      </c>
      <c r="Y257" s="527" t="s">
        <v>2904</v>
      </c>
      <c r="Z257" s="529" t="s">
        <v>2905</v>
      </c>
      <c r="AA257" s="529" t="s">
        <v>2906</v>
      </c>
      <c r="IV257" s="577"/>
    </row>
    <row r="258" spans="1:256">
      <c r="A258" s="577">
        <v>44</v>
      </c>
      <c r="D258" s="528"/>
      <c r="E258" s="527"/>
      <c r="U258" s="661" t="s">
        <v>2907</v>
      </c>
      <c r="V258" s="334" t="s">
        <v>2908</v>
      </c>
      <c r="W258" s="68">
        <v>8.67</v>
      </c>
      <c r="X258" s="662">
        <v>44</v>
      </c>
      <c r="Y258" s="527" t="s">
        <v>2700</v>
      </c>
      <c r="Z258" s="529" t="s">
        <v>2844</v>
      </c>
      <c r="AA258" s="529" t="s">
        <v>2702</v>
      </c>
      <c r="IV258" s="577"/>
    </row>
    <row r="259" spans="1:256">
      <c r="A259" s="577">
        <v>45</v>
      </c>
      <c r="D259" s="528"/>
      <c r="E259" s="527"/>
      <c r="U259" s="661" t="s">
        <v>2909</v>
      </c>
      <c r="V259" s="334" t="s">
        <v>2910</v>
      </c>
      <c r="W259" s="68">
        <v>8.75</v>
      </c>
      <c r="X259" s="662">
        <v>45</v>
      </c>
      <c r="Y259" s="527" t="s">
        <v>2911</v>
      </c>
      <c r="Z259" s="529" t="s">
        <v>2912</v>
      </c>
      <c r="AA259" s="529" t="s">
        <v>2913</v>
      </c>
      <c r="IV259" s="577"/>
    </row>
    <row r="260" spans="1:256">
      <c r="A260" s="577">
        <v>46</v>
      </c>
      <c r="D260" s="528"/>
      <c r="E260" s="527"/>
      <c r="U260" s="661" t="s">
        <v>2914</v>
      </c>
      <c r="V260" s="334" t="s">
        <v>2915</v>
      </c>
      <c r="W260" s="68">
        <v>8.89</v>
      </c>
      <c r="X260" s="662">
        <v>46</v>
      </c>
      <c r="Y260" s="527" t="s">
        <v>2744</v>
      </c>
      <c r="Z260" s="529" t="s">
        <v>2745</v>
      </c>
      <c r="AA260" s="529" t="s">
        <v>2746</v>
      </c>
      <c r="IV260" s="577"/>
    </row>
    <row r="261" spans="1:256">
      <c r="A261" s="577">
        <v>47</v>
      </c>
      <c r="D261" s="528"/>
      <c r="E261" s="527"/>
      <c r="U261" s="661" t="s">
        <v>2916</v>
      </c>
      <c r="V261" s="334" t="s">
        <v>2917</v>
      </c>
      <c r="W261" s="68">
        <v>9</v>
      </c>
      <c r="X261" s="662">
        <v>47</v>
      </c>
      <c r="Y261" s="527" t="s">
        <v>2918</v>
      </c>
      <c r="Z261" s="529" t="s">
        <v>2919</v>
      </c>
      <c r="AA261" s="529" t="s">
        <v>2920</v>
      </c>
      <c r="IV261" s="577"/>
    </row>
    <row r="262" spans="1:256">
      <c r="A262" s="577">
        <v>48</v>
      </c>
      <c r="D262" s="528"/>
      <c r="E262" s="527"/>
      <c r="U262" s="661" t="s">
        <v>2921</v>
      </c>
      <c r="V262" s="334" t="s">
        <v>2922</v>
      </c>
      <c r="W262" s="68">
        <v>9.33</v>
      </c>
      <c r="X262" s="662">
        <v>48</v>
      </c>
      <c r="Y262" s="527" t="s">
        <v>2923</v>
      </c>
      <c r="Z262" s="529" t="s">
        <v>2924</v>
      </c>
      <c r="AA262" s="529" t="s">
        <v>2925</v>
      </c>
      <c r="IV262" s="577"/>
    </row>
    <row r="263" spans="1:256">
      <c r="A263" s="577">
        <v>49</v>
      </c>
      <c r="D263" s="528"/>
      <c r="E263" s="527"/>
      <c r="U263" s="661" t="s">
        <v>2926</v>
      </c>
      <c r="V263" s="334" t="s">
        <v>2927</v>
      </c>
      <c r="W263" s="68">
        <v>9.3800000000000008</v>
      </c>
      <c r="X263" s="662">
        <v>49</v>
      </c>
      <c r="Y263" s="527" t="s">
        <v>2928</v>
      </c>
      <c r="Z263" s="529" t="s">
        <v>2929</v>
      </c>
      <c r="AA263" s="529" t="s">
        <v>2533</v>
      </c>
      <c r="IV263" s="577"/>
    </row>
    <row r="264" spans="1:256">
      <c r="A264" s="577">
        <v>50</v>
      </c>
      <c r="D264" s="528"/>
      <c r="E264" s="527"/>
      <c r="U264" s="661" t="s">
        <v>2930</v>
      </c>
      <c r="V264" s="334" t="s">
        <v>2931</v>
      </c>
      <c r="W264" s="68">
        <v>9.5</v>
      </c>
      <c r="X264" s="662">
        <v>50</v>
      </c>
      <c r="Y264" s="527" t="s">
        <v>2932</v>
      </c>
      <c r="Z264" s="529" t="s">
        <v>2933</v>
      </c>
      <c r="AA264" s="529" t="s">
        <v>2934</v>
      </c>
      <c r="IV264" s="577"/>
    </row>
    <row r="265" spans="1:256">
      <c r="A265" s="577">
        <v>51</v>
      </c>
      <c r="D265" s="528"/>
      <c r="E265" s="527"/>
      <c r="U265" s="661" t="s">
        <v>2935</v>
      </c>
      <c r="V265" s="334" t="s">
        <v>2936</v>
      </c>
      <c r="W265" s="68">
        <v>9.75</v>
      </c>
      <c r="X265" s="662">
        <v>51</v>
      </c>
      <c r="Y265" s="527" t="s">
        <v>2937</v>
      </c>
      <c r="Z265" s="529" t="s">
        <v>2938</v>
      </c>
      <c r="AA265" s="529" t="s">
        <v>2939</v>
      </c>
      <c r="IV265" s="577"/>
    </row>
    <row r="266" spans="1:256">
      <c r="A266" s="577">
        <v>52</v>
      </c>
      <c r="D266" s="528"/>
      <c r="E266" s="527"/>
      <c r="U266" s="661" t="s">
        <v>2940</v>
      </c>
      <c r="V266" s="334" t="s">
        <v>2941</v>
      </c>
      <c r="W266" s="68">
        <v>10</v>
      </c>
      <c r="X266" s="662">
        <v>52</v>
      </c>
      <c r="Y266" s="527" t="s">
        <v>2942</v>
      </c>
      <c r="Z266" s="529" t="s">
        <v>2943</v>
      </c>
      <c r="AA266" s="529" t="s">
        <v>2944</v>
      </c>
      <c r="IV266" s="577"/>
    </row>
    <row r="267" spans="1:256">
      <c r="A267" s="577">
        <v>53</v>
      </c>
      <c r="D267" s="528"/>
      <c r="E267" s="527"/>
      <c r="U267" s="661" t="s">
        <v>2945</v>
      </c>
      <c r="V267" s="334" t="s">
        <v>2946</v>
      </c>
      <c r="W267" s="68">
        <v>10.5</v>
      </c>
      <c r="X267" s="662">
        <v>53</v>
      </c>
      <c r="Y267" s="527" t="s">
        <v>2947</v>
      </c>
      <c r="Z267" s="529" t="s">
        <v>2948</v>
      </c>
      <c r="AA267" s="529" t="s">
        <v>2949</v>
      </c>
      <c r="IV267" s="577"/>
    </row>
    <row r="268" spans="1:256">
      <c r="A268" s="577">
        <v>54</v>
      </c>
      <c r="D268" s="528"/>
      <c r="E268" s="527"/>
      <c r="U268" s="661" t="s">
        <v>2950</v>
      </c>
      <c r="V268" s="334" t="s">
        <v>2951</v>
      </c>
      <c r="W268" s="68">
        <v>10.67</v>
      </c>
      <c r="X268" s="662">
        <v>54</v>
      </c>
      <c r="Y268" s="527" t="s">
        <v>2911</v>
      </c>
      <c r="Z268" s="529" t="s">
        <v>2912</v>
      </c>
      <c r="AA268" s="529" t="s">
        <v>2913</v>
      </c>
      <c r="IV268" s="577"/>
    </row>
    <row r="269" spans="1:256">
      <c r="A269" s="577">
        <v>55</v>
      </c>
      <c r="D269" s="528"/>
      <c r="E269" s="527"/>
      <c r="U269" s="661" t="s">
        <v>2952</v>
      </c>
      <c r="V269" s="334" t="s">
        <v>2953</v>
      </c>
      <c r="W269" s="68">
        <v>11</v>
      </c>
      <c r="X269" s="662">
        <v>55</v>
      </c>
      <c r="Y269" s="527" t="s">
        <v>2954</v>
      </c>
      <c r="Z269" s="529" t="s">
        <v>2955</v>
      </c>
      <c r="AA269" s="529" t="s">
        <v>2956</v>
      </c>
      <c r="IV269" s="577"/>
    </row>
    <row r="270" spans="1:256">
      <c r="A270" s="577">
        <v>56</v>
      </c>
      <c r="D270" s="528"/>
      <c r="E270" s="527"/>
      <c r="U270" s="661" t="s">
        <v>2957</v>
      </c>
      <c r="V270" s="334" t="s">
        <v>2958</v>
      </c>
      <c r="W270" s="68">
        <v>11.11</v>
      </c>
      <c r="X270" s="662">
        <v>56</v>
      </c>
      <c r="Y270" s="527" t="s">
        <v>2959</v>
      </c>
      <c r="Z270" s="529" t="s">
        <v>2960</v>
      </c>
      <c r="AA270" s="529" t="s">
        <v>2961</v>
      </c>
      <c r="IV270" s="577"/>
    </row>
    <row r="271" spans="1:256">
      <c r="A271" s="577">
        <v>57</v>
      </c>
      <c r="D271" s="528"/>
      <c r="E271" s="527"/>
      <c r="U271" s="661" t="s">
        <v>2962</v>
      </c>
      <c r="V271" s="334" t="s">
        <v>2963</v>
      </c>
      <c r="W271" s="68">
        <v>11.25</v>
      </c>
      <c r="X271" s="662">
        <v>57</v>
      </c>
      <c r="Y271" s="527" t="s">
        <v>2964</v>
      </c>
      <c r="Z271" s="529" t="s">
        <v>2872</v>
      </c>
      <c r="AA271" s="529" t="s">
        <v>2720</v>
      </c>
      <c r="IV271" s="577"/>
    </row>
    <row r="272" spans="1:256">
      <c r="A272" s="577">
        <v>58</v>
      </c>
      <c r="D272" s="528"/>
      <c r="E272" s="527"/>
      <c r="U272" s="661" t="s">
        <v>2965</v>
      </c>
      <c r="V272" s="334" t="s">
        <v>2966</v>
      </c>
      <c r="W272" s="68">
        <v>11.33</v>
      </c>
      <c r="X272" s="662">
        <v>58</v>
      </c>
      <c r="Y272" s="527" t="s">
        <v>2967</v>
      </c>
      <c r="Z272" s="529" t="s">
        <v>2968</v>
      </c>
      <c r="AA272" s="529" t="s">
        <v>2969</v>
      </c>
      <c r="IV272" s="577"/>
    </row>
    <row r="273" spans="1:256">
      <c r="A273" s="577">
        <v>59</v>
      </c>
      <c r="D273" s="528"/>
      <c r="E273" s="527"/>
      <c r="U273" s="661" t="s">
        <v>2970</v>
      </c>
      <c r="V273" s="334" t="s">
        <v>2971</v>
      </c>
      <c r="W273" s="68">
        <v>11.5</v>
      </c>
      <c r="X273" s="662">
        <v>59</v>
      </c>
      <c r="Y273" s="527" t="s">
        <v>2972</v>
      </c>
      <c r="Z273" s="529" t="s">
        <v>2973</v>
      </c>
      <c r="AA273" s="529" t="s">
        <v>2974</v>
      </c>
      <c r="IV273" s="577"/>
    </row>
    <row r="274" spans="1:256">
      <c r="A274" s="577">
        <v>60</v>
      </c>
      <c r="D274" s="528"/>
      <c r="E274" s="527"/>
      <c r="U274" s="661" t="s">
        <v>2975</v>
      </c>
      <c r="V274" s="334" t="s">
        <v>2976</v>
      </c>
      <c r="W274" s="68">
        <v>12</v>
      </c>
      <c r="X274" s="662">
        <v>60</v>
      </c>
      <c r="Y274" s="527" t="s">
        <v>2977</v>
      </c>
      <c r="Z274" s="529" t="s">
        <v>2978</v>
      </c>
      <c r="AA274" s="529" t="s">
        <v>2979</v>
      </c>
      <c r="IV274" s="577"/>
    </row>
    <row r="275" spans="1:256">
      <c r="A275" s="577">
        <v>61</v>
      </c>
      <c r="D275" s="528"/>
      <c r="E275" s="527"/>
      <c r="U275" s="661" t="s">
        <v>2980</v>
      </c>
      <c r="V275" s="334" t="s">
        <v>2981</v>
      </c>
      <c r="W275" s="68">
        <v>12.22</v>
      </c>
      <c r="IV275" s="577"/>
    </row>
    <row r="276" spans="1:256">
      <c r="A276" s="577">
        <v>62</v>
      </c>
      <c r="D276" s="528"/>
      <c r="E276" s="527"/>
      <c r="U276" s="661" t="s">
        <v>2869</v>
      </c>
      <c r="V276" s="334" t="s">
        <v>2870</v>
      </c>
      <c r="W276" s="68">
        <v>12.5</v>
      </c>
      <c r="IV276" s="577"/>
    </row>
    <row r="277" spans="1:256">
      <c r="A277" s="577">
        <v>63</v>
      </c>
      <c r="D277" s="528"/>
      <c r="E277" s="527"/>
      <c r="U277" s="661" t="s">
        <v>2982</v>
      </c>
      <c r="V277" s="334" t="s">
        <v>2983</v>
      </c>
      <c r="W277" s="68">
        <v>12.67</v>
      </c>
      <c r="IV277" s="577"/>
    </row>
    <row r="278" spans="1:256">
      <c r="A278" s="577">
        <v>64</v>
      </c>
      <c r="D278" s="528"/>
      <c r="E278" s="527"/>
      <c r="U278" s="661" t="s">
        <v>2984</v>
      </c>
      <c r="V278" s="334" t="s">
        <v>2985</v>
      </c>
      <c r="W278" s="68">
        <v>12.75</v>
      </c>
      <c r="IV278" s="577"/>
    </row>
    <row r="279" spans="1:256">
      <c r="A279" s="577">
        <v>65</v>
      </c>
      <c r="D279" s="528"/>
      <c r="E279" s="527"/>
      <c r="U279" s="661" t="s">
        <v>2986</v>
      </c>
      <c r="V279" s="334" t="s">
        <v>2987</v>
      </c>
      <c r="W279" s="68">
        <v>12.86</v>
      </c>
      <c r="IV279" s="577"/>
    </row>
    <row r="280" spans="1:256">
      <c r="A280" s="577">
        <v>66</v>
      </c>
      <c r="D280" s="528"/>
      <c r="E280" s="527"/>
      <c r="U280" s="661" t="s">
        <v>2988</v>
      </c>
      <c r="V280" s="334" t="s">
        <v>2989</v>
      </c>
      <c r="W280" s="68">
        <v>13</v>
      </c>
      <c r="IV280" s="577"/>
    </row>
    <row r="281" spans="1:256">
      <c r="A281" s="577">
        <v>67</v>
      </c>
      <c r="D281" s="528"/>
      <c r="E281" s="527"/>
      <c r="U281" s="661" t="s">
        <v>2990</v>
      </c>
      <c r="V281" s="334" t="s">
        <v>2991</v>
      </c>
      <c r="W281" s="68">
        <v>13.13</v>
      </c>
      <c r="IV281" s="577"/>
    </row>
    <row r="282" spans="1:256">
      <c r="A282" s="577">
        <v>68</v>
      </c>
      <c r="D282" s="528"/>
      <c r="E282" s="527"/>
      <c r="U282" s="661" t="s">
        <v>2992</v>
      </c>
      <c r="V282" s="334" t="s">
        <v>2993</v>
      </c>
      <c r="W282" s="68">
        <v>13.33</v>
      </c>
      <c r="IV282" s="577"/>
    </row>
    <row r="283" spans="1:256">
      <c r="A283" s="577">
        <v>69</v>
      </c>
      <c r="D283" s="528"/>
      <c r="E283" s="527"/>
      <c r="U283" s="661" t="s">
        <v>2994</v>
      </c>
      <c r="V283" s="334" t="s">
        <v>2995</v>
      </c>
      <c r="W283" s="68">
        <v>13.5</v>
      </c>
      <c r="IV283" s="577"/>
    </row>
    <row r="284" spans="1:256">
      <c r="A284" s="577">
        <v>70</v>
      </c>
      <c r="D284" s="528"/>
      <c r="E284" s="527"/>
      <c r="U284" s="661" t="s">
        <v>2996</v>
      </c>
      <c r="V284" s="334" t="s">
        <v>2997</v>
      </c>
      <c r="W284" s="68">
        <v>13.75</v>
      </c>
      <c r="IV284" s="577"/>
    </row>
    <row r="285" spans="1:256">
      <c r="A285" s="577">
        <v>71</v>
      </c>
      <c r="D285" s="528"/>
      <c r="E285" s="527"/>
      <c r="U285" s="661" t="s">
        <v>2998</v>
      </c>
      <c r="V285" s="334" t="s">
        <v>2999</v>
      </c>
      <c r="W285" s="68">
        <v>14</v>
      </c>
      <c r="IV285" s="577"/>
    </row>
    <row r="286" spans="1:256">
      <c r="A286" s="577">
        <v>72</v>
      </c>
      <c r="D286" s="528"/>
      <c r="E286" s="527"/>
      <c r="U286" s="661" t="s">
        <v>3000</v>
      </c>
      <c r="V286" s="334" t="s">
        <v>3001</v>
      </c>
      <c r="W286" s="68">
        <v>14.25</v>
      </c>
      <c r="IV286" s="577"/>
    </row>
    <row r="287" spans="1:256">
      <c r="A287" s="577">
        <v>73</v>
      </c>
      <c r="D287" s="528"/>
      <c r="E287" s="527"/>
      <c r="U287" s="668" t="s">
        <v>3002</v>
      </c>
      <c r="V287" s="669" t="s">
        <v>3003</v>
      </c>
      <c r="W287" s="68">
        <v>14.44</v>
      </c>
      <c r="IV287" s="577"/>
    </row>
    <row r="288" spans="1:256">
      <c r="A288" s="577">
        <v>74</v>
      </c>
      <c r="D288" s="528"/>
      <c r="E288" s="527"/>
      <c r="U288" s="668" t="s">
        <v>3004</v>
      </c>
      <c r="V288" s="669" t="s">
        <v>3005</v>
      </c>
      <c r="W288" s="68">
        <v>14.5</v>
      </c>
      <c r="IV288" s="577"/>
    </row>
    <row r="289" spans="1:256">
      <c r="A289" s="577">
        <v>75</v>
      </c>
      <c r="D289" s="528"/>
      <c r="E289" s="527"/>
      <c r="U289" s="668" t="s">
        <v>3006</v>
      </c>
      <c r="V289" s="669" t="s">
        <v>3007</v>
      </c>
      <c r="W289" s="68">
        <v>14.67</v>
      </c>
      <c r="IV289" s="577"/>
    </row>
    <row r="290" spans="1:256">
      <c r="A290" s="577">
        <v>76</v>
      </c>
      <c r="D290" s="528"/>
      <c r="E290" s="527"/>
      <c r="U290" s="668" t="s">
        <v>3008</v>
      </c>
      <c r="V290" s="669" t="s">
        <v>3009</v>
      </c>
      <c r="W290" s="68">
        <v>15</v>
      </c>
      <c r="IV290" s="577"/>
    </row>
    <row r="291" spans="1:256">
      <c r="A291" s="577">
        <v>77</v>
      </c>
      <c r="D291" s="528"/>
      <c r="E291" s="527"/>
      <c r="U291" s="668" t="s">
        <v>2902</v>
      </c>
      <c r="V291" s="669" t="s">
        <v>2903</v>
      </c>
      <c r="W291" s="68">
        <v>15.33</v>
      </c>
      <c r="IV291" s="577"/>
    </row>
    <row r="292" spans="1:256">
      <c r="A292" s="577">
        <v>78</v>
      </c>
      <c r="D292" s="528"/>
      <c r="E292" s="527"/>
      <c r="U292" s="668" t="s">
        <v>3010</v>
      </c>
      <c r="V292" s="669" t="s">
        <v>3011</v>
      </c>
      <c r="W292" s="68">
        <v>15.5</v>
      </c>
      <c r="IV292" s="577"/>
    </row>
    <row r="293" spans="1:256">
      <c r="A293" s="577">
        <v>79</v>
      </c>
      <c r="D293" s="528"/>
      <c r="E293" s="527"/>
      <c r="U293" s="668" t="s">
        <v>3012</v>
      </c>
      <c r="V293" s="669" t="s">
        <v>3013</v>
      </c>
      <c r="W293" s="68">
        <v>15.56</v>
      </c>
      <c r="IV293" s="577"/>
    </row>
    <row r="294" spans="1:256">
      <c r="A294" s="577">
        <v>80</v>
      </c>
      <c r="D294" s="528"/>
      <c r="E294" s="527"/>
      <c r="U294" s="668" t="s">
        <v>3014</v>
      </c>
      <c r="V294" s="669" t="s">
        <v>3015</v>
      </c>
      <c r="W294" s="68">
        <v>15.75</v>
      </c>
      <c r="IV294" s="577"/>
    </row>
    <row r="295" spans="1:256">
      <c r="A295" s="577">
        <v>81</v>
      </c>
      <c r="D295" s="528"/>
      <c r="E295" s="527"/>
      <c r="U295" s="668" t="s">
        <v>3016</v>
      </c>
      <c r="V295" s="669" t="s">
        <v>3017</v>
      </c>
      <c r="W295" s="68">
        <v>16</v>
      </c>
      <c r="IV295" s="577"/>
    </row>
    <row r="296" spans="1:256">
      <c r="A296" s="577">
        <v>82</v>
      </c>
      <c r="D296" s="528"/>
      <c r="E296" s="527"/>
      <c r="U296" s="668" t="s">
        <v>3018</v>
      </c>
      <c r="V296" s="669" t="s">
        <v>3019</v>
      </c>
      <c r="W296" s="68">
        <v>16.25</v>
      </c>
      <c r="IV296" s="577"/>
    </row>
    <row r="297" spans="1:256">
      <c r="A297" s="577">
        <v>83</v>
      </c>
      <c r="D297" s="528"/>
      <c r="E297" s="527"/>
      <c r="U297" s="668" t="s">
        <v>3020</v>
      </c>
      <c r="V297" s="669" t="s">
        <v>3021</v>
      </c>
      <c r="W297" s="68">
        <v>16.5</v>
      </c>
      <c r="IV297" s="577"/>
    </row>
    <row r="298" spans="1:256">
      <c r="A298" s="577">
        <v>84</v>
      </c>
      <c r="D298" s="528"/>
      <c r="E298" s="527"/>
      <c r="U298" s="668" t="s">
        <v>3022</v>
      </c>
      <c r="V298" s="669" t="s">
        <v>3023</v>
      </c>
      <c r="W298" s="68">
        <v>16.670000000000002</v>
      </c>
      <c r="IV298" s="577"/>
    </row>
    <row r="299" spans="1:256">
      <c r="A299" s="577">
        <v>85</v>
      </c>
      <c r="D299" s="528"/>
      <c r="E299" s="527"/>
      <c r="U299" s="668" t="s">
        <v>3024</v>
      </c>
      <c r="V299" s="669" t="s">
        <v>3025</v>
      </c>
      <c r="W299" s="68">
        <v>16.88</v>
      </c>
      <c r="IV299" s="577"/>
    </row>
    <row r="300" spans="1:256">
      <c r="A300" s="577">
        <v>86</v>
      </c>
      <c r="D300" s="528"/>
      <c r="E300" s="527"/>
      <c r="U300" s="668" t="s">
        <v>3026</v>
      </c>
      <c r="V300" s="669" t="s">
        <v>3027</v>
      </c>
      <c r="W300" s="68">
        <v>17</v>
      </c>
      <c r="IV300" s="577"/>
    </row>
    <row r="301" spans="1:256">
      <c r="A301" s="577">
        <v>87</v>
      </c>
      <c r="D301" s="528"/>
      <c r="E301" s="527"/>
      <c r="U301" s="668" t="s">
        <v>3028</v>
      </c>
      <c r="V301" s="669" t="s">
        <v>3029</v>
      </c>
      <c r="W301" s="68">
        <v>17.14</v>
      </c>
      <c r="IV301" s="577"/>
    </row>
    <row r="302" spans="1:256">
      <c r="A302" s="577">
        <v>88</v>
      </c>
      <c r="D302" s="528"/>
      <c r="E302" s="527"/>
      <c r="U302" s="668" t="s">
        <v>3030</v>
      </c>
      <c r="V302" s="669" t="s">
        <v>3031</v>
      </c>
      <c r="W302" s="68">
        <v>17.25</v>
      </c>
      <c r="IV302" s="577"/>
    </row>
    <row r="303" spans="1:256">
      <c r="A303" s="577">
        <v>89</v>
      </c>
      <c r="D303" s="528"/>
      <c r="E303" s="527"/>
      <c r="U303" s="668" t="s">
        <v>3032</v>
      </c>
      <c r="V303" s="669" t="s">
        <v>3033</v>
      </c>
      <c r="W303" s="68">
        <v>17.329999999999998</v>
      </c>
      <c r="IV303" s="577"/>
    </row>
    <row r="304" spans="1:256">
      <c r="A304" s="577">
        <v>90</v>
      </c>
      <c r="D304" s="528"/>
      <c r="E304" s="527"/>
      <c r="U304" s="668" t="s">
        <v>3034</v>
      </c>
      <c r="V304" s="669" t="s">
        <v>3035</v>
      </c>
      <c r="W304" s="68">
        <v>17.5</v>
      </c>
      <c r="IV304" s="577"/>
    </row>
    <row r="305" spans="1:256">
      <c r="A305" s="577">
        <v>91</v>
      </c>
      <c r="D305" s="528"/>
      <c r="E305" s="527"/>
      <c r="U305" s="668" t="s">
        <v>3036</v>
      </c>
      <c r="V305" s="669" t="s">
        <v>3037</v>
      </c>
      <c r="W305" s="68">
        <v>17.78</v>
      </c>
      <c r="IV305" s="577"/>
    </row>
    <row r="306" spans="1:256">
      <c r="A306" s="577">
        <v>92</v>
      </c>
      <c r="D306" s="528"/>
      <c r="E306" s="527"/>
      <c r="U306" s="668" t="s">
        <v>3038</v>
      </c>
      <c r="V306" s="669" t="s">
        <v>3039</v>
      </c>
      <c r="W306" s="68">
        <v>18</v>
      </c>
      <c r="IV306" s="577"/>
    </row>
    <row r="307" spans="1:256">
      <c r="A307" s="577">
        <v>93</v>
      </c>
      <c r="D307" s="528"/>
      <c r="E307" s="527"/>
      <c r="U307" s="668" t="s">
        <v>3040</v>
      </c>
      <c r="V307" s="669" t="s">
        <v>3041</v>
      </c>
      <c r="W307" s="68">
        <v>18.5</v>
      </c>
      <c r="IV307" s="577"/>
    </row>
    <row r="308" spans="1:256">
      <c r="A308" s="577">
        <v>94</v>
      </c>
      <c r="D308" s="528"/>
      <c r="E308" s="527"/>
      <c r="U308" s="668" t="s">
        <v>3042</v>
      </c>
      <c r="V308" s="669" t="s">
        <v>3043</v>
      </c>
      <c r="W308" s="68">
        <v>18.670000000000002</v>
      </c>
      <c r="IV308" s="577"/>
    </row>
    <row r="309" spans="1:256">
      <c r="A309" s="577">
        <v>95</v>
      </c>
      <c r="D309" s="528"/>
      <c r="E309" s="527"/>
      <c r="U309" s="668" t="s">
        <v>3044</v>
      </c>
      <c r="V309" s="669" t="s">
        <v>3045</v>
      </c>
      <c r="W309" s="68">
        <v>18.75</v>
      </c>
      <c r="IV309" s="577"/>
    </row>
    <row r="310" spans="1:256">
      <c r="A310" s="577">
        <v>96</v>
      </c>
      <c r="D310" s="528"/>
      <c r="E310" s="527"/>
      <c r="U310" s="668" t="s">
        <v>3046</v>
      </c>
      <c r="V310" s="669" t="s">
        <v>3047</v>
      </c>
      <c r="W310" s="68">
        <v>18.89</v>
      </c>
      <c r="IV310" s="577"/>
    </row>
    <row r="311" spans="1:256">
      <c r="A311" s="577">
        <v>97</v>
      </c>
      <c r="D311" s="528"/>
      <c r="E311" s="527"/>
      <c r="U311" s="668" t="s">
        <v>3048</v>
      </c>
      <c r="V311" s="669" t="s">
        <v>3049</v>
      </c>
      <c r="W311" s="68">
        <v>19</v>
      </c>
      <c r="IV311" s="577"/>
    </row>
    <row r="312" spans="1:256">
      <c r="A312" s="577">
        <v>98</v>
      </c>
      <c r="D312" s="528"/>
      <c r="E312" s="527"/>
      <c r="U312" s="668" t="s">
        <v>3050</v>
      </c>
      <c r="V312" s="669" t="s">
        <v>3051</v>
      </c>
      <c r="W312" s="68">
        <v>19.329999999999998</v>
      </c>
      <c r="IV312" s="577"/>
    </row>
    <row r="313" spans="1:256">
      <c r="A313" s="577">
        <v>99</v>
      </c>
      <c r="D313" s="528"/>
      <c r="E313" s="527"/>
      <c r="U313" s="668" t="s">
        <v>3052</v>
      </c>
      <c r="V313" s="669" t="s">
        <v>3053</v>
      </c>
      <c r="W313" s="68">
        <v>19.5</v>
      </c>
      <c r="IV313" s="577"/>
    </row>
    <row r="314" spans="1:256">
      <c r="A314" s="577">
        <v>100</v>
      </c>
      <c r="D314" s="528"/>
      <c r="E314" s="527"/>
      <c r="U314" s="668" t="s">
        <v>3054</v>
      </c>
      <c r="V314" s="669" t="s">
        <v>3055</v>
      </c>
      <c r="W314" s="68">
        <v>20</v>
      </c>
      <c r="IV314" s="577"/>
    </row>
    <row r="315" spans="1:256">
      <c r="A315" s="577">
        <v>101</v>
      </c>
      <c r="D315" s="528"/>
      <c r="E315" s="527"/>
      <c r="U315" s="668" t="s">
        <v>3056</v>
      </c>
      <c r="V315" s="669" t="s">
        <v>3057</v>
      </c>
      <c r="W315" s="68">
        <v>20.25</v>
      </c>
      <c r="IV315" s="577"/>
    </row>
    <row r="316" spans="1:256">
      <c r="A316" s="577">
        <v>102</v>
      </c>
      <c r="D316" s="528"/>
      <c r="E316" s="527"/>
      <c r="U316" s="668" t="s">
        <v>3058</v>
      </c>
      <c r="V316" s="669" t="s">
        <v>3059</v>
      </c>
      <c r="W316" s="68">
        <v>20.5</v>
      </c>
      <c r="IV316" s="577"/>
    </row>
    <row r="317" spans="1:256">
      <c r="A317" s="577">
        <v>103</v>
      </c>
      <c r="D317" s="528"/>
      <c r="E317" s="527"/>
      <c r="U317" s="668" t="s">
        <v>3060</v>
      </c>
      <c r="V317" s="669" t="s">
        <v>3061</v>
      </c>
      <c r="W317" s="68">
        <v>20.63</v>
      </c>
      <c r="IV317" s="577"/>
    </row>
    <row r="318" spans="1:256">
      <c r="A318" s="577">
        <v>104</v>
      </c>
      <c r="D318" s="528"/>
      <c r="E318" s="527"/>
      <c r="U318" s="668" t="s">
        <v>3062</v>
      </c>
      <c r="V318" s="669" t="s">
        <v>3063</v>
      </c>
      <c r="W318" s="68">
        <v>20.67</v>
      </c>
      <c r="IV318" s="577"/>
    </row>
    <row r="319" spans="1:256">
      <c r="A319" s="577">
        <v>105</v>
      </c>
      <c r="D319" s="528"/>
      <c r="E319" s="527"/>
      <c r="U319" s="668" t="s">
        <v>3064</v>
      </c>
      <c r="V319" s="669" t="s">
        <v>3065</v>
      </c>
      <c r="W319" s="68">
        <v>21</v>
      </c>
      <c r="IV319" s="577"/>
    </row>
    <row r="320" spans="1:256">
      <c r="A320" s="577">
        <v>106</v>
      </c>
      <c r="D320" s="528"/>
      <c r="E320" s="527"/>
      <c r="U320" s="668" t="s">
        <v>3066</v>
      </c>
      <c r="V320" s="669" t="s">
        <v>3067</v>
      </c>
      <c r="W320" s="68">
        <v>21.11</v>
      </c>
      <c r="IV320" s="577"/>
    </row>
    <row r="321" spans="1:256">
      <c r="A321" s="577">
        <v>107</v>
      </c>
      <c r="D321" s="528"/>
      <c r="E321" s="527"/>
      <c r="U321" s="668" t="s">
        <v>3068</v>
      </c>
      <c r="V321" s="669" t="s">
        <v>3069</v>
      </c>
      <c r="W321" s="68">
        <v>21.25</v>
      </c>
      <c r="IV321" s="577"/>
    </row>
    <row r="322" spans="1:256">
      <c r="A322" s="577">
        <v>108</v>
      </c>
      <c r="D322" s="528"/>
      <c r="E322" s="527"/>
      <c r="U322" s="668" t="s">
        <v>3070</v>
      </c>
      <c r="V322" s="669" t="s">
        <v>3071</v>
      </c>
      <c r="W322" s="68">
        <v>21.33</v>
      </c>
      <c r="IV322" s="577"/>
    </row>
    <row r="323" spans="1:256">
      <c r="A323" s="577">
        <v>109</v>
      </c>
      <c r="D323" s="528"/>
      <c r="E323" s="527"/>
      <c r="U323" s="668" t="s">
        <v>3072</v>
      </c>
      <c r="V323" s="669" t="s">
        <v>3073</v>
      </c>
      <c r="W323" s="68">
        <v>21.43</v>
      </c>
      <c r="IV323" s="577"/>
    </row>
    <row r="324" spans="1:256">
      <c r="A324" s="577">
        <v>110</v>
      </c>
      <c r="D324" s="528"/>
      <c r="E324" s="527"/>
      <c r="U324" s="668" t="s">
        <v>3074</v>
      </c>
      <c r="V324" s="669" t="s">
        <v>3075</v>
      </c>
      <c r="W324" s="68">
        <v>21.5</v>
      </c>
      <c r="IV324" s="577"/>
    </row>
    <row r="325" spans="1:256">
      <c r="A325" s="577">
        <v>111</v>
      </c>
      <c r="D325" s="528"/>
      <c r="E325" s="527"/>
      <c r="U325" s="668" t="s">
        <v>3076</v>
      </c>
      <c r="V325" s="669" t="s">
        <v>3077</v>
      </c>
      <c r="W325" s="68">
        <v>21.75</v>
      </c>
      <c r="IV325" s="577"/>
    </row>
    <row r="326" spans="1:256">
      <c r="A326" s="577">
        <v>112</v>
      </c>
      <c r="D326" s="528"/>
      <c r="E326" s="527"/>
      <c r="U326" s="668" t="s">
        <v>2970</v>
      </c>
      <c r="V326" s="669" t="s">
        <v>2971</v>
      </c>
      <c r="W326" s="68">
        <v>22</v>
      </c>
      <c r="IV326" s="577"/>
    </row>
    <row r="327" spans="1:256">
      <c r="A327" s="577">
        <v>113</v>
      </c>
      <c r="D327" s="528"/>
      <c r="E327" s="527"/>
      <c r="U327" s="668" t="s">
        <v>3078</v>
      </c>
      <c r="V327" s="669" t="s">
        <v>3079</v>
      </c>
      <c r="W327" s="68">
        <v>22.22</v>
      </c>
      <c r="IV327" s="577"/>
    </row>
    <row r="328" spans="1:256">
      <c r="A328" s="577">
        <v>114</v>
      </c>
      <c r="D328" s="528"/>
      <c r="E328" s="527"/>
      <c r="U328" s="668" t="s">
        <v>3080</v>
      </c>
      <c r="V328" s="669" t="s">
        <v>3081</v>
      </c>
      <c r="W328" s="68">
        <v>22.5</v>
      </c>
      <c r="IV328" s="577"/>
    </row>
    <row r="329" spans="1:256">
      <c r="A329" s="577">
        <v>115</v>
      </c>
      <c r="D329" s="528"/>
      <c r="E329" s="527"/>
      <c r="U329" s="668" t="s">
        <v>3082</v>
      </c>
      <c r="V329" s="669" t="s">
        <v>3083</v>
      </c>
      <c r="W329" s="68">
        <v>22.67</v>
      </c>
      <c r="IV329" s="577"/>
    </row>
    <row r="330" spans="1:256">
      <c r="A330" s="577">
        <v>116</v>
      </c>
      <c r="D330" s="528"/>
      <c r="E330" s="527"/>
      <c r="U330" s="668" t="s">
        <v>3084</v>
      </c>
      <c r="V330" s="669" t="s">
        <v>3085</v>
      </c>
      <c r="W330" s="68">
        <v>23</v>
      </c>
      <c r="IV330" s="577"/>
    </row>
    <row r="331" spans="1:256">
      <c r="A331" s="577">
        <v>117</v>
      </c>
      <c r="D331" s="528"/>
      <c r="E331" s="527"/>
      <c r="U331" s="668" t="s">
        <v>3086</v>
      </c>
      <c r="V331" s="669" t="s">
        <v>3087</v>
      </c>
      <c r="W331" s="68">
        <v>23.25</v>
      </c>
      <c r="IV331" s="577"/>
    </row>
    <row r="332" spans="1:256">
      <c r="A332" s="577">
        <v>118</v>
      </c>
      <c r="D332" s="528"/>
      <c r="E332" s="527"/>
      <c r="U332" s="668" t="s">
        <v>3088</v>
      </c>
      <c r="V332" s="669" t="s">
        <v>3089</v>
      </c>
      <c r="W332" s="68">
        <v>23.33</v>
      </c>
      <c r="IV332" s="577"/>
    </row>
    <row r="333" spans="1:256">
      <c r="A333" s="577">
        <v>119</v>
      </c>
      <c r="D333" s="528"/>
      <c r="E333" s="527"/>
      <c r="U333" s="668" t="s">
        <v>3090</v>
      </c>
      <c r="V333" s="669" t="s">
        <v>2692</v>
      </c>
      <c r="W333" s="68">
        <v>23.5</v>
      </c>
      <c r="IV333" s="577"/>
    </row>
    <row r="334" spans="1:256">
      <c r="A334" s="577">
        <v>120</v>
      </c>
      <c r="D334" s="528"/>
      <c r="E334" s="527"/>
      <c r="U334" s="668" t="s">
        <v>3091</v>
      </c>
      <c r="V334" s="669" t="s">
        <v>3092</v>
      </c>
      <c r="W334" s="68">
        <v>23.75</v>
      </c>
      <c r="IV334" s="577"/>
    </row>
    <row r="335" spans="1:256">
      <c r="A335" s="577">
        <v>121</v>
      </c>
      <c r="D335" s="528"/>
      <c r="E335" s="527"/>
      <c r="U335" s="668" t="s">
        <v>3093</v>
      </c>
      <c r="V335" s="669" t="s">
        <v>3094</v>
      </c>
      <c r="W335" s="68">
        <v>24</v>
      </c>
      <c r="IV335" s="577"/>
    </row>
    <row r="336" spans="1:256">
      <c r="A336" s="577">
        <v>122</v>
      </c>
      <c r="D336" s="528"/>
      <c r="E336" s="527"/>
      <c r="U336" s="668" t="s">
        <v>3095</v>
      </c>
      <c r="V336" s="669" t="s">
        <v>3096</v>
      </c>
      <c r="W336" s="68">
        <v>24.38</v>
      </c>
      <c r="IV336" s="577"/>
    </row>
    <row r="337" spans="1:256">
      <c r="A337" s="577">
        <v>123</v>
      </c>
      <c r="D337" s="528"/>
      <c r="E337" s="527"/>
      <c r="U337" s="668" t="s">
        <v>3097</v>
      </c>
      <c r="V337" s="669" t="s">
        <v>3098</v>
      </c>
      <c r="W337" s="68">
        <v>24.44</v>
      </c>
      <c r="IV337" s="577"/>
    </row>
    <row r="338" spans="1:256">
      <c r="A338" s="577">
        <v>124</v>
      </c>
      <c r="D338" s="528"/>
      <c r="E338" s="527"/>
      <c r="U338" s="668" t="s">
        <v>3099</v>
      </c>
      <c r="V338" s="669" t="s">
        <v>3100</v>
      </c>
      <c r="W338" s="68">
        <v>24.5</v>
      </c>
      <c r="IV338" s="577"/>
    </row>
    <row r="339" spans="1:256">
      <c r="A339" s="577">
        <v>125</v>
      </c>
      <c r="D339" s="528"/>
      <c r="E339" s="527"/>
      <c r="U339" s="668" t="s">
        <v>3101</v>
      </c>
      <c r="V339" s="669" t="s">
        <v>3102</v>
      </c>
      <c r="W339" s="68">
        <v>24.67</v>
      </c>
      <c r="IV339" s="577"/>
    </row>
    <row r="340" spans="1:256">
      <c r="A340" s="577">
        <v>126</v>
      </c>
      <c r="D340" s="528"/>
      <c r="E340" s="527"/>
      <c r="U340" s="668" t="s">
        <v>3103</v>
      </c>
      <c r="V340" s="669" t="s">
        <v>3104</v>
      </c>
      <c r="W340" s="68">
        <v>24.75</v>
      </c>
      <c r="IV340" s="577"/>
    </row>
    <row r="341" spans="1:256">
      <c r="A341" s="577">
        <v>127</v>
      </c>
      <c r="D341" s="528"/>
      <c r="E341" s="527"/>
      <c r="U341" s="668" t="s">
        <v>2696</v>
      </c>
      <c r="V341" s="669" t="s">
        <v>2695</v>
      </c>
      <c r="W341" s="68">
        <v>25</v>
      </c>
      <c r="IV341" s="577"/>
    </row>
    <row r="342" spans="1:256">
      <c r="A342" s="577">
        <v>128</v>
      </c>
      <c r="D342" s="528"/>
      <c r="E342" s="527"/>
      <c r="U342" s="668" t="s">
        <v>3018</v>
      </c>
      <c r="V342" s="669" t="s">
        <v>3019</v>
      </c>
      <c r="W342" s="68">
        <v>25.33</v>
      </c>
      <c r="IV342" s="577"/>
    </row>
    <row r="343" spans="1:256">
      <c r="A343" s="577">
        <v>129</v>
      </c>
      <c r="D343" s="528"/>
      <c r="E343" s="527"/>
      <c r="U343" s="668" t="s">
        <v>3105</v>
      </c>
      <c r="V343" s="669" t="s">
        <v>3106</v>
      </c>
      <c r="W343" s="68">
        <v>25.5</v>
      </c>
      <c r="IV343" s="577"/>
    </row>
    <row r="344" spans="1:256">
      <c r="A344" s="577">
        <v>130</v>
      </c>
      <c r="D344" s="528"/>
      <c r="E344" s="527"/>
      <c r="U344" s="668" t="s">
        <v>3107</v>
      </c>
      <c r="V344" s="669" t="s">
        <v>3108</v>
      </c>
      <c r="W344" s="68">
        <v>25.56</v>
      </c>
      <c r="IV344" s="577"/>
    </row>
    <row r="345" spans="1:256">
      <c r="A345" s="577">
        <v>131</v>
      </c>
      <c r="D345" s="528"/>
      <c r="E345" s="527"/>
      <c r="U345" s="668" t="s">
        <v>3109</v>
      </c>
      <c r="V345" s="669" t="s">
        <v>3110</v>
      </c>
      <c r="W345" s="68">
        <v>25.71</v>
      </c>
      <c r="IV345" s="577"/>
    </row>
    <row r="346" spans="1:256">
      <c r="A346" s="577">
        <v>132</v>
      </c>
      <c r="D346" s="528"/>
      <c r="E346" s="527"/>
      <c r="U346" s="668" t="s">
        <v>3111</v>
      </c>
      <c r="V346" s="669" t="s">
        <v>3112</v>
      </c>
      <c r="W346" s="68">
        <v>26</v>
      </c>
      <c r="IV346" s="577"/>
    </row>
    <row r="347" spans="1:256">
      <c r="A347" s="577">
        <v>133</v>
      </c>
      <c r="D347" s="528"/>
      <c r="E347" s="527"/>
      <c r="U347" s="668" t="s">
        <v>3113</v>
      </c>
      <c r="V347" s="669" t="s">
        <v>3114</v>
      </c>
      <c r="W347" s="68">
        <v>26.25</v>
      </c>
      <c r="IV347" s="577"/>
    </row>
    <row r="348" spans="1:256">
      <c r="A348" s="577">
        <v>134</v>
      </c>
      <c r="D348" s="528"/>
      <c r="E348" s="527"/>
      <c r="U348" s="668" t="s">
        <v>3115</v>
      </c>
      <c r="V348" s="669" t="s">
        <v>3116</v>
      </c>
      <c r="W348" s="68">
        <v>26.5</v>
      </c>
      <c r="IV348" s="577"/>
    </row>
    <row r="349" spans="1:256">
      <c r="A349" s="577">
        <v>135</v>
      </c>
      <c r="D349" s="528"/>
      <c r="E349" s="527"/>
      <c r="U349" s="668" t="s">
        <v>3117</v>
      </c>
      <c r="V349" s="669" t="s">
        <v>3118</v>
      </c>
      <c r="W349" s="68">
        <v>26.67</v>
      </c>
      <c r="IV349" s="577"/>
    </row>
    <row r="350" spans="1:256">
      <c r="A350" s="577">
        <v>136</v>
      </c>
      <c r="D350" s="528"/>
      <c r="E350" s="527"/>
      <c r="U350" s="668" t="s">
        <v>3119</v>
      </c>
      <c r="V350" s="669" t="s">
        <v>3120</v>
      </c>
      <c r="W350" s="68">
        <v>27</v>
      </c>
      <c r="IV350" s="577"/>
    </row>
    <row r="351" spans="1:256">
      <c r="A351" s="577">
        <v>137</v>
      </c>
      <c r="D351" s="528"/>
      <c r="E351" s="527"/>
      <c r="U351" s="668" t="s">
        <v>3121</v>
      </c>
      <c r="V351" s="669" t="s">
        <v>3122</v>
      </c>
      <c r="W351" s="68">
        <v>27.33</v>
      </c>
      <c r="IV351" s="577"/>
    </row>
    <row r="352" spans="1:256">
      <c r="A352" s="577">
        <v>138</v>
      </c>
      <c r="D352" s="528"/>
      <c r="E352" s="527"/>
      <c r="U352" s="668" t="s">
        <v>3066</v>
      </c>
      <c r="V352" s="669" t="s">
        <v>3067</v>
      </c>
      <c r="W352" s="68">
        <v>27.5</v>
      </c>
      <c r="IV352" s="577"/>
    </row>
    <row r="353" spans="1:256">
      <c r="A353" s="577">
        <v>139</v>
      </c>
      <c r="D353" s="528"/>
      <c r="E353" s="527"/>
      <c r="U353" s="668" t="s">
        <v>3123</v>
      </c>
      <c r="V353" s="669" t="s">
        <v>3124</v>
      </c>
      <c r="W353" s="68">
        <v>27.75</v>
      </c>
      <c r="IV353" s="577"/>
    </row>
    <row r="354" spans="1:256">
      <c r="A354" s="577">
        <v>140</v>
      </c>
      <c r="D354" s="528"/>
      <c r="E354" s="527"/>
      <c r="U354" s="668" t="s">
        <v>3125</v>
      </c>
      <c r="V354" s="669" t="s">
        <v>3126</v>
      </c>
      <c r="W354" s="68">
        <v>27.78</v>
      </c>
      <c r="IV354" s="577"/>
    </row>
    <row r="355" spans="1:256">
      <c r="A355" s="577">
        <v>141</v>
      </c>
      <c r="D355" s="528"/>
      <c r="E355" s="527"/>
      <c r="U355" s="668" t="s">
        <v>3127</v>
      </c>
      <c r="V355" s="669" t="s">
        <v>3128</v>
      </c>
      <c r="W355" s="68">
        <v>28</v>
      </c>
      <c r="IV355" s="577"/>
    </row>
    <row r="356" spans="1:256">
      <c r="A356" s="577">
        <v>142</v>
      </c>
      <c r="D356" s="528"/>
      <c r="E356" s="527"/>
      <c r="U356" s="668" t="s">
        <v>3129</v>
      </c>
      <c r="V356" s="669" t="s">
        <v>3130</v>
      </c>
      <c r="W356" s="68">
        <v>28.13</v>
      </c>
      <c r="IV356" s="577"/>
    </row>
    <row r="357" spans="1:256">
      <c r="A357" s="577">
        <v>143</v>
      </c>
      <c r="D357" s="528"/>
      <c r="E357" s="527"/>
      <c r="U357" s="668" t="s">
        <v>3131</v>
      </c>
      <c r="V357" s="669" t="s">
        <v>3132</v>
      </c>
      <c r="W357" s="68">
        <v>28.5</v>
      </c>
      <c r="IV357" s="577"/>
    </row>
    <row r="358" spans="1:256">
      <c r="A358" s="577">
        <v>144</v>
      </c>
      <c r="D358" s="528"/>
      <c r="E358" s="527"/>
      <c r="U358" s="668" t="s">
        <v>3133</v>
      </c>
      <c r="V358" s="669" t="s">
        <v>3134</v>
      </c>
      <c r="W358" s="68">
        <v>28.67</v>
      </c>
      <c r="IV358" s="577"/>
    </row>
    <row r="359" spans="1:256">
      <c r="A359" s="577">
        <v>145</v>
      </c>
      <c r="D359" s="528"/>
      <c r="E359" s="527"/>
      <c r="U359" s="668" t="s">
        <v>3135</v>
      </c>
      <c r="V359" s="669" t="s">
        <v>3136</v>
      </c>
      <c r="W359" s="68">
        <v>28.75</v>
      </c>
      <c r="IV359" s="577"/>
    </row>
    <row r="360" spans="1:256">
      <c r="A360" s="577">
        <v>146</v>
      </c>
      <c r="D360" s="528"/>
      <c r="E360" s="527"/>
      <c r="U360" s="668" t="s">
        <v>3137</v>
      </c>
      <c r="V360" s="669" t="s">
        <v>3138</v>
      </c>
      <c r="W360" s="68">
        <v>28.89</v>
      </c>
      <c r="IV360" s="577"/>
    </row>
    <row r="361" spans="1:256">
      <c r="A361" s="577">
        <v>147</v>
      </c>
      <c r="D361" s="528"/>
      <c r="E361" s="527"/>
      <c r="U361" s="668" t="s">
        <v>3139</v>
      </c>
      <c r="V361" s="669" t="s">
        <v>3140</v>
      </c>
      <c r="W361" s="68">
        <v>29</v>
      </c>
      <c r="IV361" s="577"/>
    </row>
    <row r="362" spans="1:256">
      <c r="A362" s="577">
        <v>148</v>
      </c>
      <c r="D362" s="528"/>
      <c r="E362" s="527"/>
      <c r="U362" s="668" t="s">
        <v>3141</v>
      </c>
      <c r="V362" s="669" t="s">
        <v>3142</v>
      </c>
      <c r="W362" s="68">
        <v>29.25</v>
      </c>
      <c r="IV362" s="577"/>
    </row>
    <row r="363" spans="1:256">
      <c r="A363" s="577">
        <v>149</v>
      </c>
      <c r="D363" s="528"/>
      <c r="E363" s="527"/>
      <c r="U363" s="668" t="s">
        <v>3143</v>
      </c>
      <c r="V363" s="669" t="s">
        <v>3144</v>
      </c>
      <c r="W363" s="68">
        <v>29.33</v>
      </c>
      <c r="IV363" s="577"/>
    </row>
    <row r="364" spans="1:256">
      <c r="A364" s="577">
        <v>150</v>
      </c>
      <c r="D364" s="528"/>
      <c r="E364" s="527"/>
      <c r="U364" s="668" t="s">
        <v>3145</v>
      </c>
      <c r="V364" s="669" t="s">
        <v>3146</v>
      </c>
      <c r="W364" s="68">
        <v>29.5</v>
      </c>
      <c r="IV364" s="577"/>
    </row>
    <row r="365" spans="1:256">
      <c r="A365" s="577"/>
      <c r="D365" s="528"/>
      <c r="E365" s="527"/>
      <c r="IV365" s="577"/>
    </row>
    <row r="366" spans="1:256">
      <c r="A366" s="577"/>
      <c r="D366" s="528"/>
      <c r="E366" s="527"/>
    </row>
    <row r="367" spans="1:256">
      <c r="A367" s="577"/>
    </row>
    <row r="368" spans="1:256" s="670" customFormat="1" ht="12.75">
      <c r="A368" s="527"/>
      <c r="B368" s="527"/>
      <c r="C368" s="527"/>
      <c r="D368" s="527"/>
      <c r="E368" s="528"/>
      <c r="F368" s="527"/>
      <c r="G368" s="527"/>
      <c r="H368" s="527"/>
      <c r="I368" s="527"/>
      <c r="J368" s="527"/>
      <c r="K368" s="527"/>
      <c r="L368" s="527"/>
      <c r="M368" s="527"/>
      <c r="N368" s="527"/>
      <c r="O368" s="527"/>
      <c r="P368" s="527"/>
      <c r="Q368" s="527"/>
      <c r="R368" s="527"/>
      <c r="S368" s="527"/>
      <c r="T368" s="527"/>
      <c r="U368" s="527"/>
      <c r="V368" s="527"/>
      <c r="W368" s="527"/>
      <c r="X368" s="527"/>
      <c r="Y368" s="527"/>
      <c r="Z368" s="529"/>
      <c r="AA368" s="529"/>
      <c r="AB368" s="527"/>
      <c r="AC368" s="527"/>
      <c r="AD368" s="527"/>
      <c r="AE368" s="527"/>
      <c r="AF368" s="527"/>
      <c r="AG368" s="527"/>
      <c r="AH368" s="527"/>
      <c r="AI368" s="527"/>
      <c r="AJ368" s="527"/>
      <c r="AK368" s="527"/>
      <c r="AL368" s="527"/>
      <c r="AM368" s="527"/>
      <c r="AN368" s="527"/>
      <c r="AO368" s="527"/>
      <c r="AP368" s="527"/>
      <c r="AQ368" s="527"/>
      <c r="AR368" s="527"/>
      <c r="AS368" s="527"/>
      <c r="BF368" s="671"/>
      <c r="BG368" s="671"/>
    </row>
    <row r="369" spans="1:59" s="670" customFormat="1" ht="12.75">
      <c r="A369" s="672" t="s">
        <v>3147</v>
      </c>
      <c r="B369" s="673" t="s">
        <v>3148</v>
      </c>
      <c r="C369" s="673" t="s">
        <v>2104</v>
      </c>
      <c r="D369" s="673"/>
      <c r="E369" s="673" t="s">
        <v>3149</v>
      </c>
      <c r="F369" s="673" t="s">
        <v>3150</v>
      </c>
      <c r="G369" s="673" t="s">
        <v>319</v>
      </c>
      <c r="H369" s="672"/>
      <c r="Z369" s="674"/>
      <c r="AA369" s="674"/>
      <c r="BF369" s="671"/>
      <c r="BG369" s="671"/>
    </row>
    <row r="370" spans="1:59" s="670" customFormat="1" ht="25.5">
      <c r="A370" s="672" t="s">
        <v>3151</v>
      </c>
      <c r="B370" s="673">
        <v>2</v>
      </c>
      <c r="C370" s="673">
        <v>3</v>
      </c>
      <c r="D370" s="673" t="s">
        <v>3152</v>
      </c>
      <c r="E370" s="673">
        <v>4</v>
      </c>
      <c r="F370" s="673">
        <v>5</v>
      </c>
      <c r="G370" s="675" t="s">
        <v>3153</v>
      </c>
      <c r="H370" s="676" t="s">
        <v>3154</v>
      </c>
      <c r="Z370" s="674"/>
      <c r="AA370" s="674"/>
      <c r="BF370" s="671"/>
      <c r="BG370" s="671"/>
    </row>
    <row r="371" spans="1:59" s="670" customFormat="1" ht="12.75">
      <c r="A371" s="677" t="s">
        <v>896</v>
      </c>
      <c r="B371" s="678" t="s">
        <v>896</v>
      </c>
      <c r="C371" s="678" t="s">
        <v>3155</v>
      </c>
      <c r="D371" s="678" t="s">
        <v>3156</v>
      </c>
      <c r="E371" s="678" t="s">
        <v>1751</v>
      </c>
      <c r="F371" s="678" t="s">
        <v>3157</v>
      </c>
      <c r="G371" s="678" t="s">
        <v>896</v>
      </c>
      <c r="H371" s="679" t="s">
        <v>961</v>
      </c>
      <c r="Z371" s="674"/>
      <c r="AA371" s="674"/>
      <c r="BF371" s="671"/>
      <c r="BG371" s="671"/>
    </row>
    <row r="372" spans="1:59" s="670" customFormat="1" ht="12.75">
      <c r="A372" s="677" t="s">
        <v>908</v>
      </c>
      <c r="B372" s="678" t="s">
        <v>951</v>
      </c>
      <c r="C372" s="678" t="s">
        <v>3158</v>
      </c>
      <c r="D372" s="678" t="s">
        <v>3159</v>
      </c>
      <c r="E372" s="678" t="s">
        <v>1682</v>
      </c>
      <c r="F372" s="678" t="s">
        <v>3160</v>
      </c>
      <c r="G372" s="678" t="s">
        <v>908</v>
      </c>
      <c r="H372" s="679" t="s">
        <v>969</v>
      </c>
      <c r="Z372" s="674"/>
      <c r="AA372" s="674"/>
      <c r="BF372" s="671"/>
      <c r="BG372" s="671"/>
    </row>
    <row r="373" spans="1:59" s="670" customFormat="1" ht="12.75">
      <c r="A373" s="677" t="s">
        <v>920</v>
      </c>
      <c r="B373" s="678" t="s">
        <v>997</v>
      </c>
      <c r="C373" s="678" t="s">
        <v>3161</v>
      </c>
      <c r="D373" s="678" t="s">
        <v>859</v>
      </c>
      <c r="E373" s="678" t="s">
        <v>1810</v>
      </c>
      <c r="F373" s="678" t="s">
        <v>3162</v>
      </c>
      <c r="G373" s="678" t="s">
        <v>931</v>
      </c>
      <c r="H373" s="679" t="s">
        <v>987</v>
      </c>
      <c r="Z373" s="674"/>
      <c r="AA373" s="674"/>
      <c r="BF373" s="671"/>
      <c r="BG373" s="671"/>
    </row>
    <row r="374" spans="1:59" s="670" customFormat="1" ht="12.75">
      <c r="A374" s="677" t="s">
        <v>931</v>
      </c>
      <c r="B374" s="678" t="s">
        <v>943</v>
      </c>
      <c r="C374" s="678" t="s">
        <v>3161</v>
      </c>
      <c r="D374" s="678" t="s">
        <v>3156</v>
      </c>
      <c r="E374" s="678" t="s">
        <v>1446</v>
      </c>
      <c r="F374" s="678" t="s">
        <v>3163</v>
      </c>
      <c r="G374" s="678" t="s">
        <v>961</v>
      </c>
      <c r="H374" s="679" t="s">
        <v>896</v>
      </c>
      <c r="Z374" s="674"/>
      <c r="AA374" s="674"/>
      <c r="BF374" s="671"/>
      <c r="BG374" s="671"/>
    </row>
    <row r="375" spans="1:59" s="670" customFormat="1" ht="12.75">
      <c r="A375" s="677" t="s">
        <v>943</v>
      </c>
      <c r="B375" s="678" t="s">
        <v>987</v>
      </c>
      <c r="C375" s="678" t="s">
        <v>3164</v>
      </c>
      <c r="D375" s="678" t="s">
        <v>859</v>
      </c>
      <c r="E375" s="678" t="s">
        <v>1682</v>
      </c>
      <c r="F375" s="678" t="s">
        <v>3165</v>
      </c>
      <c r="G375" s="678" t="s">
        <v>987</v>
      </c>
      <c r="H375" s="679" t="s">
        <v>931</v>
      </c>
      <c r="Z375" s="674"/>
      <c r="AA375" s="674"/>
      <c r="BF375" s="671"/>
      <c r="BG375" s="671"/>
    </row>
    <row r="376" spans="1:59" s="670" customFormat="1" ht="12.75">
      <c r="A376" s="677" t="s">
        <v>951</v>
      </c>
      <c r="B376" s="678" t="s">
        <v>920</v>
      </c>
      <c r="C376" s="678" t="s">
        <v>3158</v>
      </c>
      <c r="D376" s="678" t="s">
        <v>3166</v>
      </c>
      <c r="E376" s="678" t="s">
        <v>1682</v>
      </c>
      <c r="F376" s="678" t="s">
        <v>3167</v>
      </c>
      <c r="G376" s="678" t="s">
        <v>1006</v>
      </c>
      <c r="H376" s="679" t="s">
        <v>951</v>
      </c>
      <c r="Z376" s="674"/>
      <c r="AA376" s="674"/>
      <c r="BF376" s="671"/>
      <c r="BG376" s="671"/>
    </row>
    <row r="377" spans="1:59" s="670" customFormat="1" ht="12.75">
      <c r="A377" s="677" t="s">
        <v>961</v>
      </c>
      <c r="B377" s="678" t="s">
        <v>3168</v>
      </c>
      <c r="C377" s="678" t="s">
        <v>3169</v>
      </c>
      <c r="D377" s="678" t="s">
        <v>3170</v>
      </c>
      <c r="E377" s="678" t="s">
        <v>1538</v>
      </c>
      <c r="F377" s="678" t="s">
        <v>3171</v>
      </c>
      <c r="G377" s="678" t="s">
        <v>951</v>
      </c>
      <c r="H377" s="679" t="s">
        <v>1006</v>
      </c>
      <c r="Z377" s="674"/>
      <c r="AA377" s="674"/>
      <c r="BF377" s="671"/>
      <c r="BG377" s="671"/>
    </row>
    <row r="378" spans="1:59" s="670" customFormat="1" ht="12.75">
      <c r="A378" s="677" t="s">
        <v>969</v>
      </c>
      <c r="B378" s="678" t="s">
        <v>908</v>
      </c>
      <c r="C378" s="678" t="s">
        <v>3155</v>
      </c>
      <c r="D378" s="678" t="s">
        <v>859</v>
      </c>
      <c r="E378" s="678" t="s">
        <v>1613</v>
      </c>
      <c r="F378" s="678" t="s">
        <v>574</v>
      </c>
      <c r="G378" s="678" t="s">
        <v>969</v>
      </c>
      <c r="H378" s="679" t="s">
        <v>908</v>
      </c>
      <c r="Z378" s="674"/>
      <c r="AA378" s="674"/>
      <c r="BF378" s="671"/>
      <c r="BG378" s="671"/>
    </row>
    <row r="379" spans="1:59" s="670" customFormat="1" ht="12.75">
      <c r="A379" s="677" t="s">
        <v>3168</v>
      </c>
      <c r="B379" s="678" t="s">
        <v>1006</v>
      </c>
      <c r="C379" s="678" t="s">
        <v>3164</v>
      </c>
      <c r="D379" s="678" t="s">
        <v>830</v>
      </c>
      <c r="E379" s="678" t="s">
        <v>1613</v>
      </c>
      <c r="F379" s="678" t="s">
        <v>3172</v>
      </c>
      <c r="G379" s="678" t="s">
        <v>3168</v>
      </c>
      <c r="H379" s="679" t="s">
        <v>920</v>
      </c>
      <c r="Z379" s="674"/>
      <c r="AA379" s="674"/>
      <c r="BF379" s="671"/>
      <c r="BG379" s="671"/>
    </row>
    <row r="380" spans="1:59" s="670" customFormat="1" ht="12.75">
      <c r="A380" s="677" t="s">
        <v>987</v>
      </c>
      <c r="B380" s="678" t="s">
        <v>943</v>
      </c>
      <c r="C380" s="678" t="s">
        <v>3169</v>
      </c>
      <c r="D380" s="678" t="s">
        <v>3170</v>
      </c>
      <c r="E380" s="678" t="s">
        <v>1359</v>
      </c>
      <c r="F380" s="678" t="s">
        <v>641</v>
      </c>
      <c r="G380" s="678" t="s">
        <v>997</v>
      </c>
      <c r="H380" s="679" t="s">
        <v>943</v>
      </c>
      <c r="Z380" s="674"/>
      <c r="AA380" s="674"/>
      <c r="BF380" s="671"/>
      <c r="BG380" s="671"/>
    </row>
    <row r="381" spans="1:59" s="670" customFormat="1" ht="12.75">
      <c r="A381" s="677" t="s">
        <v>997</v>
      </c>
      <c r="B381" s="678" t="s">
        <v>3168</v>
      </c>
      <c r="C381" s="678" t="s">
        <v>3164</v>
      </c>
      <c r="D381" s="678" t="s">
        <v>3159</v>
      </c>
      <c r="E381" s="678" t="s">
        <v>1538</v>
      </c>
      <c r="F381" s="678" t="s">
        <v>557</v>
      </c>
      <c r="G381" s="678" t="s">
        <v>920</v>
      </c>
      <c r="H381" s="679" t="s">
        <v>3168</v>
      </c>
      <c r="Z381" s="674"/>
      <c r="AA381" s="674"/>
      <c r="BF381" s="671"/>
      <c r="BG381" s="671"/>
    </row>
    <row r="382" spans="1:59" s="553" customFormat="1" ht="12.75">
      <c r="A382" s="680" t="s">
        <v>1006</v>
      </c>
      <c r="B382" s="681" t="s">
        <v>997</v>
      </c>
      <c r="C382" s="681" t="s">
        <v>3158</v>
      </c>
      <c r="D382" s="681" t="s">
        <v>3170</v>
      </c>
      <c r="E382" s="681" t="s">
        <v>1613</v>
      </c>
      <c r="F382" s="681" t="s">
        <v>3173</v>
      </c>
      <c r="G382" s="681" t="s">
        <v>943</v>
      </c>
      <c r="H382" s="682" t="s">
        <v>997</v>
      </c>
      <c r="I382" s="670"/>
      <c r="J382" s="670"/>
      <c r="K382" s="670"/>
      <c r="L382" s="670"/>
      <c r="M382" s="670"/>
      <c r="N382" s="670"/>
      <c r="O382" s="670"/>
      <c r="P382" s="670"/>
      <c r="Q382" s="670"/>
      <c r="R382" s="670"/>
      <c r="S382" s="670"/>
      <c r="T382" s="670"/>
      <c r="U382" s="670"/>
      <c r="V382" s="670"/>
      <c r="W382" s="670"/>
      <c r="X382" s="670"/>
      <c r="Y382" s="670"/>
      <c r="Z382" s="674"/>
      <c r="AA382" s="674"/>
      <c r="AB382" s="670"/>
      <c r="AC382" s="670"/>
      <c r="AD382" s="670"/>
      <c r="AE382" s="670"/>
      <c r="AF382" s="670"/>
      <c r="AG382" s="670"/>
      <c r="AH382" s="670"/>
      <c r="AI382" s="670"/>
      <c r="AJ382" s="670"/>
      <c r="AK382" s="670"/>
      <c r="AL382" s="670"/>
      <c r="AM382" s="670"/>
      <c r="AN382" s="670"/>
      <c r="AO382" s="670"/>
      <c r="AP382" s="670"/>
      <c r="AQ382" s="670"/>
      <c r="AR382" s="670"/>
      <c r="AS382" s="670"/>
      <c r="BF382" s="671"/>
      <c r="BG382" s="671"/>
    </row>
    <row r="383" spans="1:59">
      <c r="A383" s="553"/>
      <c r="B383" s="553"/>
      <c r="C383" s="553"/>
      <c r="D383" s="553"/>
      <c r="E383" s="683"/>
      <c r="F383" s="553"/>
      <c r="G383" s="553"/>
      <c r="H383" s="553"/>
      <c r="I383" s="553"/>
      <c r="J383" s="553"/>
      <c r="K383" s="553"/>
      <c r="L383" s="553"/>
      <c r="M383" s="553"/>
      <c r="N383" s="553"/>
      <c r="O383" s="553"/>
      <c r="P383" s="553"/>
      <c r="Q383" s="553"/>
      <c r="R383" s="553"/>
      <c r="S383" s="553"/>
      <c r="T383" s="553"/>
      <c r="U383" s="553"/>
      <c r="V383" s="553"/>
      <c r="W383" s="553"/>
      <c r="X383" s="553"/>
      <c r="Y383" s="553"/>
      <c r="Z383" s="674"/>
      <c r="AA383" s="674"/>
      <c r="AB383" s="553"/>
      <c r="AC383" s="553"/>
      <c r="AD383" s="553"/>
      <c r="AE383" s="553"/>
      <c r="AF383" s="553"/>
      <c r="AG383" s="553"/>
      <c r="AH383" s="553"/>
      <c r="AI383" s="553"/>
      <c r="AJ383" s="553"/>
      <c r="AK383" s="553"/>
      <c r="AL383" s="553"/>
      <c r="AM383" s="553"/>
      <c r="AN383" s="553"/>
      <c r="AO383" s="553"/>
      <c r="AP383" s="553"/>
      <c r="AQ383" s="553"/>
      <c r="AR383" s="553"/>
      <c r="AS383" s="553"/>
    </row>
    <row r="384" spans="1:59" hidden="1">
      <c r="A384" s="684" t="s">
        <v>3174</v>
      </c>
      <c r="B384" s="685" t="s">
        <v>3175</v>
      </c>
      <c r="C384" s="685" t="s">
        <v>3176</v>
      </c>
      <c r="D384" s="685" t="s">
        <v>3177</v>
      </c>
      <c r="E384" s="685" t="s">
        <v>3178</v>
      </c>
      <c r="F384" s="685" t="s">
        <v>3179</v>
      </c>
      <c r="G384" s="685" t="s">
        <v>3180</v>
      </c>
      <c r="H384" s="685" t="s">
        <v>3181</v>
      </c>
      <c r="I384" s="685" t="s">
        <v>3182</v>
      </c>
      <c r="J384" s="685" t="s">
        <v>3183</v>
      </c>
      <c r="K384" s="685" t="s">
        <v>3184</v>
      </c>
      <c r="L384" s="685" t="s">
        <v>3185</v>
      </c>
      <c r="M384" s="686" t="s">
        <v>3186</v>
      </c>
    </row>
    <row r="385" spans="1:13">
      <c r="A385" s="687" t="s">
        <v>3187</v>
      </c>
      <c r="B385" s="688" t="s">
        <v>3188</v>
      </c>
      <c r="C385" s="688" t="s">
        <v>3189</v>
      </c>
      <c r="D385" s="688" t="s">
        <v>3190</v>
      </c>
      <c r="E385" s="688" t="s">
        <v>3191</v>
      </c>
      <c r="F385" s="688" t="s">
        <v>3192</v>
      </c>
      <c r="G385" s="688" t="s">
        <v>3193</v>
      </c>
      <c r="H385" s="688" t="s">
        <v>3194</v>
      </c>
      <c r="I385" s="688" t="s">
        <v>3195</v>
      </c>
      <c r="J385" s="688" t="s">
        <v>3196</v>
      </c>
      <c r="K385" s="688" t="s">
        <v>3197</v>
      </c>
      <c r="L385" s="688" t="s">
        <v>3198</v>
      </c>
      <c r="M385" s="689" t="s">
        <v>3199</v>
      </c>
    </row>
    <row r="386" spans="1:13" hidden="1">
      <c r="A386" s="690" t="s">
        <v>3200</v>
      </c>
      <c r="B386" s="691" t="s">
        <v>3201</v>
      </c>
      <c r="C386" s="691" t="s">
        <v>3202</v>
      </c>
      <c r="D386" s="691" t="s">
        <v>3203</v>
      </c>
      <c r="E386" s="691" t="s">
        <v>3204</v>
      </c>
      <c r="F386" s="691" t="s">
        <v>3205</v>
      </c>
      <c r="G386" s="691" t="s">
        <v>3206</v>
      </c>
      <c r="H386" s="691" t="s">
        <v>3207</v>
      </c>
      <c r="I386" s="691" t="s">
        <v>3208</v>
      </c>
      <c r="J386" s="691" t="s">
        <v>3209</v>
      </c>
      <c r="K386" s="691" t="s">
        <v>3210</v>
      </c>
      <c r="L386" s="691" t="s">
        <v>3211</v>
      </c>
      <c r="M386" s="692" t="s">
        <v>3212</v>
      </c>
    </row>
    <row r="387" spans="1:13">
      <c r="A387" s="693" t="s">
        <v>3213</v>
      </c>
      <c r="B387" s="694" t="s">
        <v>3214</v>
      </c>
      <c r="C387" s="694" t="s">
        <v>3215</v>
      </c>
      <c r="D387" s="694" t="s">
        <v>3216</v>
      </c>
      <c r="E387" s="694" t="s">
        <v>3217</v>
      </c>
      <c r="F387" s="694" t="s">
        <v>3218</v>
      </c>
      <c r="G387" s="694" t="s">
        <v>3219</v>
      </c>
      <c r="H387" s="694" t="s">
        <v>3220</v>
      </c>
      <c r="I387" s="694" t="s">
        <v>3221</v>
      </c>
      <c r="J387" s="694" t="s">
        <v>3222</v>
      </c>
      <c r="K387" s="694" t="s">
        <v>3223</v>
      </c>
      <c r="L387" s="694" t="s">
        <v>3224</v>
      </c>
      <c r="M387" s="695" t="s">
        <v>3225</v>
      </c>
    </row>
    <row r="388" spans="1:13" hidden="1">
      <c r="A388" s="690" t="s">
        <v>3226</v>
      </c>
      <c r="B388" s="696">
        <v>40549</v>
      </c>
      <c r="C388" s="696">
        <v>42134</v>
      </c>
      <c r="D388" s="696">
        <v>40946</v>
      </c>
      <c r="E388" s="696">
        <v>40946</v>
      </c>
      <c r="F388" s="696">
        <v>41341</v>
      </c>
      <c r="G388" s="696">
        <v>42134</v>
      </c>
      <c r="H388" s="696">
        <v>41738</v>
      </c>
      <c r="I388" s="696">
        <v>40549</v>
      </c>
      <c r="J388" s="696">
        <v>41341</v>
      </c>
      <c r="K388" s="696">
        <v>41738</v>
      </c>
      <c r="L388" s="696">
        <v>41341</v>
      </c>
      <c r="M388" s="697">
        <v>42134</v>
      </c>
    </row>
    <row r="389" spans="1:13">
      <c r="A389" s="693" t="s">
        <v>3227</v>
      </c>
      <c r="B389" s="698" t="s">
        <v>3155</v>
      </c>
      <c r="C389" s="698" t="s">
        <v>3228</v>
      </c>
      <c r="D389" s="698" t="s">
        <v>3161</v>
      </c>
      <c r="E389" s="698" t="s">
        <v>3161</v>
      </c>
      <c r="F389" s="698" t="s">
        <v>3164</v>
      </c>
      <c r="G389" s="698" t="s">
        <v>3228</v>
      </c>
      <c r="H389" s="698" t="s">
        <v>3229</v>
      </c>
      <c r="I389" s="698" t="s">
        <v>3155</v>
      </c>
      <c r="J389" s="698" t="s">
        <v>3164</v>
      </c>
      <c r="K389" s="698" t="s">
        <v>3229</v>
      </c>
      <c r="L389" s="698" t="s">
        <v>3164</v>
      </c>
      <c r="M389" s="699" t="s">
        <v>3228</v>
      </c>
    </row>
    <row r="390" spans="1:13" hidden="1">
      <c r="A390" s="690" t="s">
        <v>3230</v>
      </c>
      <c r="B390" s="691" t="s">
        <v>3231</v>
      </c>
      <c r="C390" s="691" t="s">
        <v>3232</v>
      </c>
      <c r="D390" s="691" t="s">
        <v>3233</v>
      </c>
      <c r="E390" s="691" t="s">
        <v>3234</v>
      </c>
      <c r="F390" s="691" t="s">
        <v>3232</v>
      </c>
      <c r="G390" s="691" t="s">
        <v>3232</v>
      </c>
      <c r="H390" s="691" t="s">
        <v>3235</v>
      </c>
      <c r="I390" s="691" t="s">
        <v>3236</v>
      </c>
      <c r="J390" s="691" t="s">
        <v>3236</v>
      </c>
      <c r="K390" s="691" t="s">
        <v>3237</v>
      </c>
      <c r="L390" s="691" t="s">
        <v>3235</v>
      </c>
      <c r="M390" s="692" t="s">
        <v>3236</v>
      </c>
    </row>
    <row r="391" spans="1:13" ht="30">
      <c r="A391" s="693" t="s">
        <v>3238</v>
      </c>
      <c r="B391" s="694" t="s">
        <v>3239</v>
      </c>
      <c r="C391" s="694" t="s">
        <v>3240</v>
      </c>
      <c r="D391" s="694" t="s">
        <v>3241</v>
      </c>
      <c r="E391" s="694" t="s">
        <v>3242</v>
      </c>
      <c r="F391" s="694" t="s">
        <v>3240</v>
      </c>
      <c r="G391" s="694" t="s">
        <v>3240</v>
      </c>
      <c r="H391" s="694" t="s">
        <v>3243</v>
      </c>
      <c r="I391" s="694" t="s">
        <v>3244</v>
      </c>
      <c r="J391" s="694" t="s">
        <v>3244</v>
      </c>
      <c r="K391" s="694" t="s">
        <v>3245</v>
      </c>
      <c r="L391" s="694" t="s">
        <v>3243</v>
      </c>
      <c r="M391" s="695" t="s">
        <v>3244</v>
      </c>
    </row>
    <row r="392" spans="1:13" hidden="1">
      <c r="A392" s="690" t="s">
        <v>3246</v>
      </c>
      <c r="B392" s="691" t="s">
        <v>3247</v>
      </c>
      <c r="C392" s="691" t="s">
        <v>3248</v>
      </c>
      <c r="D392" s="691" t="s">
        <v>3249</v>
      </c>
      <c r="E392" s="691" t="s">
        <v>3250</v>
      </c>
      <c r="F392" s="691" t="s">
        <v>3251</v>
      </c>
      <c r="G392" s="691" t="s">
        <v>3252</v>
      </c>
      <c r="H392" s="691" t="s">
        <v>3253</v>
      </c>
      <c r="I392" s="691" t="s">
        <v>3254</v>
      </c>
      <c r="J392" s="691" t="s">
        <v>3255</v>
      </c>
      <c r="K392" s="691" t="s">
        <v>3256</v>
      </c>
      <c r="L392" s="691" t="s">
        <v>3257</v>
      </c>
      <c r="M392" s="692" t="s">
        <v>3258</v>
      </c>
    </row>
    <row r="393" spans="1:13" ht="30">
      <c r="A393" s="693" t="s">
        <v>3259</v>
      </c>
      <c r="B393" s="694" t="s">
        <v>3260</v>
      </c>
      <c r="C393" s="694" t="s">
        <v>3261</v>
      </c>
      <c r="D393" s="694" t="s">
        <v>3262</v>
      </c>
      <c r="E393" s="694" t="s">
        <v>3263</v>
      </c>
      <c r="F393" s="694" t="s">
        <v>3264</v>
      </c>
      <c r="G393" s="694" t="s">
        <v>3265</v>
      </c>
      <c r="H393" s="694" t="s">
        <v>3266</v>
      </c>
      <c r="I393" s="694" t="s">
        <v>3267</v>
      </c>
      <c r="J393" s="694" t="s">
        <v>3268</v>
      </c>
      <c r="K393" s="694" t="s">
        <v>3269</v>
      </c>
      <c r="L393" s="694" t="s">
        <v>3270</v>
      </c>
      <c r="M393" s="695" t="s">
        <v>3271</v>
      </c>
    </row>
    <row r="394" spans="1:13" hidden="1">
      <c r="A394" s="690" t="s">
        <v>3272</v>
      </c>
      <c r="B394" s="691" t="s">
        <v>3273</v>
      </c>
      <c r="C394" s="691" t="s">
        <v>3274</v>
      </c>
      <c r="D394" s="691" t="s">
        <v>3275</v>
      </c>
      <c r="E394" s="691" t="s">
        <v>3276</v>
      </c>
      <c r="F394" s="691" t="s">
        <v>3277</v>
      </c>
      <c r="G394" s="691" t="s">
        <v>3274</v>
      </c>
      <c r="H394" s="691" t="s">
        <v>3274</v>
      </c>
      <c r="I394" s="691" t="s">
        <v>3278</v>
      </c>
      <c r="J394" s="691" t="s">
        <v>3279</v>
      </c>
      <c r="K394" s="691" t="s">
        <v>3280</v>
      </c>
      <c r="L394" s="691" t="s">
        <v>3281</v>
      </c>
      <c r="M394" s="692" t="s">
        <v>3279</v>
      </c>
    </row>
    <row r="395" spans="1:13">
      <c r="A395" s="693" t="s">
        <v>3282</v>
      </c>
      <c r="B395" s="694" t="s">
        <v>3283</v>
      </c>
      <c r="C395" s="694" t="s">
        <v>3284</v>
      </c>
      <c r="D395" s="694" t="s">
        <v>3285</v>
      </c>
      <c r="E395" s="694" t="s">
        <v>3286</v>
      </c>
      <c r="F395" s="694" t="s">
        <v>3287</v>
      </c>
      <c r="G395" s="694" t="s">
        <v>3284</v>
      </c>
      <c r="H395" s="694" t="s">
        <v>3284</v>
      </c>
      <c r="I395" s="694" t="s">
        <v>3288</v>
      </c>
      <c r="J395" s="694" t="s">
        <v>3289</v>
      </c>
      <c r="K395" s="694" t="s">
        <v>3290</v>
      </c>
      <c r="L395" s="694" t="s">
        <v>3291</v>
      </c>
      <c r="M395" s="695" t="s">
        <v>3289</v>
      </c>
    </row>
    <row r="396" spans="1:13" hidden="1">
      <c r="A396" s="690" t="s">
        <v>3292</v>
      </c>
      <c r="B396" s="691" t="s">
        <v>2107</v>
      </c>
      <c r="C396" s="691" t="s">
        <v>3293</v>
      </c>
      <c r="D396" s="691" t="s">
        <v>2115</v>
      </c>
      <c r="E396" s="691" t="s">
        <v>3294</v>
      </c>
      <c r="F396" s="691" t="s">
        <v>2107</v>
      </c>
      <c r="G396" s="691" t="s">
        <v>2115</v>
      </c>
      <c r="H396" s="691" t="s">
        <v>2119</v>
      </c>
      <c r="I396" s="691" t="s">
        <v>3295</v>
      </c>
      <c r="J396" s="691" t="s">
        <v>2119</v>
      </c>
      <c r="K396" s="691" t="s">
        <v>3293</v>
      </c>
      <c r="L396" s="691" t="s">
        <v>2149</v>
      </c>
      <c r="M396" s="692" t="s">
        <v>3296</v>
      </c>
    </row>
    <row r="397" spans="1:13">
      <c r="A397" s="693" t="s">
        <v>3297</v>
      </c>
      <c r="B397" s="694" t="s">
        <v>2108</v>
      </c>
      <c r="C397" s="694" t="s">
        <v>3298</v>
      </c>
      <c r="D397" s="694" t="s">
        <v>2116</v>
      </c>
      <c r="E397" s="694" t="s">
        <v>3299</v>
      </c>
      <c r="F397" s="694" t="s">
        <v>2108</v>
      </c>
      <c r="G397" s="694" t="s">
        <v>2116</v>
      </c>
      <c r="H397" s="694" t="s">
        <v>2120</v>
      </c>
      <c r="I397" s="694" t="s">
        <v>3300</v>
      </c>
      <c r="J397" s="694" t="s">
        <v>2120</v>
      </c>
      <c r="K397" s="694" t="s">
        <v>3298</v>
      </c>
      <c r="L397" s="694" t="s">
        <v>2150</v>
      </c>
      <c r="M397" s="695" t="s">
        <v>3301</v>
      </c>
    </row>
    <row r="398" spans="1:13" hidden="1">
      <c r="A398" s="690" t="s">
        <v>3302</v>
      </c>
      <c r="B398" s="700">
        <v>1</v>
      </c>
      <c r="C398" s="700">
        <v>4</v>
      </c>
      <c r="D398" s="700">
        <v>3</v>
      </c>
      <c r="E398" s="700">
        <v>5</v>
      </c>
      <c r="F398" s="700">
        <v>5</v>
      </c>
      <c r="G398" s="700">
        <v>5</v>
      </c>
      <c r="H398" s="700">
        <v>4</v>
      </c>
      <c r="I398" s="700">
        <v>1</v>
      </c>
      <c r="J398" s="700">
        <v>1</v>
      </c>
      <c r="K398" s="700">
        <v>4</v>
      </c>
      <c r="L398" s="700">
        <v>3</v>
      </c>
      <c r="M398" s="701">
        <v>4</v>
      </c>
    </row>
    <row r="399" spans="1:13">
      <c r="A399" s="693" t="s">
        <v>3303</v>
      </c>
      <c r="B399" s="702">
        <v>1</v>
      </c>
      <c r="C399" s="702">
        <v>4</v>
      </c>
      <c r="D399" s="702">
        <v>3</v>
      </c>
      <c r="E399" s="702">
        <v>5</v>
      </c>
      <c r="F399" s="702">
        <v>5</v>
      </c>
      <c r="G399" s="702">
        <v>5</v>
      </c>
      <c r="H399" s="702">
        <v>4</v>
      </c>
      <c r="I399" s="702">
        <v>1</v>
      </c>
      <c r="J399" s="702">
        <v>1</v>
      </c>
      <c r="K399" s="702">
        <v>4</v>
      </c>
      <c r="L399" s="702">
        <v>3</v>
      </c>
      <c r="M399" s="703">
        <v>4</v>
      </c>
    </row>
    <row r="400" spans="1:13" ht="30" hidden="1">
      <c r="A400" s="690" t="s">
        <v>3304</v>
      </c>
      <c r="B400" s="691" t="s">
        <v>3305</v>
      </c>
      <c r="C400" s="691" t="s">
        <v>3306</v>
      </c>
      <c r="D400" s="691" t="s">
        <v>3185</v>
      </c>
      <c r="E400" s="691" t="s">
        <v>3307</v>
      </c>
      <c r="F400" s="691" t="s">
        <v>3184</v>
      </c>
      <c r="G400" s="691" t="s">
        <v>3177</v>
      </c>
      <c r="H400" s="691" t="s">
        <v>3183</v>
      </c>
      <c r="I400" s="691" t="s">
        <v>3308</v>
      </c>
      <c r="J400" s="691" t="s">
        <v>3186</v>
      </c>
      <c r="K400" s="691" t="s">
        <v>3307</v>
      </c>
      <c r="L400" s="691" t="s">
        <v>3183</v>
      </c>
      <c r="M400" s="692" t="s">
        <v>3309</v>
      </c>
    </row>
    <row r="401" spans="1:27" ht="30">
      <c r="A401" s="693" t="s">
        <v>3310</v>
      </c>
      <c r="B401" s="694" t="s">
        <v>3311</v>
      </c>
      <c r="C401" s="694" t="s">
        <v>3312</v>
      </c>
      <c r="D401" s="694" t="s">
        <v>3198</v>
      </c>
      <c r="E401" s="694" t="s">
        <v>3313</v>
      </c>
      <c r="F401" s="694" t="s">
        <v>3197</v>
      </c>
      <c r="G401" s="694" t="s">
        <v>3190</v>
      </c>
      <c r="H401" s="694" t="s">
        <v>3196</v>
      </c>
      <c r="I401" s="694" t="s">
        <v>3314</v>
      </c>
      <c r="J401" s="694" t="s">
        <v>3199</v>
      </c>
      <c r="K401" s="694" t="s">
        <v>3313</v>
      </c>
      <c r="L401" s="694" t="s">
        <v>3196</v>
      </c>
      <c r="M401" s="695" t="s">
        <v>3315</v>
      </c>
    </row>
    <row r="402" spans="1:27" hidden="1">
      <c r="A402" s="690" t="s">
        <v>3316</v>
      </c>
      <c r="B402" s="691" t="s">
        <v>3305</v>
      </c>
      <c r="C402" s="691" t="s">
        <v>3183</v>
      </c>
      <c r="D402" s="691" t="s">
        <v>3183</v>
      </c>
      <c r="E402" s="691" t="s">
        <v>3186</v>
      </c>
      <c r="F402" s="691" t="s">
        <v>3182</v>
      </c>
      <c r="G402" s="691" t="s">
        <v>3182</v>
      </c>
      <c r="H402" s="691" t="s">
        <v>3186</v>
      </c>
      <c r="I402" s="691" t="s">
        <v>3183</v>
      </c>
      <c r="J402" s="691" t="s">
        <v>3306</v>
      </c>
      <c r="K402" s="691" t="s">
        <v>3182</v>
      </c>
      <c r="L402" s="691" t="s">
        <v>3177</v>
      </c>
      <c r="M402" s="692" t="s">
        <v>3309</v>
      </c>
    </row>
    <row r="403" spans="1:27" ht="30">
      <c r="A403" s="704" t="s">
        <v>3317</v>
      </c>
      <c r="B403" s="705" t="s">
        <v>3311</v>
      </c>
      <c r="C403" s="705" t="s">
        <v>3196</v>
      </c>
      <c r="D403" s="705" t="s">
        <v>3196</v>
      </c>
      <c r="E403" s="705" t="s">
        <v>3199</v>
      </c>
      <c r="F403" s="705" t="s">
        <v>3195</v>
      </c>
      <c r="G403" s="705" t="s">
        <v>3195</v>
      </c>
      <c r="H403" s="705" t="s">
        <v>3199</v>
      </c>
      <c r="I403" s="705" t="s">
        <v>3196</v>
      </c>
      <c r="J403" s="705" t="s">
        <v>3312</v>
      </c>
      <c r="K403" s="705" t="s">
        <v>3195</v>
      </c>
      <c r="L403" s="705" t="s">
        <v>3190</v>
      </c>
      <c r="M403" s="706" t="s">
        <v>3315</v>
      </c>
    </row>
    <row r="405" spans="1:27" ht="30">
      <c r="A405" s="707" t="s">
        <v>3174</v>
      </c>
      <c r="B405" s="708" t="s">
        <v>3187</v>
      </c>
      <c r="C405" s="709" t="s">
        <v>3200</v>
      </c>
      <c r="D405" s="708" t="s">
        <v>3213</v>
      </c>
      <c r="E405" s="709" t="s">
        <v>3226</v>
      </c>
      <c r="F405" s="708" t="s">
        <v>3227</v>
      </c>
      <c r="G405" s="709" t="s">
        <v>3230</v>
      </c>
      <c r="H405" s="708" t="s">
        <v>3238</v>
      </c>
      <c r="I405" s="709" t="s">
        <v>3246</v>
      </c>
      <c r="J405" s="708" t="s">
        <v>3259</v>
      </c>
      <c r="K405" s="709" t="s">
        <v>3272</v>
      </c>
      <c r="L405" s="708" t="s">
        <v>3282</v>
      </c>
      <c r="M405" s="709" t="s">
        <v>3292</v>
      </c>
      <c r="N405" s="708" t="s">
        <v>3297</v>
      </c>
      <c r="O405" s="709" t="s">
        <v>3302</v>
      </c>
      <c r="P405" s="708" t="s">
        <v>3303</v>
      </c>
      <c r="Q405" s="709" t="s">
        <v>3304</v>
      </c>
      <c r="R405" s="708" t="s">
        <v>3310</v>
      </c>
      <c r="S405" s="709" t="s">
        <v>3316</v>
      </c>
      <c r="T405" s="710" t="s">
        <v>3317</v>
      </c>
      <c r="Z405" s="527"/>
      <c r="AA405" s="527"/>
    </row>
    <row r="406" spans="1:27">
      <c r="A406" s="685" t="s">
        <v>3175</v>
      </c>
      <c r="B406" s="694" t="s">
        <v>3188</v>
      </c>
      <c r="C406" s="691" t="s">
        <v>3201</v>
      </c>
      <c r="D406" s="694" t="s">
        <v>3214</v>
      </c>
      <c r="E406" s="696">
        <v>40549</v>
      </c>
      <c r="F406" s="711">
        <v>40549</v>
      </c>
      <c r="G406" s="691" t="s">
        <v>3231</v>
      </c>
      <c r="H406" s="694" t="s">
        <v>3239</v>
      </c>
      <c r="I406" s="691" t="s">
        <v>3247</v>
      </c>
      <c r="J406" s="694" t="s">
        <v>3260</v>
      </c>
      <c r="K406" s="691" t="s">
        <v>3273</v>
      </c>
      <c r="L406" s="694" t="s">
        <v>3283</v>
      </c>
      <c r="M406" s="691" t="s">
        <v>2107</v>
      </c>
      <c r="N406" s="694" t="s">
        <v>2108</v>
      </c>
      <c r="O406" s="700">
        <v>1</v>
      </c>
      <c r="P406" s="702">
        <v>1</v>
      </c>
      <c r="Q406" s="691" t="s">
        <v>3305</v>
      </c>
      <c r="R406" s="694" t="s">
        <v>3311</v>
      </c>
      <c r="S406" s="691" t="s">
        <v>3305</v>
      </c>
      <c r="T406" s="705" t="s">
        <v>3311</v>
      </c>
      <c r="Z406" s="527"/>
      <c r="AA406" s="527"/>
    </row>
    <row r="407" spans="1:27">
      <c r="A407" s="685" t="s">
        <v>3176</v>
      </c>
      <c r="B407" s="694" t="s">
        <v>3189</v>
      </c>
      <c r="C407" s="691" t="s">
        <v>3202</v>
      </c>
      <c r="D407" s="694" t="s">
        <v>3215</v>
      </c>
      <c r="E407" s="696">
        <v>42134</v>
      </c>
      <c r="F407" s="711">
        <v>42134</v>
      </c>
      <c r="G407" s="691" t="s">
        <v>3232</v>
      </c>
      <c r="H407" s="694" t="s">
        <v>3240</v>
      </c>
      <c r="I407" s="691" t="s">
        <v>3248</v>
      </c>
      <c r="J407" s="694" t="s">
        <v>3261</v>
      </c>
      <c r="K407" s="691" t="s">
        <v>3274</v>
      </c>
      <c r="L407" s="694" t="s">
        <v>3284</v>
      </c>
      <c r="M407" s="691" t="s">
        <v>3293</v>
      </c>
      <c r="N407" s="694" t="s">
        <v>3298</v>
      </c>
      <c r="O407" s="700">
        <v>4</v>
      </c>
      <c r="P407" s="702">
        <v>4</v>
      </c>
      <c r="Q407" s="691" t="s">
        <v>3306</v>
      </c>
      <c r="R407" s="694" t="s">
        <v>3312</v>
      </c>
      <c r="S407" s="691" t="s">
        <v>3183</v>
      </c>
      <c r="T407" s="705" t="s">
        <v>3196</v>
      </c>
      <c r="Z407" s="527"/>
      <c r="AA407" s="527"/>
    </row>
    <row r="408" spans="1:27">
      <c r="A408" s="685" t="s">
        <v>3177</v>
      </c>
      <c r="B408" s="694" t="s">
        <v>3190</v>
      </c>
      <c r="C408" s="691" t="s">
        <v>3203</v>
      </c>
      <c r="D408" s="694" t="s">
        <v>3216</v>
      </c>
      <c r="E408" s="696">
        <v>40946</v>
      </c>
      <c r="F408" s="711">
        <v>40946</v>
      </c>
      <c r="G408" s="691" t="s">
        <v>3233</v>
      </c>
      <c r="H408" s="694" t="s">
        <v>3241</v>
      </c>
      <c r="I408" s="691" t="s">
        <v>3249</v>
      </c>
      <c r="J408" s="694" t="s">
        <v>3262</v>
      </c>
      <c r="K408" s="691" t="s">
        <v>3275</v>
      </c>
      <c r="L408" s="694" t="s">
        <v>3285</v>
      </c>
      <c r="M408" s="691" t="s">
        <v>2115</v>
      </c>
      <c r="N408" s="694" t="s">
        <v>2116</v>
      </c>
      <c r="O408" s="700">
        <v>3</v>
      </c>
      <c r="P408" s="702">
        <v>3</v>
      </c>
      <c r="Q408" s="691" t="s">
        <v>3185</v>
      </c>
      <c r="R408" s="694" t="s">
        <v>3198</v>
      </c>
      <c r="S408" s="691" t="s">
        <v>3183</v>
      </c>
      <c r="T408" s="705" t="s">
        <v>3196</v>
      </c>
      <c r="Z408" s="527"/>
      <c r="AA408" s="527"/>
    </row>
    <row r="409" spans="1:27">
      <c r="A409" s="685" t="s">
        <v>3178</v>
      </c>
      <c r="B409" s="694" t="s">
        <v>3191</v>
      </c>
      <c r="C409" s="691" t="s">
        <v>3204</v>
      </c>
      <c r="D409" s="694" t="s">
        <v>3217</v>
      </c>
      <c r="E409" s="696">
        <v>40946</v>
      </c>
      <c r="F409" s="711">
        <v>40946</v>
      </c>
      <c r="G409" s="691" t="s">
        <v>3234</v>
      </c>
      <c r="H409" s="694" t="s">
        <v>3242</v>
      </c>
      <c r="I409" s="691" t="s">
        <v>3250</v>
      </c>
      <c r="J409" s="694" t="s">
        <v>3263</v>
      </c>
      <c r="K409" s="691" t="s">
        <v>3276</v>
      </c>
      <c r="L409" s="694" t="s">
        <v>3286</v>
      </c>
      <c r="M409" s="691" t="s">
        <v>3294</v>
      </c>
      <c r="N409" s="694" t="s">
        <v>3299</v>
      </c>
      <c r="O409" s="700">
        <v>5</v>
      </c>
      <c r="P409" s="702">
        <v>5</v>
      </c>
      <c r="Q409" s="691" t="s">
        <v>3307</v>
      </c>
      <c r="R409" s="694" t="s">
        <v>3313</v>
      </c>
      <c r="S409" s="691" t="s">
        <v>3186</v>
      </c>
      <c r="T409" s="705" t="s">
        <v>3199</v>
      </c>
      <c r="Z409" s="527"/>
      <c r="AA409" s="527"/>
    </row>
    <row r="410" spans="1:27">
      <c r="A410" s="685" t="s">
        <v>3179</v>
      </c>
      <c r="B410" s="694" t="s">
        <v>3192</v>
      </c>
      <c r="C410" s="691" t="s">
        <v>3205</v>
      </c>
      <c r="D410" s="694" t="s">
        <v>3218</v>
      </c>
      <c r="E410" s="696">
        <v>41341</v>
      </c>
      <c r="F410" s="711">
        <v>41341</v>
      </c>
      <c r="G410" s="691" t="s">
        <v>3232</v>
      </c>
      <c r="H410" s="694" t="s">
        <v>3240</v>
      </c>
      <c r="I410" s="691" t="s">
        <v>3251</v>
      </c>
      <c r="J410" s="694" t="s">
        <v>3264</v>
      </c>
      <c r="K410" s="691" t="s">
        <v>3277</v>
      </c>
      <c r="L410" s="694" t="s">
        <v>3287</v>
      </c>
      <c r="M410" s="691" t="s">
        <v>2107</v>
      </c>
      <c r="N410" s="694" t="s">
        <v>2108</v>
      </c>
      <c r="O410" s="700">
        <v>5</v>
      </c>
      <c r="P410" s="702">
        <v>5</v>
      </c>
      <c r="Q410" s="691" t="s">
        <v>3184</v>
      </c>
      <c r="R410" s="694" t="s">
        <v>3197</v>
      </c>
      <c r="S410" s="691" t="s">
        <v>3182</v>
      </c>
      <c r="T410" s="705" t="s">
        <v>3195</v>
      </c>
      <c r="Z410" s="527"/>
      <c r="AA410" s="527"/>
    </row>
    <row r="411" spans="1:27">
      <c r="A411" s="685" t="s">
        <v>3180</v>
      </c>
      <c r="B411" s="694" t="s">
        <v>3193</v>
      </c>
      <c r="C411" s="691" t="s">
        <v>3206</v>
      </c>
      <c r="D411" s="694" t="s">
        <v>3219</v>
      </c>
      <c r="E411" s="696">
        <v>42134</v>
      </c>
      <c r="F411" s="711">
        <v>42134</v>
      </c>
      <c r="G411" s="691" t="s">
        <v>3232</v>
      </c>
      <c r="H411" s="694" t="s">
        <v>3240</v>
      </c>
      <c r="I411" s="691" t="s">
        <v>3252</v>
      </c>
      <c r="J411" s="694" t="s">
        <v>3265</v>
      </c>
      <c r="K411" s="691" t="s">
        <v>3274</v>
      </c>
      <c r="L411" s="694" t="s">
        <v>3284</v>
      </c>
      <c r="M411" s="691" t="s">
        <v>2115</v>
      </c>
      <c r="N411" s="694" t="s">
        <v>2116</v>
      </c>
      <c r="O411" s="700">
        <v>5</v>
      </c>
      <c r="P411" s="702">
        <v>5</v>
      </c>
      <c r="Q411" s="691" t="s">
        <v>3177</v>
      </c>
      <c r="R411" s="694" t="s">
        <v>3190</v>
      </c>
      <c r="S411" s="691" t="s">
        <v>3182</v>
      </c>
      <c r="T411" s="705" t="s">
        <v>3195</v>
      </c>
      <c r="Z411" s="527"/>
      <c r="AA411" s="527"/>
    </row>
    <row r="412" spans="1:27">
      <c r="A412" s="685" t="s">
        <v>3181</v>
      </c>
      <c r="B412" s="694" t="s">
        <v>3194</v>
      </c>
      <c r="C412" s="691" t="s">
        <v>3207</v>
      </c>
      <c r="D412" s="694" t="s">
        <v>3220</v>
      </c>
      <c r="E412" s="696">
        <v>41738</v>
      </c>
      <c r="F412" s="711">
        <v>41738</v>
      </c>
      <c r="G412" s="691" t="s">
        <v>3235</v>
      </c>
      <c r="H412" s="694" t="s">
        <v>3243</v>
      </c>
      <c r="I412" s="691" t="s">
        <v>3253</v>
      </c>
      <c r="J412" s="694" t="s">
        <v>3266</v>
      </c>
      <c r="K412" s="691" t="s">
        <v>3274</v>
      </c>
      <c r="L412" s="694" t="s">
        <v>3284</v>
      </c>
      <c r="M412" s="691" t="s">
        <v>2119</v>
      </c>
      <c r="N412" s="694" t="s">
        <v>2120</v>
      </c>
      <c r="O412" s="700">
        <v>4</v>
      </c>
      <c r="P412" s="702">
        <v>4</v>
      </c>
      <c r="Q412" s="691" t="s">
        <v>3183</v>
      </c>
      <c r="R412" s="694" t="s">
        <v>3196</v>
      </c>
      <c r="S412" s="691" t="s">
        <v>3186</v>
      </c>
      <c r="T412" s="705" t="s">
        <v>3199</v>
      </c>
      <c r="Z412" s="527"/>
      <c r="AA412" s="527"/>
    </row>
    <row r="413" spans="1:27">
      <c r="A413" s="685" t="s">
        <v>3182</v>
      </c>
      <c r="B413" s="694" t="s">
        <v>3195</v>
      </c>
      <c r="C413" s="691" t="s">
        <v>3208</v>
      </c>
      <c r="D413" s="694" t="s">
        <v>3221</v>
      </c>
      <c r="E413" s="696">
        <v>40549</v>
      </c>
      <c r="F413" s="711">
        <v>40549</v>
      </c>
      <c r="G413" s="691" t="s">
        <v>3236</v>
      </c>
      <c r="H413" s="694" t="s">
        <v>3244</v>
      </c>
      <c r="I413" s="691" t="s">
        <v>3254</v>
      </c>
      <c r="J413" s="694" t="s">
        <v>3267</v>
      </c>
      <c r="K413" s="691" t="s">
        <v>3278</v>
      </c>
      <c r="L413" s="694" t="s">
        <v>3288</v>
      </c>
      <c r="M413" s="691" t="s">
        <v>3295</v>
      </c>
      <c r="N413" s="694" t="s">
        <v>3300</v>
      </c>
      <c r="O413" s="700">
        <v>1</v>
      </c>
      <c r="P413" s="702">
        <v>1</v>
      </c>
      <c r="Q413" s="691" t="s">
        <v>3308</v>
      </c>
      <c r="R413" s="694" t="s">
        <v>3314</v>
      </c>
      <c r="S413" s="691" t="s">
        <v>3183</v>
      </c>
      <c r="T413" s="705" t="s">
        <v>3196</v>
      </c>
      <c r="Z413" s="527"/>
      <c r="AA413" s="527"/>
    </row>
    <row r="414" spans="1:27">
      <c r="A414" s="685" t="s">
        <v>3183</v>
      </c>
      <c r="B414" s="694" t="s">
        <v>3196</v>
      </c>
      <c r="C414" s="691" t="s">
        <v>3209</v>
      </c>
      <c r="D414" s="694" t="s">
        <v>3222</v>
      </c>
      <c r="E414" s="696">
        <v>41341</v>
      </c>
      <c r="F414" s="711">
        <v>41341</v>
      </c>
      <c r="G414" s="691" t="s">
        <v>3236</v>
      </c>
      <c r="H414" s="694" t="s">
        <v>3244</v>
      </c>
      <c r="I414" s="691" t="s">
        <v>3255</v>
      </c>
      <c r="J414" s="694" t="s">
        <v>3268</v>
      </c>
      <c r="K414" s="691" t="s">
        <v>3279</v>
      </c>
      <c r="L414" s="694" t="s">
        <v>3289</v>
      </c>
      <c r="M414" s="691" t="s">
        <v>2119</v>
      </c>
      <c r="N414" s="694" t="s">
        <v>2120</v>
      </c>
      <c r="O414" s="700">
        <v>1</v>
      </c>
      <c r="P414" s="702">
        <v>1</v>
      </c>
      <c r="Q414" s="691" t="s">
        <v>3186</v>
      </c>
      <c r="R414" s="694" t="s">
        <v>3199</v>
      </c>
      <c r="S414" s="691" t="s">
        <v>3306</v>
      </c>
      <c r="T414" s="705" t="s">
        <v>3312</v>
      </c>
      <c r="Z414" s="527"/>
      <c r="AA414" s="527"/>
    </row>
    <row r="415" spans="1:27">
      <c r="A415" s="685" t="s">
        <v>3184</v>
      </c>
      <c r="B415" s="694" t="s">
        <v>3197</v>
      </c>
      <c r="C415" s="691" t="s">
        <v>3210</v>
      </c>
      <c r="D415" s="694" t="s">
        <v>3223</v>
      </c>
      <c r="E415" s="696">
        <v>41738</v>
      </c>
      <c r="F415" s="711">
        <v>41738</v>
      </c>
      <c r="G415" s="691" t="s">
        <v>3237</v>
      </c>
      <c r="H415" s="694" t="s">
        <v>3245</v>
      </c>
      <c r="I415" s="691" t="s">
        <v>3256</v>
      </c>
      <c r="J415" s="694" t="s">
        <v>3269</v>
      </c>
      <c r="K415" s="691" t="s">
        <v>3280</v>
      </c>
      <c r="L415" s="694" t="s">
        <v>3290</v>
      </c>
      <c r="M415" s="691" t="s">
        <v>3293</v>
      </c>
      <c r="N415" s="694" t="s">
        <v>3298</v>
      </c>
      <c r="O415" s="700">
        <v>4</v>
      </c>
      <c r="P415" s="702">
        <v>4</v>
      </c>
      <c r="Q415" s="691" t="s">
        <v>3307</v>
      </c>
      <c r="R415" s="694" t="s">
        <v>3313</v>
      </c>
      <c r="S415" s="691" t="s">
        <v>3182</v>
      </c>
      <c r="T415" s="705" t="s">
        <v>3195</v>
      </c>
      <c r="Z415" s="527"/>
      <c r="AA415" s="527"/>
    </row>
    <row r="416" spans="1:27">
      <c r="A416" s="685" t="s">
        <v>3185</v>
      </c>
      <c r="B416" s="694" t="s">
        <v>3198</v>
      </c>
      <c r="C416" s="691" t="s">
        <v>3211</v>
      </c>
      <c r="D416" s="694" t="s">
        <v>3224</v>
      </c>
      <c r="E416" s="696">
        <v>41341</v>
      </c>
      <c r="F416" s="711">
        <v>41341</v>
      </c>
      <c r="G416" s="691" t="s">
        <v>3235</v>
      </c>
      <c r="H416" s="694" t="s">
        <v>3243</v>
      </c>
      <c r="I416" s="691" t="s">
        <v>3257</v>
      </c>
      <c r="J416" s="694" t="s">
        <v>3270</v>
      </c>
      <c r="K416" s="691" t="s">
        <v>3281</v>
      </c>
      <c r="L416" s="694" t="s">
        <v>3291</v>
      </c>
      <c r="M416" s="691" t="s">
        <v>2149</v>
      </c>
      <c r="N416" s="694" t="s">
        <v>2150</v>
      </c>
      <c r="O416" s="700">
        <v>3</v>
      </c>
      <c r="P416" s="702">
        <v>3</v>
      </c>
      <c r="Q416" s="691" t="s">
        <v>3183</v>
      </c>
      <c r="R416" s="694" t="s">
        <v>3196</v>
      </c>
      <c r="S416" s="691" t="s">
        <v>3177</v>
      </c>
      <c r="T416" s="705" t="s">
        <v>3190</v>
      </c>
      <c r="Z416" s="527"/>
      <c r="AA416" s="527"/>
    </row>
    <row r="417" spans="1:256">
      <c r="A417" s="686" t="s">
        <v>3186</v>
      </c>
      <c r="B417" s="695" t="s">
        <v>3199</v>
      </c>
      <c r="C417" s="692" t="s">
        <v>3212</v>
      </c>
      <c r="D417" s="695" t="s">
        <v>3225</v>
      </c>
      <c r="E417" s="697">
        <v>42134</v>
      </c>
      <c r="F417" s="712">
        <v>42134</v>
      </c>
      <c r="G417" s="692" t="s">
        <v>3236</v>
      </c>
      <c r="H417" s="695" t="s">
        <v>3244</v>
      </c>
      <c r="I417" s="692" t="s">
        <v>3258</v>
      </c>
      <c r="J417" s="695" t="s">
        <v>3271</v>
      </c>
      <c r="K417" s="692" t="s">
        <v>3279</v>
      </c>
      <c r="L417" s="695" t="s">
        <v>3289</v>
      </c>
      <c r="M417" s="692" t="s">
        <v>3296</v>
      </c>
      <c r="N417" s="695" t="s">
        <v>3301</v>
      </c>
      <c r="O417" s="701">
        <v>4</v>
      </c>
      <c r="P417" s="703">
        <v>4</v>
      </c>
      <c r="Q417" s="692" t="s">
        <v>3309</v>
      </c>
      <c r="R417" s="695" t="s">
        <v>3315</v>
      </c>
      <c r="S417" s="692" t="s">
        <v>3309</v>
      </c>
      <c r="T417" s="706" t="s">
        <v>3315</v>
      </c>
      <c r="Z417" s="527"/>
      <c r="AA417" s="527"/>
    </row>
    <row r="419" spans="1:256">
      <c r="B419" s="577"/>
      <c r="C419" s="577"/>
      <c r="D419" s="577"/>
      <c r="E419" s="650"/>
      <c r="F419" s="577"/>
      <c r="IU419" s="577"/>
      <c r="IV419" s="577"/>
    </row>
    <row r="420" spans="1:256" ht="24">
      <c r="A420" s="713" t="s">
        <v>3318</v>
      </c>
      <c r="B420" s="713" t="s">
        <v>3319</v>
      </c>
      <c r="C420" s="713" t="s">
        <v>3320</v>
      </c>
      <c r="D420" s="713" t="s">
        <v>3321</v>
      </c>
      <c r="E420" s="527"/>
      <c r="IU420" s="577"/>
      <c r="IV420" s="577"/>
    </row>
    <row r="421" spans="1:256">
      <c r="A421" s="714" t="s">
        <v>3322</v>
      </c>
      <c r="B421" s="1350" t="s">
        <v>3323</v>
      </c>
      <c r="C421" s="1350"/>
      <c r="D421" s="1350"/>
      <c r="E421" s="527"/>
      <c r="IU421" s="577"/>
      <c r="IV421" s="577"/>
    </row>
    <row r="422" spans="1:256">
      <c r="A422" s="714"/>
      <c r="B422" s="666" t="s">
        <v>3324</v>
      </c>
      <c r="C422" s="666" t="s">
        <v>3325</v>
      </c>
      <c r="D422" s="715" t="s">
        <v>3326</v>
      </c>
      <c r="E422" s="527"/>
      <c r="IU422" s="577"/>
      <c r="IV422" s="577"/>
    </row>
    <row r="423" spans="1:256">
      <c r="A423" s="714"/>
      <c r="B423" s="666" t="s">
        <v>3327</v>
      </c>
      <c r="C423" s="666" t="s">
        <v>3328</v>
      </c>
      <c r="D423" s="716" t="s">
        <v>3329</v>
      </c>
      <c r="E423" s="527"/>
      <c r="IU423" s="577"/>
      <c r="IV423" s="577"/>
    </row>
    <row r="424" spans="1:256">
      <c r="A424" s="714"/>
      <c r="B424" s="666" t="s">
        <v>3330</v>
      </c>
      <c r="C424" s="666" t="s">
        <v>3331</v>
      </c>
      <c r="D424" s="716" t="s">
        <v>3332</v>
      </c>
      <c r="E424" s="527"/>
      <c r="IU424" s="577"/>
      <c r="IV424" s="577"/>
    </row>
    <row r="425" spans="1:256">
      <c r="A425" s="714"/>
      <c r="B425" s="666" t="s">
        <v>3333</v>
      </c>
      <c r="C425" s="666" t="s">
        <v>3334</v>
      </c>
      <c r="D425" s="715"/>
      <c r="E425" s="527"/>
      <c r="IU425" s="577"/>
      <c r="IV425" s="577"/>
    </row>
    <row r="426" spans="1:256">
      <c r="A426" s="714"/>
      <c r="B426" s="666" t="s">
        <v>3335</v>
      </c>
      <c r="C426" s="666" t="s">
        <v>3336</v>
      </c>
      <c r="D426" s="716" t="s">
        <v>3337</v>
      </c>
      <c r="E426" s="527"/>
      <c r="IU426" s="577"/>
      <c r="IV426" s="577"/>
    </row>
    <row r="427" spans="1:256">
      <c r="A427" s="714"/>
      <c r="B427" s="666" t="s">
        <v>3338</v>
      </c>
      <c r="C427" s="666" t="s">
        <v>3339</v>
      </c>
      <c r="D427" s="715"/>
      <c r="E427" s="527"/>
      <c r="IU427" s="577"/>
      <c r="IV427" s="577"/>
    </row>
    <row r="428" spans="1:256">
      <c r="A428" s="714"/>
      <c r="B428" s="666" t="s">
        <v>3340</v>
      </c>
      <c r="C428" s="666" t="s">
        <v>3341</v>
      </c>
      <c r="D428" s="666" t="s">
        <v>3342</v>
      </c>
      <c r="E428" s="527"/>
      <c r="IU428" s="577"/>
      <c r="IV428" s="577"/>
    </row>
    <row r="429" spans="1:256">
      <c r="A429" s="714"/>
      <c r="B429" s="666" t="s">
        <v>3343</v>
      </c>
      <c r="C429" s="666" t="s">
        <v>3344</v>
      </c>
      <c r="D429" s="715"/>
      <c r="E429" s="527"/>
      <c r="IU429" s="577"/>
      <c r="IV429" s="577"/>
    </row>
    <row r="430" spans="1:256">
      <c r="A430" s="714"/>
      <c r="B430" s="666" t="s">
        <v>3345</v>
      </c>
      <c r="C430" s="666" t="s">
        <v>3346</v>
      </c>
      <c r="D430" s="666" t="s">
        <v>3347</v>
      </c>
      <c r="E430" s="527"/>
      <c r="IU430" s="577"/>
      <c r="IV430" s="577"/>
    </row>
    <row r="431" spans="1:256">
      <c r="A431" s="714"/>
      <c r="B431" s="666" t="s">
        <v>3348</v>
      </c>
      <c r="C431" s="666" t="s">
        <v>3349</v>
      </c>
      <c r="D431" s="715"/>
      <c r="E431" s="527"/>
      <c r="IU431" s="577"/>
      <c r="IV431" s="577"/>
    </row>
    <row r="432" spans="1:256">
      <c r="A432" s="714"/>
      <c r="B432" s="1350" t="s">
        <v>3350</v>
      </c>
      <c r="C432" s="1350"/>
      <c r="D432" s="715"/>
      <c r="E432" s="527"/>
      <c r="IU432" s="577"/>
      <c r="IV432" s="577"/>
    </row>
    <row r="433" spans="1:256">
      <c r="A433" s="714"/>
      <c r="B433" s="666" t="s">
        <v>3330</v>
      </c>
      <c r="C433" s="666" t="s">
        <v>3351</v>
      </c>
      <c r="D433" s="666" t="s">
        <v>3352</v>
      </c>
      <c r="E433" s="527"/>
      <c r="IU433" s="577"/>
      <c r="IV433" s="577"/>
    </row>
    <row r="434" spans="1:256">
      <c r="A434" s="714"/>
      <c r="B434" s="666" t="s">
        <v>3333</v>
      </c>
      <c r="C434" s="666" t="s">
        <v>3353</v>
      </c>
      <c r="D434" s="715"/>
      <c r="E434" s="527"/>
      <c r="IU434" s="577"/>
      <c r="IV434" s="577"/>
    </row>
    <row r="435" spans="1:256">
      <c r="A435" s="714"/>
      <c r="B435" s="666" t="s">
        <v>3335</v>
      </c>
      <c r="C435" s="666" t="s">
        <v>3354</v>
      </c>
      <c r="D435" s="666" t="s">
        <v>3355</v>
      </c>
      <c r="E435" s="527"/>
      <c r="IU435" s="577"/>
      <c r="IV435" s="577"/>
    </row>
    <row r="436" spans="1:256">
      <c r="A436" s="714"/>
      <c r="B436" s="666" t="s">
        <v>3338</v>
      </c>
      <c r="C436" s="666" t="s">
        <v>3356</v>
      </c>
      <c r="D436" s="716" t="s">
        <v>3357</v>
      </c>
      <c r="E436" s="527"/>
      <c r="IU436" s="577"/>
      <c r="IV436" s="577"/>
    </row>
    <row r="437" spans="1:256">
      <c r="A437" s="714"/>
      <c r="B437" s="1350" t="s">
        <v>3358</v>
      </c>
      <c r="C437" s="1350"/>
      <c r="D437" s="715"/>
      <c r="E437" s="527"/>
      <c r="IU437" s="577"/>
      <c r="IV437" s="577"/>
    </row>
    <row r="438" spans="1:256">
      <c r="A438" s="714"/>
      <c r="B438" s="666" t="s">
        <v>3359</v>
      </c>
      <c r="C438" s="666" t="s">
        <v>3360</v>
      </c>
      <c r="D438" s="666" t="s">
        <v>3361</v>
      </c>
      <c r="E438" s="527"/>
      <c r="IU438" s="577"/>
      <c r="IV438" s="577"/>
    </row>
    <row r="439" spans="1:256">
      <c r="A439" s="714"/>
      <c r="B439" s="666" t="s">
        <v>3362</v>
      </c>
      <c r="C439" s="666" t="s">
        <v>3363</v>
      </c>
      <c r="D439" s="666" t="s">
        <v>3364</v>
      </c>
      <c r="E439" s="527"/>
      <c r="IV439" s="577"/>
    </row>
    <row r="440" spans="1:256">
      <c r="A440" s="717" t="s">
        <v>3365</v>
      </c>
      <c r="B440" s="1350" t="s">
        <v>3366</v>
      </c>
      <c r="C440" s="1350"/>
      <c r="D440" s="1350"/>
      <c r="E440" s="718"/>
      <c r="IU440" s="577"/>
      <c r="IV440" s="577"/>
    </row>
    <row r="441" spans="1:256">
      <c r="A441" s="719"/>
      <c r="B441" s="666" t="s">
        <v>3367</v>
      </c>
      <c r="C441" s="666" t="s">
        <v>3368</v>
      </c>
      <c r="D441" s="716" t="s">
        <v>3369</v>
      </c>
      <c r="E441" s="527"/>
      <c r="IU441" s="577"/>
      <c r="IV441" s="577"/>
    </row>
    <row r="442" spans="1:256">
      <c r="A442" s="719"/>
      <c r="B442" s="666" t="s">
        <v>3370</v>
      </c>
      <c r="C442" s="666" t="s">
        <v>3371</v>
      </c>
      <c r="D442" s="666" t="s">
        <v>3372</v>
      </c>
      <c r="E442" s="527"/>
      <c r="IU442" s="577"/>
      <c r="IV442" s="577"/>
    </row>
    <row r="443" spans="1:256">
      <c r="A443" s="719"/>
      <c r="B443" s="666" t="s">
        <v>3373</v>
      </c>
      <c r="C443" s="666" t="s">
        <v>3374</v>
      </c>
      <c r="D443" s="666" t="s">
        <v>3375</v>
      </c>
      <c r="E443" s="527"/>
      <c r="IU443" s="577"/>
      <c r="IV443" s="577"/>
    </row>
    <row r="444" spans="1:256">
      <c r="A444" s="719"/>
      <c r="B444" s="666" t="s">
        <v>3376</v>
      </c>
      <c r="C444" s="666" t="s">
        <v>3377</v>
      </c>
      <c r="D444" s="715" t="s">
        <v>3378</v>
      </c>
      <c r="E444" s="527"/>
      <c r="IU444" s="577"/>
      <c r="IV444" s="577"/>
    </row>
    <row r="445" spans="1:256">
      <c r="A445" s="719"/>
      <c r="B445" s="666" t="s">
        <v>3379</v>
      </c>
      <c r="C445" s="666" t="s">
        <v>3380</v>
      </c>
      <c r="D445" s="716" t="s">
        <v>3381</v>
      </c>
      <c r="E445" s="527"/>
    </row>
    <row r="446" spans="1:256">
      <c r="A446" s="720" t="s">
        <v>3382</v>
      </c>
      <c r="B446" s="1350" t="s">
        <v>3383</v>
      </c>
      <c r="C446" s="1350"/>
      <c r="D446" s="1350"/>
      <c r="E446" s="721"/>
      <c r="F446" s="718"/>
    </row>
    <row r="447" spans="1:256">
      <c r="A447" s="720"/>
      <c r="B447" s="666" t="s">
        <v>3367</v>
      </c>
      <c r="C447" s="666" t="s">
        <v>3384</v>
      </c>
      <c r="D447" s="666" t="s">
        <v>3385</v>
      </c>
      <c r="E447" s="721"/>
      <c r="F447" s="718"/>
    </row>
    <row r="448" spans="1:256">
      <c r="A448" s="720"/>
      <c r="B448" s="666" t="s">
        <v>3370</v>
      </c>
      <c r="C448" s="666" t="s">
        <v>3386</v>
      </c>
      <c r="D448" s="716" t="s">
        <v>3387</v>
      </c>
      <c r="E448" s="721"/>
      <c r="F448" s="718"/>
    </row>
    <row r="449" spans="1:6">
      <c r="A449" s="720"/>
      <c r="B449" s="666" t="s">
        <v>3373</v>
      </c>
      <c r="C449" s="666" t="s">
        <v>3388</v>
      </c>
      <c r="D449" s="666" t="s">
        <v>3389</v>
      </c>
      <c r="E449" s="721"/>
      <c r="F449" s="718"/>
    </row>
    <row r="450" spans="1:6">
      <c r="A450" s="720"/>
      <c r="B450" s="666" t="s">
        <v>3376</v>
      </c>
      <c r="C450" s="666" t="s">
        <v>3390</v>
      </c>
      <c r="D450" s="666" t="s">
        <v>3391</v>
      </c>
      <c r="E450" s="721"/>
      <c r="F450" s="718"/>
    </row>
    <row r="451" spans="1:6">
      <c r="A451" s="720"/>
      <c r="B451" s="666" t="s">
        <v>3379</v>
      </c>
      <c r="C451" s="666" t="s">
        <v>3392</v>
      </c>
      <c r="D451" s="666" t="s">
        <v>3393</v>
      </c>
      <c r="E451" s="721"/>
      <c r="F451" s="718"/>
    </row>
    <row r="452" spans="1:6">
      <c r="A452" s="722" t="s">
        <v>3394</v>
      </c>
      <c r="B452" s="1350" t="s">
        <v>3395</v>
      </c>
      <c r="C452" s="1350"/>
      <c r="D452" s="1350"/>
      <c r="E452" s="721"/>
      <c r="F452" s="718"/>
    </row>
    <row r="453" spans="1:6">
      <c r="A453" s="722"/>
      <c r="B453" s="666" t="s">
        <v>3367</v>
      </c>
      <c r="C453" s="666" t="s">
        <v>3396</v>
      </c>
      <c r="D453" s="716" t="s">
        <v>3397</v>
      </c>
      <c r="E453" s="721"/>
      <c r="F453" s="577"/>
    </row>
    <row r="454" spans="1:6">
      <c r="A454" s="722"/>
      <c r="B454" s="666" t="s">
        <v>3370</v>
      </c>
      <c r="C454" s="666" t="s">
        <v>3398</v>
      </c>
      <c r="D454" s="666" t="s">
        <v>3399</v>
      </c>
      <c r="E454" s="721"/>
      <c r="F454" s="577"/>
    </row>
    <row r="455" spans="1:6">
      <c r="A455" s="722"/>
      <c r="B455" s="666" t="s">
        <v>3373</v>
      </c>
      <c r="C455" s="666" t="s">
        <v>3400</v>
      </c>
      <c r="D455" s="666" t="s">
        <v>3401</v>
      </c>
      <c r="E455" s="721"/>
      <c r="F455" s="577"/>
    </row>
    <row r="456" spans="1:6">
      <c r="A456" s="722"/>
      <c r="B456" s="666" t="s">
        <v>3376</v>
      </c>
      <c r="C456" s="666" t="s">
        <v>3402</v>
      </c>
      <c r="D456" s="666" t="s">
        <v>3403</v>
      </c>
      <c r="E456" s="721"/>
      <c r="F456" s="577"/>
    </row>
    <row r="457" spans="1:6">
      <c r="A457" s="722"/>
      <c r="B457" s="666" t="s">
        <v>3379</v>
      </c>
      <c r="C457" s="666" t="s">
        <v>3404</v>
      </c>
      <c r="D457" s="666" t="s">
        <v>3405</v>
      </c>
      <c r="E457" s="721"/>
      <c r="F457" s="577"/>
    </row>
    <row r="458" spans="1:6">
      <c r="A458" s="723" t="s">
        <v>3406</v>
      </c>
      <c r="B458" s="1350" t="s">
        <v>3407</v>
      </c>
      <c r="C458" s="1350"/>
      <c r="D458" s="1350"/>
      <c r="E458" s="721"/>
      <c r="F458" s="577"/>
    </row>
    <row r="459" spans="1:6">
      <c r="A459" s="723"/>
      <c r="B459" s="666" t="s">
        <v>3367</v>
      </c>
      <c r="C459" s="666" t="s">
        <v>3408</v>
      </c>
      <c r="D459" s="666" t="s">
        <v>3409</v>
      </c>
      <c r="E459" s="721"/>
      <c r="F459" s="577"/>
    </row>
    <row r="460" spans="1:6">
      <c r="A460" s="723"/>
      <c r="B460" s="666" t="s">
        <v>3370</v>
      </c>
      <c r="C460" s="666" t="s">
        <v>3410</v>
      </c>
      <c r="D460" s="666" t="s">
        <v>3411</v>
      </c>
      <c r="E460" s="721"/>
      <c r="F460" s="577"/>
    </row>
    <row r="461" spans="1:6">
      <c r="A461" s="723"/>
      <c r="B461" s="666" t="s">
        <v>3373</v>
      </c>
      <c r="C461" s="666" t="s">
        <v>3412</v>
      </c>
      <c r="D461" s="716" t="s">
        <v>3413</v>
      </c>
      <c r="E461" s="721"/>
      <c r="F461" s="577"/>
    </row>
    <row r="462" spans="1:6">
      <c r="A462" s="723"/>
      <c r="B462" s="666" t="s">
        <v>3376</v>
      </c>
      <c r="C462" s="666" t="s">
        <v>3414</v>
      </c>
      <c r="D462" s="666" t="s">
        <v>3415</v>
      </c>
      <c r="E462" s="721"/>
      <c r="F462" s="577"/>
    </row>
    <row r="463" spans="1:6">
      <c r="A463" s="723"/>
      <c r="B463" s="666" t="s">
        <v>3379</v>
      </c>
      <c r="C463" s="666" t="s">
        <v>3416</v>
      </c>
      <c r="D463" s="666" t="s">
        <v>3417</v>
      </c>
      <c r="E463" s="721"/>
      <c r="F463" s="577"/>
    </row>
    <row r="464" spans="1:6">
      <c r="A464" s="713" t="s">
        <v>3418</v>
      </c>
      <c r="B464" s="1350" t="s">
        <v>3419</v>
      </c>
      <c r="C464" s="1350"/>
      <c r="D464" s="1350"/>
      <c r="E464" s="721"/>
      <c r="F464" s="577"/>
    </row>
    <row r="465" spans="1:6">
      <c r="A465" s="724"/>
      <c r="B465" s="666" t="s">
        <v>3367</v>
      </c>
      <c r="C465" s="666" t="s">
        <v>3420</v>
      </c>
      <c r="D465" s="666" t="s">
        <v>3421</v>
      </c>
      <c r="E465" s="721"/>
      <c r="F465" s="577"/>
    </row>
    <row r="466" spans="1:6">
      <c r="A466" s="724"/>
      <c r="B466" s="666" t="s">
        <v>3370</v>
      </c>
      <c r="C466" s="666" t="s">
        <v>3422</v>
      </c>
      <c r="D466" s="716" t="s">
        <v>3423</v>
      </c>
      <c r="E466" s="721"/>
      <c r="F466" s="577"/>
    </row>
    <row r="467" spans="1:6">
      <c r="A467" s="724"/>
      <c r="B467" s="666" t="s">
        <v>3373</v>
      </c>
      <c r="C467" s="666" t="s">
        <v>3424</v>
      </c>
      <c r="D467" s="666" t="s">
        <v>3425</v>
      </c>
      <c r="E467" s="721"/>
      <c r="F467" s="577"/>
    </row>
    <row r="468" spans="1:6">
      <c r="A468" s="724"/>
      <c r="B468" s="666" t="s">
        <v>3376</v>
      </c>
      <c r="C468" s="666" t="s">
        <v>3426</v>
      </c>
      <c r="D468" s="716" t="s">
        <v>3427</v>
      </c>
      <c r="E468" s="721"/>
      <c r="F468" s="577"/>
    </row>
    <row r="469" spans="1:6">
      <c r="A469" s="724"/>
      <c r="B469" s="666" t="s">
        <v>3379</v>
      </c>
      <c r="C469" s="666" t="s">
        <v>3428</v>
      </c>
      <c r="D469" s="666" t="s">
        <v>3429</v>
      </c>
      <c r="E469" s="721"/>
      <c r="F469" s="577"/>
    </row>
    <row r="470" spans="1:6">
      <c r="A470" s="666" t="s">
        <v>3430</v>
      </c>
      <c r="B470" s="1350" t="s">
        <v>3431</v>
      </c>
      <c r="C470" s="1350"/>
      <c r="D470" s="1350"/>
      <c r="E470" s="650"/>
      <c r="F470" s="577"/>
    </row>
    <row r="471" spans="1:6">
      <c r="A471" s="666"/>
      <c r="B471" s="666" t="s">
        <v>3432</v>
      </c>
      <c r="C471" s="666" t="s">
        <v>3433</v>
      </c>
      <c r="D471" s="666" t="s">
        <v>3434</v>
      </c>
      <c r="E471" s="721"/>
      <c r="F471" s="577"/>
    </row>
    <row r="472" spans="1:6">
      <c r="A472" s="666"/>
      <c r="B472" s="666" t="s">
        <v>3435</v>
      </c>
      <c r="C472" s="666" t="s">
        <v>3436</v>
      </c>
      <c r="D472" s="666" t="s">
        <v>3437</v>
      </c>
      <c r="E472" s="721"/>
      <c r="F472" s="577"/>
    </row>
    <row r="473" spans="1:6">
      <c r="A473" s="666"/>
      <c r="B473" s="666" t="s">
        <v>3438</v>
      </c>
      <c r="C473" s="666" t="s">
        <v>3439</v>
      </c>
      <c r="D473" s="716" t="s">
        <v>3440</v>
      </c>
      <c r="E473" s="721"/>
      <c r="F473" s="577"/>
    </row>
    <row r="474" spans="1:6">
      <c r="A474" s="666"/>
      <c r="B474" s="666" t="s">
        <v>3441</v>
      </c>
      <c r="C474" s="666" t="s">
        <v>3442</v>
      </c>
      <c r="D474" s="666" t="s">
        <v>3443</v>
      </c>
      <c r="E474" s="721"/>
      <c r="F474" s="577"/>
    </row>
    <row r="475" spans="1:6">
      <c r="A475" s="666"/>
      <c r="B475" s="1351" t="s">
        <v>3444</v>
      </c>
      <c r="C475" s="1351"/>
      <c r="D475" s="1351"/>
      <c r="E475" s="577"/>
      <c r="F475" s="577"/>
    </row>
    <row r="476" spans="1:6">
      <c r="A476" s="666"/>
      <c r="B476" s="666" t="s">
        <v>3432</v>
      </c>
      <c r="C476" s="666" t="s">
        <v>3445</v>
      </c>
      <c r="D476" s="666" t="s">
        <v>3446</v>
      </c>
      <c r="E476" s="721"/>
      <c r="F476" s="577"/>
    </row>
    <row r="477" spans="1:6">
      <c r="A477" s="666"/>
      <c r="B477" s="666" t="s">
        <v>3435</v>
      </c>
      <c r="C477" s="666" t="s">
        <v>3447</v>
      </c>
      <c r="D477" s="666" t="s">
        <v>3448</v>
      </c>
      <c r="E477" s="721"/>
      <c r="F477" s="577"/>
    </row>
    <row r="478" spans="1:6">
      <c r="A478" s="666"/>
      <c r="B478" s="666" t="s">
        <v>3438</v>
      </c>
      <c r="C478" s="666" t="s">
        <v>3449</v>
      </c>
      <c r="D478" s="666" t="s">
        <v>3450</v>
      </c>
      <c r="E478" s="721"/>
      <c r="F478" s="577"/>
    </row>
    <row r="479" spans="1:6">
      <c r="A479" s="666"/>
      <c r="B479" s="1350" t="s">
        <v>3451</v>
      </c>
      <c r="C479" s="1350"/>
      <c r="D479" s="1350"/>
      <c r="E479" s="721"/>
      <c r="F479" s="577"/>
    </row>
    <row r="480" spans="1:6">
      <c r="A480" s="666"/>
      <c r="B480" s="725"/>
      <c r="C480" s="666" t="s">
        <v>3452</v>
      </c>
      <c r="D480" s="666" t="s">
        <v>3453</v>
      </c>
      <c r="E480" s="721"/>
      <c r="F480" s="577"/>
    </row>
    <row r="481" spans="1:18">
      <c r="A481" s="666"/>
      <c r="B481" s="725"/>
      <c r="C481" s="666" t="s">
        <v>3454</v>
      </c>
      <c r="D481" s="666" t="s">
        <v>3455</v>
      </c>
      <c r="E481" s="721"/>
      <c r="F481" s="577"/>
    </row>
    <row r="483" spans="1:18">
      <c r="A483" s="726" t="s">
        <v>595</v>
      </c>
      <c r="B483" s="527" t="s">
        <v>3456</v>
      </c>
    </row>
    <row r="484" spans="1:18">
      <c r="A484" s="727" t="s">
        <v>158</v>
      </c>
      <c r="B484" s="727" t="s">
        <v>158</v>
      </c>
    </row>
    <row r="485" spans="1:18">
      <c r="A485" s="611" t="s">
        <v>159</v>
      </c>
      <c r="B485" s="611" t="s">
        <v>159</v>
      </c>
    </row>
    <row r="486" spans="1:18">
      <c r="A486" s="611" t="s">
        <v>160</v>
      </c>
      <c r="B486" s="611" t="s">
        <v>160</v>
      </c>
    </row>
    <row r="487" spans="1:18">
      <c r="A487" s="611" t="s">
        <v>161</v>
      </c>
      <c r="B487" s="611" t="s">
        <v>161</v>
      </c>
    </row>
    <row r="488" spans="1:18">
      <c r="A488" s="611" t="s">
        <v>162</v>
      </c>
      <c r="B488" s="611" t="s">
        <v>162</v>
      </c>
    </row>
    <row r="489" spans="1:18">
      <c r="A489" s="611" t="s">
        <v>163</v>
      </c>
      <c r="B489" s="611" t="s">
        <v>163</v>
      </c>
    </row>
    <row r="490" spans="1:18">
      <c r="A490" s="611" t="s">
        <v>164</v>
      </c>
      <c r="B490" s="611" t="s">
        <v>164</v>
      </c>
    </row>
    <row r="491" spans="1:18">
      <c r="A491" s="728" t="s">
        <v>165</v>
      </c>
      <c r="B491" s="728" t="s">
        <v>165</v>
      </c>
    </row>
    <row r="492" spans="1:18">
      <c r="A492" s="729" t="s">
        <v>166</v>
      </c>
    </row>
    <row r="494" spans="1:18">
      <c r="A494" s="527" t="s">
        <v>166</v>
      </c>
      <c r="B494" s="527" t="s">
        <v>163</v>
      </c>
      <c r="C494" s="527" t="s">
        <v>158</v>
      </c>
      <c r="D494" s="527" t="s">
        <v>159</v>
      </c>
      <c r="E494" s="528" t="s">
        <v>160</v>
      </c>
      <c r="F494" s="527" t="s">
        <v>165</v>
      </c>
      <c r="G494" s="527" t="s">
        <v>162</v>
      </c>
      <c r="H494" s="527" t="s">
        <v>164</v>
      </c>
      <c r="I494" s="527" t="s">
        <v>161</v>
      </c>
      <c r="J494" s="527" t="s">
        <v>3457</v>
      </c>
      <c r="K494" s="527" t="s">
        <v>3458</v>
      </c>
      <c r="L494" s="527" t="s">
        <v>3459</v>
      </c>
      <c r="M494" s="527" t="s">
        <v>3460</v>
      </c>
      <c r="N494" s="527" t="s">
        <v>3461</v>
      </c>
      <c r="O494" s="527" t="s">
        <v>3462</v>
      </c>
      <c r="P494" s="527" t="s">
        <v>3463</v>
      </c>
      <c r="Q494" s="527" t="s">
        <v>3464</v>
      </c>
      <c r="R494" s="527" t="s">
        <v>3465</v>
      </c>
    </row>
    <row r="495" spans="1:18">
      <c r="A495" s="527">
        <v>0</v>
      </c>
      <c r="B495" s="527">
        <v>0</v>
      </c>
      <c r="C495" s="527">
        <v>0</v>
      </c>
      <c r="D495" s="527">
        <v>0</v>
      </c>
      <c r="E495" s="528">
        <v>0</v>
      </c>
      <c r="F495" s="527">
        <v>0</v>
      </c>
      <c r="G495" s="527">
        <v>0</v>
      </c>
      <c r="H495" s="527">
        <v>0</v>
      </c>
      <c r="I495" s="527">
        <v>0</v>
      </c>
      <c r="K495" s="527">
        <v>1</v>
      </c>
      <c r="N495" s="527">
        <f>1-0</f>
        <v>1</v>
      </c>
      <c r="P495" s="527">
        <f>1-0</f>
        <v>1</v>
      </c>
      <c r="Q495" s="527">
        <f>1-0</f>
        <v>1</v>
      </c>
      <c r="R495" s="527">
        <f>1-0</f>
        <v>1</v>
      </c>
    </row>
    <row r="496" spans="1:18">
      <c r="A496" s="536">
        <v>5.83333333333333E-2</v>
      </c>
      <c r="B496" s="536">
        <v>0.16666666666666699</v>
      </c>
      <c r="C496" s="536">
        <v>0.05</v>
      </c>
      <c r="D496" s="536">
        <v>8.3333333333333301E-2</v>
      </c>
      <c r="E496" s="645">
        <v>5.83333333333333E-2</v>
      </c>
      <c r="F496" s="536">
        <v>0.15</v>
      </c>
      <c r="G496" s="536">
        <v>0.133333333333333</v>
      </c>
      <c r="H496" s="536">
        <v>0.15833333333333299</v>
      </c>
      <c r="I496" s="536">
        <v>0.141666666666667</v>
      </c>
      <c r="J496" s="536"/>
      <c r="K496" s="536">
        <f>1-0.166666666666667</f>
        <v>0.83333333333333304</v>
      </c>
      <c r="L496" s="536"/>
      <c r="M496" s="536"/>
      <c r="N496" s="536">
        <f>1-0.0583333333333333</f>
        <v>0.94166666666666665</v>
      </c>
      <c r="O496" s="536"/>
      <c r="P496" s="536">
        <f>1-0.133333333333333</f>
        <v>0.86666666666666703</v>
      </c>
      <c r="Q496" s="536">
        <f>1-0.158333333333333</f>
        <v>0.84166666666666701</v>
      </c>
      <c r="R496" s="536">
        <f>1-0.141666666666667</f>
        <v>0.85833333333333295</v>
      </c>
    </row>
    <row r="497" spans="1:18">
      <c r="A497" s="536">
        <v>0.22500000000000001</v>
      </c>
      <c r="B497" s="536">
        <v>0.21666666666666701</v>
      </c>
      <c r="C497" s="536">
        <v>0.133333333333333</v>
      </c>
      <c r="D497" s="536">
        <v>0.141666666666667</v>
      </c>
      <c r="E497" s="645">
        <v>0.20833333333333301</v>
      </c>
      <c r="F497" s="536">
        <v>0.28333333333333299</v>
      </c>
      <c r="G497" s="536">
        <v>0.29166666666666702</v>
      </c>
      <c r="H497" s="536">
        <v>0.3</v>
      </c>
      <c r="I497" s="536">
        <v>0.2</v>
      </c>
      <c r="J497" s="536"/>
      <c r="K497" s="536">
        <f>1-0.216666666666667</f>
        <v>0.78333333333333299</v>
      </c>
      <c r="L497" s="536"/>
      <c r="M497" s="536"/>
      <c r="N497" s="536">
        <f>1-0.208333333333333</f>
        <v>0.79166666666666696</v>
      </c>
      <c r="O497" s="536"/>
      <c r="P497" s="536">
        <f>1-0.291666666666667</f>
        <v>0.70833333333333304</v>
      </c>
      <c r="Q497" s="536">
        <f>1-0.3</f>
        <v>0.7</v>
      </c>
      <c r="R497" s="536">
        <f>1-0.2</f>
        <v>0.8</v>
      </c>
    </row>
    <row r="498" spans="1:18">
      <c r="A498" s="536">
        <v>0.27500000000000002</v>
      </c>
      <c r="B498" s="536">
        <v>0.3</v>
      </c>
      <c r="C498" s="536">
        <v>0.19166666666666701</v>
      </c>
      <c r="D498" s="536">
        <v>0.29166666666666702</v>
      </c>
      <c r="E498" s="645">
        <v>0.34166666666666701</v>
      </c>
      <c r="F498" s="536">
        <v>0.44166666666666698</v>
      </c>
      <c r="G498" s="536">
        <v>0.43333333333333302</v>
      </c>
      <c r="H498" s="536">
        <v>0.358333333333333</v>
      </c>
      <c r="I498" s="536">
        <v>0.36666666666666697</v>
      </c>
      <c r="J498" s="536"/>
      <c r="K498" s="536">
        <f>1-0.3</f>
        <v>0.7</v>
      </c>
      <c r="L498" s="536"/>
      <c r="M498" s="536"/>
      <c r="N498" s="536">
        <f>1-0.341666666666667</f>
        <v>0.65833333333333299</v>
      </c>
      <c r="O498" s="536"/>
      <c r="P498" s="536">
        <f>1-0.433333333333333</f>
        <v>0.56666666666666698</v>
      </c>
      <c r="Q498" s="536">
        <f>1-0.358333333333333</f>
        <v>0.64166666666666705</v>
      </c>
      <c r="R498" s="536">
        <f>1-0.366666666666667</f>
        <v>0.63333333333333308</v>
      </c>
    </row>
    <row r="499" spans="1:18">
      <c r="A499" s="536">
        <v>0.358333333333333</v>
      </c>
      <c r="B499" s="536">
        <v>0.358333333333333</v>
      </c>
      <c r="C499" s="536">
        <v>0.34166666666666701</v>
      </c>
      <c r="D499" s="536">
        <v>0.42499999999999999</v>
      </c>
      <c r="E499" s="645">
        <v>0.5</v>
      </c>
      <c r="F499" s="536">
        <v>0.58333333333333304</v>
      </c>
      <c r="G499" s="536">
        <v>0.49166666666666697</v>
      </c>
      <c r="H499" s="536">
        <v>0.52500000000000002</v>
      </c>
      <c r="I499" s="536">
        <v>0.41666666666666702</v>
      </c>
      <c r="J499" s="536"/>
      <c r="K499" s="536">
        <f>1-0.358333333333333</f>
        <v>0.64166666666666705</v>
      </c>
      <c r="L499" s="536"/>
      <c r="M499" s="536"/>
      <c r="N499" s="536">
        <f>1-0.5</f>
        <v>0.5</v>
      </c>
      <c r="O499" s="536"/>
      <c r="P499" s="536">
        <f>1-0.491666666666667</f>
        <v>0.50833333333333308</v>
      </c>
      <c r="Q499" s="536">
        <f>1-0.525</f>
        <v>0.47499999999999998</v>
      </c>
      <c r="R499" s="536">
        <f>1-0.416666666666667</f>
        <v>0.58333333333333304</v>
      </c>
    </row>
    <row r="500" spans="1:18">
      <c r="A500" s="536">
        <v>0.41666666666666702</v>
      </c>
      <c r="B500" s="536">
        <v>0.50833333333333297</v>
      </c>
      <c r="C500" s="536">
        <v>0.47499999999999998</v>
      </c>
      <c r="D500" s="536">
        <v>0.58333333333333304</v>
      </c>
      <c r="E500" s="645">
        <v>0.64166666666666705</v>
      </c>
      <c r="F500" s="536">
        <v>0.64166666666666705</v>
      </c>
      <c r="G500" s="536">
        <v>0.65833333333333299</v>
      </c>
      <c r="H500" s="536">
        <v>0.57499999999999996</v>
      </c>
      <c r="I500" s="536">
        <v>0.5</v>
      </c>
      <c r="J500" s="536"/>
      <c r="K500" s="536">
        <f>1-0.508333333333333</f>
        <v>0.49166666666666703</v>
      </c>
      <c r="L500" s="536"/>
      <c r="M500" s="536"/>
      <c r="N500" s="536">
        <f>1-0.641666666666667</f>
        <v>0.35833333333333295</v>
      </c>
      <c r="O500" s="536"/>
      <c r="P500" s="536">
        <f>1-0.658333333333333</f>
        <v>0.34166666666666701</v>
      </c>
      <c r="Q500" s="536">
        <f>1-0.575</f>
        <v>0.42500000000000004</v>
      </c>
      <c r="R500" s="536">
        <f>1-0.5</f>
        <v>0.5</v>
      </c>
    </row>
    <row r="501" spans="1:18">
      <c r="A501" s="536">
        <v>0.56666666666666698</v>
      </c>
      <c r="B501" s="536">
        <v>0.64166666666666705</v>
      </c>
      <c r="C501" s="536">
        <v>0.63333333333333297</v>
      </c>
      <c r="D501" s="536">
        <v>0.72499999999999998</v>
      </c>
      <c r="E501" s="645">
        <v>0.7</v>
      </c>
      <c r="F501" s="536">
        <v>0.80833333333333302</v>
      </c>
      <c r="G501" s="536">
        <v>0.70833333333333304</v>
      </c>
      <c r="H501" s="536">
        <v>0.65833333333333299</v>
      </c>
      <c r="I501" s="536">
        <v>0.55833333333333302</v>
      </c>
      <c r="J501" s="536"/>
      <c r="K501" s="536">
        <f>1-0.641666666666667</f>
        <v>0.35833333333333295</v>
      </c>
      <c r="L501" s="536"/>
      <c r="M501" s="536"/>
      <c r="N501" s="536">
        <f>1-0.7</f>
        <v>0.30000000000000004</v>
      </c>
      <c r="O501" s="536"/>
      <c r="P501" s="536">
        <f>1-0.708333333333333</f>
        <v>0.29166666666666696</v>
      </c>
      <c r="Q501" s="536">
        <f>1-0.658333333333333</f>
        <v>0.34166666666666701</v>
      </c>
      <c r="R501" s="536">
        <f>1-0.558333333333333</f>
        <v>0.44166666666666698</v>
      </c>
    </row>
    <row r="502" spans="1:18">
      <c r="A502" s="536">
        <v>0.7</v>
      </c>
      <c r="B502" s="536">
        <v>0.8</v>
      </c>
      <c r="C502" s="536">
        <v>0.77500000000000002</v>
      </c>
      <c r="D502" s="536">
        <v>0.78333333333333299</v>
      </c>
      <c r="E502" s="645">
        <v>0.86666666666666703</v>
      </c>
      <c r="F502" s="536">
        <v>0.85833333333333295</v>
      </c>
      <c r="G502" s="536">
        <v>0.79166666666666696</v>
      </c>
      <c r="H502" s="536">
        <v>0.71666666666666701</v>
      </c>
      <c r="I502" s="536">
        <v>0.70833333333333304</v>
      </c>
      <c r="J502" s="536"/>
      <c r="K502" s="536">
        <f>1-0.8</f>
        <v>0.19999999999999996</v>
      </c>
      <c r="L502" s="536"/>
      <c r="M502" s="536"/>
      <c r="N502" s="536">
        <f>1-0.866666666666667</f>
        <v>0.13333333333333297</v>
      </c>
      <c r="O502" s="536"/>
      <c r="P502" s="536">
        <f>1-0.791666666666667</f>
        <v>0.20833333333333304</v>
      </c>
      <c r="Q502" s="536">
        <f>1-0.716666666666667</f>
        <v>0.28333333333333299</v>
      </c>
      <c r="R502" s="536">
        <f>1-0.708333333333333</f>
        <v>0.29166666666666696</v>
      </c>
    </row>
    <row r="503" spans="1:18">
      <c r="A503" s="536">
        <v>0.85833333333333295</v>
      </c>
      <c r="B503" s="536">
        <v>0.94166666666666698</v>
      </c>
      <c r="C503" s="536">
        <v>0.83333333333333304</v>
      </c>
      <c r="D503" s="536">
        <v>0.95</v>
      </c>
      <c r="E503" s="645">
        <v>0.91666666666666696</v>
      </c>
      <c r="F503" s="536">
        <v>0.94166666666666698</v>
      </c>
      <c r="G503" s="536">
        <v>0.85</v>
      </c>
      <c r="H503" s="536">
        <v>0.86666666666666703</v>
      </c>
      <c r="I503" s="536">
        <v>0.84166666666666701</v>
      </c>
      <c r="J503" s="536"/>
      <c r="K503" s="536">
        <f>1-0.941666666666667</f>
        <v>5.8333333333333015E-2</v>
      </c>
      <c r="L503" s="536"/>
      <c r="M503" s="536"/>
      <c r="N503" s="536">
        <f>1-0.916666666666667</f>
        <v>8.3333333333333037E-2</v>
      </c>
      <c r="O503" s="536"/>
      <c r="P503" s="536">
        <f>1-0.85</f>
        <v>0.15000000000000002</v>
      </c>
      <c r="Q503" s="536">
        <f>1-0.866666666666667</f>
        <v>0.13333333333333297</v>
      </c>
      <c r="R503" s="536">
        <f>1-0.841666666666667</f>
        <v>0.15833333333333299</v>
      </c>
    </row>
    <row r="504" spans="1:18">
      <c r="A504" s="536">
        <v>1</v>
      </c>
      <c r="B504" s="536">
        <v>1</v>
      </c>
      <c r="C504" s="536">
        <v>1</v>
      </c>
      <c r="D504" s="536">
        <v>1</v>
      </c>
      <c r="E504" s="645">
        <v>1</v>
      </c>
      <c r="F504" s="536">
        <v>1</v>
      </c>
      <c r="G504" s="536">
        <v>1</v>
      </c>
      <c r="H504" s="536">
        <v>1</v>
      </c>
      <c r="I504" s="536">
        <v>1</v>
      </c>
      <c r="J504" s="536"/>
      <c r="K504" s="536">
        <f>1-1</f>
        <v>0</v>
      </c>
      <c r="L504" s="536"/>
      <c r="M504" s="536"/>
      <c r="N504" s="536">
        <f>1-1</f>
        <v>0</v>
      </c>
      <c r="O504" s="536"/>
      <c r="P504" s="536">
        <f>1-1</f>
        <v>0</v>
      </c>
      <c r="Q504" s="536">
        <f>1-1</f>
        <v>0</v>
      </c>
      <c r="R504" s="536">
        <f>1-1</f>
        <v>0</v>
      </c>
    </row>
    <row r="507" spans="1:18">
      <c r="A507" s="1352" t="s">
        <v>3466</v>
      </c>
      <c r="B507" s="1352"/>
      <c r="C507" s="1352"/>
      <c r="E507" s="527">
        <f>30/8</f>
        <v>3.75</v>
      </c>
      <c r="F507" s="528"/>
    </row>
    <row r="508" spans="1:18">
      <c r="A508" s="577" t="s">
        <v>124</v>
      </c>
      <c r="B508" s="577" t="s">
        <v>3149</v>
      </c>
      <c r="C508" s="577" t="s">
        <v>3467</v>
      </c>
      <c r="E508" s="577" t="s">
        <v>124</v>
      </c>
      <c r="F508" s="528"/>
    </row>
    <row r="509" spans="1:18">
      <c r="A509" s="577" t="s">
        <v>1751</v>
      </c>
      <c r="B509" s="577">
        <v>26</v>
      </c>
      <c r="C509" s="577">
        <f>B513</f>
        <v>10</v>
      </c>
      <c r="E509" s="577" t="s">
        <v>1751</v>
      </c>
      <c r="F509" s="528"/>
    </row>
    <row r="510" spans="1:18">
      <c r="A510" s="577" t="s">
        <v>1810</v>
      </c>
      <c r="B510" s="577">
        <f t="shared" ref="B510:B515" si="19">B509-4</f>
        <v>22</v>
      </c>
      <c r="C510" s="577">
        <f>B514</f>
        <v>6</v>
      </c>
      <c r="E510" s="577" t="s">
        <v>1810</v>
      </c>
      <c r="F510" s="528"/>
    </row>
    <row r="511" spans="1:18">
      <c r="A511" s="577" t="s">
        <v>1359</v>
      </c>
      <c r="B511" s="577">
        <f t="shared" si="19"/>
        <v>18</v>
      </c>
      <c r="C511" s="577">
        <f>B515</f>
        <v>2</v>
      </c>
      <c r="E511" s="577" t="s">
        <v>1359</v>
      </c>
      <c r="F511" s="528"/>
    </row>
    <row r="512" spans="1:18">
      <c r="A512" s="577" t="s">
        <v>1446</v>
      </c>
      <c r="B512" s="577">
        <f t="shared" si="19"/>
        <v>14</v>
      </c>
      <c r="C512" s="577">
        <f>B509</f>
        <v>26</v>
      </c>
      <c r="E512" s="577" t="s">
        <v>1446</v>
      </c>
      <c r="F512" s="528"/>
    </row>
    <row r="513" spans="1:13">
      <c r="A513" s="577" t="s">
        <v>1538</v>
      </c>
      <c r="B513" s="577">
        <f t="shared" si="19"/>
        <v>10</v>
      </c>
      <c r="C513" s="577">
        <f>B510</f>
        <v>22</v>
      </c>
      <c r="E513" s="577" t="s">
        <v>1538</v>
      </c>
      <c r="F513" s="528"/>
    </row>
    <row r="514" spans="1:13">
      <c r="A514" s="577" t="s">
        <v>1613</v>
      </c>
      <c r="B514" s="577">
        <f t="shared" si="19"/>
        <v>6</v>
      </c>
      <c r="C514" s="577">
        <f>B511</f>
        <v>18</v>
      </c>
      <c r="E514" s="577" t="s">
        <v>1613</v>
      </c>
      <c r="F514" s="528"/>
    </row>
    <row r="515" spans="1:13">
      <c r="A515" s="577" t="s">
        <v>1682</v>
      </c>
      <c r="B515" s="577">
        <f t="shared" si="19"/>
        <v>2</v>
      </c>
      <c r="C515" s="577">
        <f>B512</f>
        <v>14</v>
      </c>
      <c r="E515" s="577" t="s">
        <v>1682</v>
      </c>
      <c r="F515" s="528"/>
    </row>
    <row r="517" spans="1:13">
      <c r="D517" s="577"/>
    </row>
    <row r="519" spans="1:13">
      <c r="A519" s="1353" t="s">
        <v>3468</v>
      </c>
      <c r="B519" s="1353"/>
      <c r="C519" s="1353"/>
      <c r="D519" s="1353"/>
      <c r="E519" s="1353"/>
    </row>
    <row r="520" spans="1:13" ht="30">
      <c r="A520" s="731" t="s">
        <v>138</v>
      </c>
      <c r="B520" s="732" t="s">
        <v>3469</v>
      </c>
      <c r="C520" s="732" t="s">
        <v>3470</v>
      </c>
      <c r="D520" s="733" t="s">
        <v>1735</v>
      </c>
      <c r="E520" s="734" t="s">
        <v>3471</v>
      </c>
      <c r="F520" s="735" t="s">
        <v>5144</v>
      </c>
      <c r="G520" s="735" t="s">
        <v>5145</v>
      </c>
      <c r="H520" s="735" t="s">
        <v>5146</v>
      </c>
      <c r="I520" s="735" t="s">
        <v>5147</v>
      </c>
      <c r="J520" s="735" t="s">
        <v>5148</v>
      </c>
      <c r="K520" s="735" t="s">
        <v>5149</v>
      </c>
      <c r="L520" s="735" t="s">
        <v>5150</v>
      </c>
      <c r="M520" s="527" t="s">
        <v>5158</v>
      </c>
    </row>
    <row r="521" spans="1:13" ht="30">
      <c r="A521" s="736" t="s">
        <v>158</v>
      </c>
      <c r="B521" s="730" t="s">
        <v>3472</v>
      </c>
      <c r="C521" s="730" t="s">
        <v>943</v>
      </c>
      <c r="D521" s="730" t="s">
        <v>162</v>
      </c>
      <c r="E521" s="737" t="s">
        <v>1923</v>
      </c>
      <c r="F521" s="732" t="s">
        <v>162</v>
      </c>
      <c r="G521" s="732"/>
      <c r="H521" s="732"/>
      <c r="I521" s="732"/>
      <c r="J521" s="732"/>
      <c r="K521" s="732"/>
      <c r="L521" s="732"/>
      <c r="M521" s="527" t="s">
        <v>5151</v>
      </c>
    </row>
    <row r="522" spans="1:13" ht="60">
      <c r="A522" s="736" t="s">
        <v>3148</v>
      </c>
      <c r="B522" s="738" t="s">
        <v>3473</v>
      </c>
      <c r="C522" s="730" t="s">
        <v>931</v>
      </c>
      <c r="D522" s="738" t="s">
        <v>3474</v>
      </c>
      <c r="E522" s="739" t="s">
        <v>3475</v>
      </c>
      <c r="F522" s="738" t="s">
        <v>800</v>
      </c>
      <c r="G522" s="738" t="s">
        <v>162</v>
      </c>
      <c r="H522" s="738"/>
      <c r="I522" s="738"/>
      <c r="J522" s="738"/>
      <c r="K522" s="738"/>
      <c r="L522" s="738"/>
      <c r="M522" s="527" t="s">
        <v>5152</v>
      </c>
    </row>
    <row r="523" spans="1:13" ht="60">
      <c r="A523" s="736" t="s">
        <v>160</v>
      </c>
      <c r="B523" s="738" t="s">
        <v>3476</v>
      </c>
      <c r="C523" s="738" t="s">
        <v>3477</v>
      </c>
      <c r="D523" s="738" t="s">
        <v>3478</v>
      </c>
      <c r="E523" s="739" t="s">
        <v>3479</v>
      </c>
      <c r="F523" s="738" t="s">
        <v>800</v>
      </c>
      <c r="G523" s="738" t="s">
        <v>163</v>
      </c>
      <c r="H523" s="738"/>
      <c r="I523" s="738"/>
      <c r="J523" s="738"/>
      <c r="K523" s="738"/>
      <c r="L523" s="738"/>
      <c r="M523" s="527" t="s">
        <v>5153</v>
      </c>
    </row>
    <row r="524" spans="1:13" ht="45">
      <c r="A524" s="736" t="s">
        <v>161</v>
      </c>
      <c r="B524" s="738" t="s">
        <v>3480</v>
      </c>
      <c r="C524" s="738" t="s">
        <v>3481</v>
      </c>
      <c r="D524" s="738" t="s">
        <v>3482</v>
      </c>
      <c r="E524" s="739" t="s">
        <v>3483</v>
      </c>
      <c r="F524" s="738" t="s">
        <v>159</v>
      </c>
      <c r="G524" s="738" t="s">
        <v>160</v>
      </c>
      <c r="H524" s="738" t="s">
        <v>162</v>
      </c>
      <c r="I524" s="738" t="s">
        <v>163</v>
      </c>
      <c r="J524" s="738" t="s">
        <v>164</v>
      </c>
      <c r="K524" s="738" t="s">
        <v>165</v>
      </c>
      <c r="L524" s="738" t="s">
        <v>166</v>
      </c>
      <c r="M524" s="527" t="s">
        <v>5154</v>
      </c>
    </row>
    <row r="525" spans="1:13" ht="60">
      <c r="A525" s="736" t="s">
        <v>3484</v>
      </c>
      <c r="B525" s="738" t="s">
        <v>3485</v>
      </c>
      <c r="C525" s="738" t="s">
        <v>3486</v>
      </c>
      <c r="D525" s="738" t="s">
        <v>3487</v>
      </c>
      <c r="E525" s="739" t="s">
        <v>3488</v>
      </c>
      <c r="F525" s="738" t="s">
        <v>158</v>
      </c>
      <c r="G525" s="738" t="s">
        <v>159</v>
      </c>
      <c r="H525" s="738" t="s">
        <v>800</v>
      </c>
      <c r="I525" s="738" t="s">
        <v>163</v>
      </c>
      <c r="J525" s="738" t="s">
        <v>164</v>
      </c>
      <c r="K525" s="738" t="s">
        <v>165</v>
      </c>
      <c r="L525" s="738" t="s">
        <v>166</v>
      </c>
      <c r="M525" s="527" t="s">
        <v>5155</v>
      </c>
    </row>
    <row r="526" spans="1:13" ht="60">
      <c r="A526" s="736" t="s">
        <v>3489</v>
      </c>
      <c r="B526" s="738" t="s">
        <v>3490</v>
      </c>
      <c r="C526" s="738" t="s">
        <v>3491</v>
      </c>
      <c r="D526" s="738" t="s">
        <v>3492</v>
      </c>
      <c r="E526" s="739" t="s">
        <v>3493</v>
      </c>
      <c r="F526" s="738" t="s">
        <v>160</v>
      </c>
      <c r="G526" s="738" t="s">
        <v>800</v>
      </c>
      <c r="H526" s="738" t="s">
        <v>162</v>
      </c>
      <c r="I526" s="738" t="s">
        <v>164</v>
      </c>
      <c r="J526" s="738" t="s">
        <v>165</v>
      </c>
      <c r="K526" s="738" t="s">
        <v>166</v>
      </c>
      <c r="L526" s="738"/>
      <c r="M526" s="527" t="s">
        <v>5156</v>
      </c>
    </row>
    <row r="527" spans="1:13" ht="90">
      <c r="A527" s="736" t="s">
        <v>164</v>
      </c>
      <c r="B527" s="738" t="s">
        <v>3494</v>
      </c>
      <c r="C527" s="738" t="s">
        <v>3495</v>
      </c>
      <c r="D527" s="738" t="s">
        <v>3496</v>
      </c>
      <c r="E527" s="739" t="s">
        <v>3497</v>
      </c>
      <c r="F527" s="738" t="s">
        <v>800</v>
      </c>
      <c r="G527" s="738" t="s">
        <v>162</v>
      </c>
      <c r="H527" s="738" t="s">
        <v>163</v>
      </c>
      <c r="I527" s="738"/>
      <c r="J527" s="738"/>
      <c r="K527" s="738"/>
      <c r="L527" s="738"/>
      <c r="M527" s="527" t="s">
        <v>5157</v>
      </c>
    </row>
    <row r="528" spans="1:13" ht="90">
      <c r="A528" s="736" t="s">
        <v>165</v>
      </c>
      <c r="B528" s="738" t="s">
        <v>3498</v>
      </c>
      <c r="C528" s="730" t="s">
        <v>997</v>
      </c>
      <c r="D528" s="738" t="s">
        <v>3499</v>
      </c>
      <c r="E528" s="739" t="s">
        <v>3500</v>
      </c>
      <c r="F528" s="738" t="s">
        <v>800</v>
      </c>
      <c r="G528" s="738" t="s">
        <v>162</v>
      </c>
      <c r="H528" s="738" t="s">
        <v>163</v>
      </c>
      <c r="I528" s="738" t="s">
        <v>164</v>
      </c>
      <c r="J528" s="738"/>
      <c r="K528" s="738"/>
      <c r="L528" s="738"/>
    </row>
    <row r="529" spans="1:12" ht="45">
      <c r="A529" s="740" t="s">
        <v>166</v>
      </c>
      <c r="B529" s="741" t="s">
        <v>3168</v>
      </c>
      <c r="C529" s="741" t="s">
        <v>969</v>
      </c>
      <c r="D529" s="741" t="s">
        <v>3501</v>
      </c>
      <c r="E529" s="742" t="s">
        <v>3502</v>
      </c>
      <c r="F529" s="743" t="s">
        <v>158</v>
      </c>
      <c r="G529" s="743" t="s">
        <v>159</v>
      </c>
      <c r="H529" s="743"/>
      <c r="I529" s="743"/>
      <c r="J529" s="743"/>
      <c r="K529" s="743"/>
      <c r="L529" s="743"/>
    </row>
    <row r="530" spans="1:12">
      <c r="A530" s="559"/>
    </row>
    <row r="532" spans="1:12" ht="18" customHeight="1">
      <c r="A532" s="744"/>
      <c r="B532" s="1354" t="s">
        <v>3503</v>
      </c>
      <c r="C532" s="1354"/>
      <c r="D532" s="1354"/>
      <c r="E532" s="1354"/>
    </row>
    <row r="533" spans="1:12">
      <c r="A533" s="745" t="s">
        <v>3504</v>
      </c>
      <c r="B533" s="745" t="s">
        <v>3505</v>
      </c>
      <c r="C533" s="745" t="s">
        <v>3506</v>
      </c>
      <c r="D533" s="745" t="s">
        <v>3507</v>
      </c>
      <c r="E533" s="745" t="s">
        <v>3508</v>
      </c>
      <c r="F533" s="746" t="s">
        <v>3509</v>
      </c>
      <c r="G533" s="746" t="s">
        <v>3510</v>
      </c>
      <c r="H533" s="747" t="s">
        <v>243</v>
      </c>
      <c r="I533" s="747" t="s">
        <v>3511</v>
      </c>
      <c r="J533" s="747" t="s">
        <v>3512</v>
      </c>
      <c r="K533" s="747" t="s">
        <v>3513</v>
      </c>
    </row>
    <row r="534" spans="1:12">
      <c r="A534" s="170" t="s">
        <v>142</v>
      </c>
      <c r="B534" s="170">
        <v>6</v>
      </c>
      <c r="C534" s="170">
        <v>5</v>
      </c>
      <c r="D534" s="170">
        <v>3</v>
      </c>
      <c r="E534" s="170">
        <v>3.5</v>
      </c>
      <c r="F534" s="170">
        <v>1</v>
      </c>
      <c r="G534" s="170">
        <f t="shared" ref="G534:G549" si="20">MOD(120+F534-1,12)+1</f>
        <v>1</v>
      </c>
      <c r="H534" s="746">
        <v>1</v>
      </c>
      <c r="I534" s="746"/>
      <c r="J534" s="746"/>
      <c r="K534" s="746"/>
    </row>
    <row r="535" spans="1:12">
      <c r="A535" s="170" t="s">
        <v>348</v>
      </c>
      <c r="B535" s="170">
        <v>2</v>
      </c>
      <c r="C535" s="170">
        <v>2</v>
      </c>
      <c r="D535" s="170">
        <v>1.5</v>
      </c>
      <c r="E535" s="170">
        <v>1</v>
      </c>
      <c r="F535" s="170">
        <v>2</v>
      </c>
      <c r="G535" s="170">
        <f t="shared" si="20"/>
        <v>2</v>
      </c>
      <c r="H535" s="746">
        <v>2</v>
      </c>
      <c r="I535" s="748" t="s">
        <v>3514</v>
      </c>
      <c r="J535" s="746" t="s">
        <v>3515</v>
      </c>
      <c r="K535" s="746" t="s">
        <v>3516</v>
      </c>
    </row>
    <row r="536" spans="1:12">
      <c r="A536" s="170" t="s">
        <v>145</v>
      </c>
      <c r="B536" s="170">
        <v>4</v>
      </c>
      <c r="C536" s="170">
        <v>3</v>
      </c>
      <c r="D536" s="170">
        <v>1.5</v>
      </c>
      <c r="E536" s="170">
        <v>1</v>
      </c>
      <c r="F536" s="170">
        <v>3</v>
      </c>
      <c r="G536" s="170">
        <f t="shared" si="20"/>
        <v>3</v>
      </c>
      <c r="H536" s="746">
        <v>3</v>
      </c>
      <c r="I536" s="746" t="s">
        <v>3517</v>
      </c>
      <c r="J536" s="746" t="s">
        <v>3518</v>
      </c>
      <c r="K536" s="746" t="s">
        <v>3519</v>
      </c>
    </row>
    <row r="537" spans="1:12">
      <c r="A537" s="170" t="s">
        <v>151</v>
      </c>
      <c r="B537" s="170">
        <v>5</v>
      </c>
      <c r="C537" s="170">
        <v>2.5</v>
      </c>
      <c r="D537" s="170">
        <v>1.5</v>
      </c>
      <c r="E537" s="170">
        <v>3</v>
      </c>
      <c r="F537" s="170">
        <v>9</v>
      </c>
      <c r="G537" s="170">
        <f t="shared" si="20"/>
        <v>9</v>
      </c>
      <c r="H537" s="746">
        <v>4</v>
      </c>
      <c r="I537" s="746" t="s">
        <v>3520</v>
      </c>
      <c r="J537" s="746" t="s">
        <v>3521</v>
      </c>
      <c r="K537" s="746" t="s">
        <v>3522</v>
      </c>
    </row>
    <row r="538" spans="1:12">
      <c r="A538" s="170" t="s">
        <v>155</v>
      </c>
      <c r="B538" s="170">
        <v>2</v>
      </c>
      <c r="C538" s="170">
        <v>4.5</v>
      </c>
      <c r="D538" s="170">
        <v>1.5</v>
      </c>
      <c r="E538" s="170">
        <v>0.5</v>
      </c>
      <c r="F538" s="170">
        <v>12</v>
      </c>
      <c r="G538" s="170">
        <f t="shared" si="20"/>
        <v>12</v>
      </c>
      <c r="H538" s="746">
        <v>5</v>
      </c>
      <c r="I538" s="746" t="s">
        <v>3523</v>
      </c>
      <c r="J538" s="746" t="s">
        <v>3524</v>
      </c>
      <c r="K538" s="746" t="s">
        <v>3525</v>
      </c>
    </row>
    <row r="539" spans="1:12">
      <c r="A539" s="170" t="s">
        <v>349</v>
      </c>
      <c r="B539" s="170">
        <v>1</v>
      </c>
      <c r="C539" s="170">
        <v>2</v>
      </c>
      <c r="D539" s="170">
        <v>1.5</v>
      </c>
      <c r="E539" s="170">
        <v>1</v>
      </c>
      <c r="F539" s="170">
        <v>30</v>
      </c>
      <c r="G539" s="170">
        <f t="shared" si="20"/>
        <v>6</v>
      </c>
      <c r="H539" s="746">
        <v>6</v>
      </c>
      <c r="I539" s="746" t="s">
        <v>3526</v>
      </c>
      <c r="J539" s="746" t="s">
        <v>3527</v>
      </c>
      <c r="K539" s="746" t="s">
        <v>3528</v>
      </c>
    </row>
    <row r="540" spans="1:12">
      <c r="A540" s="170" t="s">
        <v>149</v>
      </c>
      <c r="B540" s="170"/>
      <c r="C540" s="170">
        <v>1</v>
      </c>
      <c r="D540" s="170">
        <v>1.5</v>
      </c>
      <c r="E540" s="170">
        <v>0.5</v>
      </c>
      <c r="F540" s="170">
        <v>7</v>
      </c>
      <c r="G540" s="170">
        <f t="shared" si="20"/>
        <v>7</v>
      </c>
      <c r="H540" s="746">
        <v>7</v>
      </c>
      <c r="I540" s="746" t="s">
        <v>3529</v>
      </c>
      <c r="J540" s="746" t="s">
        <v>3530</v>
      </c>
      <c r="K540" s="746" t="s">
        <v>3531</v>
      </c>
    </row>
    <row r="541" spans="1:12">
      <c r="A541" s="170" t="s">
        <v>153</v>
      </c>
      <c r="B541" s="170"/>
      <c r="C541" s="170"/>
      <c r="D541" s="170">
        <v>1.5</v>
      </c>
      <c r="E541" s="170">
        <v>0.5</v>
      </c>
      <c r="F541" s="170">
        <v>10</v>
      </c>
      <c r="G541" s="170">
        <f t="shared" si="20"/>
        <v>10</v>
      </c>
      <c r="H541" s="746">
        <v>8</v>
      </c>
      <c r="I541" s="746"/>
      <c r="J541" s="746" t="s">
        <v>3532</v>
      </c>
      <c r="K541" s="746" t="s">
        <v>3533</v>
      </c>
    </row>
    <row r="542" spans="1:12">
      <c r="A542" s="170" t="s">
        <v>3534</v>
      </c>
      <c r="B542" s="170"/>
      <c r="C542" s="170"/>
      <c r="D542" s="170">
        <v>1.5</v>
      </c>
      <c r="E542" s="170">
        <v>2</v>
      </c>
      <c r="F542" s="170">
        <v>16</v>
      </c>
      <c r="G542" s="170">
        <f t="shared" si="20"/>
        <v>4</v>
      </c>
      <c r="H542" s="746">
        <v>9</v>
      </c>
      <c r="I542" s="746"/>
      <c r="J542" s="746" t="s">
        <v>3535</v>
      </c>
      <c r="K542" s="746" t="s">
        <v>3536</v>
      </c>
    </row>
    <row r="543" spans="1:12">
      <c r="A543" s="170" t="s">
        <v>3537</v>
      </c>
      <c r="B543" s="170"/>
      <c r="C543" s="170"/>
      <c r="D543" s="170">
        <v>5</v>
      </c>
      <c r="E543" s="170">
        <v>4</v>
      </c>
      <c r="F543" s="170">
        <v>60</v>
      </c>
      <c r="G543" s="170">
        <f t="shared" si="20"/>
        <v>12</v>
      </c>
      <c r="H543" s="746">
        <v>10</v>
      </c>
      <c r="I543" s="746"/>
      <c r="J543" s="746" t="s">
        <v>3538</v>
      </c>
      <c r="K543" s="746" t="s">
        <v>3539</v>
      </c>
    </row>
    <row r="544" spans="1:12">
      <c r="A544" s="170" t="s">
        <v>3540</v>
      </c>
      <c r="B544" s="170"/>
      <c r="C544" s="170"/>
      <c r="D544" s="170"/>
      <c r="E544" s="170">
        <v>0.5</v>
      </c>
      <c r="F544" s="170">
        <v>20</v>
      </c>
      <c r="G544" s="170">
        <f t="shared" si="20"/>
        <v>8</v>
      </c>
      <c r="H544" s="746">
        <v>11</v>
      </c>
      <c r="I544" s="746"/>
      <c r="J544" s="746"/>
      <c r="K544" s="746" t="s">
        <v>3541</v>
      </c>
    </row>
    <row r="545" spans="1:11">
      <c r="A545" s="170" t="s">
        <v>3542</v>
      </c>
      <c r="B545" s="170"/>
      <c r="C545" s="170"/>
      <c r="D545" s="170"/>
      <c r="E545" s="170">
        <v>0.5</v>
      </c>
      <c r="F545" s="170">
        <v>24</v>
      </c>
      <c r="G545" s="170">
        <f t="shared" si="20"/>
        <v>12</v>
      </c>
      <c r="H545" s="746">
        <v>12</v>
      </c>
      <c r="I545" s="746"/>
      <c r="J545" s="746"/>
      <c r="K545" s="746" t="s">
        <v>3543</v>
      </c>
    </row>
    <row r="546" spans="1:11">
      <c r="A546" s="170" t="s">
        <v>3544</v>
      </c>
      <c r="B546" s="170"/>
      <c r="C546" s="170"/>
      <c r="D546" s="170"/>
      <c r="E546" s="170">
        <v>0.5</v>
      </c>
      <c r="F546" s="170">
        <v>27</v>
      </c>
      <c r="G546" s="170">
        <f t="shared" si="20"/>
        <v>3</v>
      </c>
      <c r="H546" s="746">
        <v>13</v>
      </c>
      <c r="I546" s="746"/>
      <c r="J546" s="746"/>
      <c r="K546" s="746" t="s">
        <v>3545</v>
      </c>
    </row>
    <row r="547" spans="1:11">
      <c r="A547" s="170" t="s">
        <v>147</v>
      </c>
      <c r="B547" s="170"/>
      <c r="C547" s="170"/>
      <c r="D547" s="170"/>
      <c r="E547" s="170">
        <v>0.5</v>
      </c>
      <c r="F547" s="170">
        <v>4</v>
      </c>
      <c r="G547" s="170">
        <f t="shared" si="20"/>
        <v>4</v>
      </c>
      <c r="H547" s="746">
        <v>14</v>
      </c>
      <c r="I547" s="746"/>
      <c r="J547" s="746"/>
      <c r="K547" s="746" t="s">
        <v>3546</v>
      </c>
    </row>
    <row r="548" spans="1:11">
      <c r="A548" s="170" t="s">
        <v>3547</v>
      </c>
      <c r="B548" s="170"/>
      <c r="C548" s="170"/>
      <c r="D548" s="170"/>
      <c r="E548" s="170">
        <v>0.5</v>
      </c>
      <c r="F548" s="170">
        <v>40</v>
      </c>
      <c r="G548" s="170">
        <f t="shared" si="20"/>
        <v>4</v>
      </c>
      <c r="H548" s="746">
        <v>15</v>
      </c>
      <c r="I548" s="746"/>
      <c r="J548" s="746"/>
      <c r="K548" s="746" t="s">
        <v>3548</v>
      </c>
    </row>
    <row r="549" spans="1:11">
      <c r="A549" s="170" t="s">
        <v>3549</v>
      </c>
      <c r="B549" s="170"/>
      <c r="C549" s="170"/>
      <c r="D549" s="170"/>
      <c r="E549" s="170">
        <v>0.5</v>
      </c>
      <c r="F549" s="170">
        <v>45</v>
      </c>
      <c r="G549" s="170">
        <f t="shared" si="20"/>
        <v>9</v>
      </c>
      <c r="H549" s="746">
        <v>16</v>
      </c>
      <c r="I549" s="746"/>
      <c r="J549" s="746"/>
      <c r="K549" s="746" t="s">
        <v>3550</v>
      </c>
    </row>
    <row r="550" spans="1:11">
      <c r="A550" s="749" t="s">
        <v>320</v>
      </c>
      <c r="B550" s="749">
        <f ca="1">SUBTOTAL(109,vargavishwa[Shadvarga Vimshopaka])</f>
        <v>20</v>
      </c>
      <c r="C550" s="749">
        <f ca="1">SUBTOTAL(109,vargavishwa[Saptavarga Vimshopaka])</f>
        <v>20</v>
      </c>
      <c r="D550" s="749">
        <f ca="1">SUBTOTAL(109,vargavishwa[DasaVarga Vimshopaka])</f>
        <v>20</v>
      </c>
      <c r="E550" s="170">
        <f ca="1">SUBTOTAL(109,vargavishwa[ShodasaVarga Vimshopaka])</f>
        <v>20</v>
      </c>
      <c r="F550" s="746">
        <f ca="1">SUBTOTAL(103,vargavishwa[Divisor])</f>
        <v>16</v>
      </c>
      <c r="G550" s="746">
        <f ca="1">SUBTOTAL(103,vargavishwa[House Equivalent])</f>
        <v>16</v>
      </c>
      <c r="H550" s="170"/>
      <c r="I550" s="170" t="s">
        <v>3551</v>
      </c>
      <c r="J550" s="170" t="s">
        <v>3551</v>
      </c>
      <c r="K550" s="170" t="s">
        <v>3551</v>
      </c>
    </row>
    <row r="551" spans="1:11">
      <c r="B551" s="750"/>
      <c r="C551" s="750"/>
      <c r="D551" s="750"/>
      <c r="E551" s="750"/>
    </row>
    <row r="553" spans="1:11" ht="17.25" customHeight="1">
      <c r="A553" s="751"/>
      <c r="B553" s="1355" t="s">
        <v>3552</v>
      </c>
      <c r="C553" s="1355"/>
      <c r="D553" s="1355" t="s">
        <v>3553</v>
      </c>
      <c r="E553" s="1355"/>
      <c r="F553" s="1355" t="s">
        <v>3554</v>
      </c>
      <c r="G553" s="1355"/>
      <c r="H553" s="1356" t="s">
        <v>3555</v>
      </c>
      <c r="I553" s="1356"/>
      <c r="J553" s="527" t="s">
        <v>3556</v>
      </c>
    </row>
    <row r="554" spans="1:11" ht="16.5">
      <c r="A554" s="752"/>
      <c r="B554" s="753" t="s">
        <v>301</v>
      </c>
      <c r="C554" s="753" t="s">
        <v>811</v>
      </c>
      <c r="D554" s="753" t="s">
        <v>301</v>
      </c>
      <c r="E554" s="753" t="s">
        <v>811</v>
      </c>
      <c r="F554" s="753" t="s">
        <v>301</v>
      </c>
      <c r="G554" s="753" t="s">
        <v>811</v>
      </c>
      <c r="H554" s="753" t="s">
        <v>301</v>
      </c>
      <c r="I554" s="754" t="s">
        <v>811</v>
      </c>
    </row>
    <row r="555" spans="1:11" ht="16.5">
      <c r="A555" s="752" t="s">
        <v>158</v>
      </c>
      <c r="B555" s="755" t="s">
        <v>164</v>
      </c>
      <c r="C555" s="755">
        <v>6</v>
      </c>
      <c r="D555" s="753" t="s">
        <v>160</v>
      </c>
      <c r="E555" s="753">
        <v>7</v>
      </c>
      <c r="F555" s="753" t="s">
        <v>162</v>
      </c>
      <c r="G555" s="753">
        <v>9</v>
      </c>
      <c r="H555" s="753" t="s">
        <v>163</v>
      </c>
      <c r="I555" s="754">
        <v>11</v>
      </c>
      <c r="J555" s="527" t="s">
        <v>3557</v>
      </c>
    </row>
    <row r="556" spans="1:11" ht="16.5">
      <c r="A556" s="752" t="s">
        <v>159</v>
      </c>
      <c r="B556" s="753" t="s">
        <v>163</v>
      </c>
      <c r="C556" s="753">
        <v>7</v>
      </c>
      <c r="D556" s="753" t="s">
        <v>160</v>
      </c>
      <c r="E556" s="753">
        <v>9</v>
      </c>
      <c r="F556" s="753" t="s">
        <v>164</v>
      </c>
      <c r="G556" s="753">
        <v>11</v>
      </c>
      <c r="H556" s="753" t="s">
        <v>158</v>
      </c>
      <c r="I556" s="754">
        <v>3</v>
      </c>
      <c r="J556" s="527" t="s">
        <v>3558</v>
      </c>
    </row>
    <row r="557" spans="1:11" ht="16.5">
      <c r="A557" s="752" t="s">
        <v>160</v>
      </c>
      <c r="B557" s="753" t="s">
        <v>158</v>
      </c>
      <c r="C557" s="753">
        <v>2</v>
      </c>
      <c r="D557" s="753" t="s">
        <v>159</v>
      </c>
      <c r="E557" s="753">
        <v>6</v>
      </c>
      <c r="F557" s="753" t="s">
        <v>164</v>
      </c>
      <c r="G557" s="753">
        <v>11</v>
      </c>
      <c r="H557" s="755" t="s">
        <v>161</v>
      </c>
      <c r="I557" s="756">
        <v>12</v>
      </c>
      <c r="J557" s="527" t="s">
        <v>3559</v>
      </c>
    </row>
    <row r="558" spans="1:11" ht="16.5">
      <c r="A558" s="752" t="s">
        <v>161</v>
      </c>
      <c r="B558" s="753" t="s">
        <v>159</v>
      </c>
      <c r="C558" s="753">
        <v>2</v>
      </c>
      <c r="D558" s="753" t="s">
        <v>162</v>
      </c>
      <c r="E558" s="753">
        <v>4</v>
      </c>
      <c r="F558" s="753" t="s">
        <v>163</v>
      </c>
      <c r="G558" s="753">
        <v>5</v>
      </c>
      <c r="H558" s="755" t="s">
        <v>160</v>
      </c>
      <c r="I558" s="756">
        <v>3</v>
      </c>
      <c r="J558" s="527" t="s">
        <v>3560</v>
      </c>
    </row>
    <row r="559" spans="1:11" ht="16.5">
      <c r="A559" s="752" t="s">
        <v>162</v>
      </c>
      <c r="B559" s="755" t="s">
        <v>164</v>
      </c>
      <c r="C559" s="755">
        <v>6</v>
      </c>
      <c r="D559" s="753" t="s">
        <v>160</v>
      </c>
      <c r="E559" s="753">
        <v>5</v>
      </c>
      <c r="F559" s="753" t="s">
        <v>159</v>
      </c>
      <c r="G559" s="753">
        <v>7</v>
      </c>
      <c r="H559" s="753" t="s">
        <v>158</v>
      </c>
      <c r="I559" s="754">
        <v>12</v>
      </c>
      <c r="J559" s="527" t="s">
        <v>3561</v>
      </c>
    </row>
    <row r="560" spans="1:11" ht="16.5">
      <c r="A560" s="752" t="s">
        <v>163</v>
      </c>
      <c r="B560" s="753" t="s">
        <v>159</v>
      </c>
      <c r="C560" s="753">
        <v>2</v>
      </c>
      <c r="D560" s="753" t="s">
        <v>161</v>
      </c>
      <c r="E560" s="753">
        <v>6</v>
      </c>
      <c r="F560" s="757" t="s">
        <v>158</v>
      </c>
      <c r="G560" s="757">
        <v>12</v>
      </c>
      <c r="H560" s="758" t="s">
        <v>164</v>
      </c>
      <c r="I560" s="759">
        <v>4</v>
      </c>
      <c r="J560" s="527" t="s">
        <v>3562</v>
      </c>
    </row>
    <row r="561" spans="1:9" ht="16.5">
      <c r="A561" s="760" t="s">
        <v>164</v>
      </c>
      <c r="B561" s="761" t="s">
        <v>163</v>
      </c>
      <c r="C561" s="761">
        <v>3</v>
      </c>
      <c r="D561" s="761" t="s">
        <v>159</v>
      </c>
      <c r="E561" s="761">
        <v>11</v>
      </c>
      <c r="F561" s="762" t="s">
        <v>162</v>
      </c>
      <c r="G561" s="762">
        <v>6</v>
      </c>
      <c r="H561" s="761" t="s">
        <v>160</v>
      </c>
      <c r="I561" s="763">
        <v>7</v>
      </c>
    </row>
    <row r="563" spans="1:9">
      <c r="A563" s="764" t="s">
        <v>3563</v>
      </c>
    </row>
    <row r="564" spans="1:9">
      <c r="A564" s="764" t="s">
        <v>3564</v>
      </c>
    </row>
    <row r="565" spans="1:9">
      <c r="A565" s="764" t="s">
        <v>3565</v>
      </c>
    </row>
    <row r="566" spans="1:9">
      <c r="A566" s="764" t="s">
        <v>3566</v>
      </c>
    </row>
    <row r="567" spans="1:9">
      <c r="A567" s="764" t="s">
        <v>3567</v>
      </c>
    </row>
    <row r="568" spans="1:9">
      <c r="A568" s="764" t="s">
        <v>3568</v>
      </c>
    </row>
    <row r="569" spans="1:9">
      <c r="A569" s="764" t="s">
        <v>3569</v>
      </c>
    </row>
    <row r="570" spans="1:9">
      <c r="A570" s="764" t="s">
        <v>3570</v>
      </c>
    </row>
    <row r="571" spans="1:9">
      <c r="A571" s="764" t="s">
        <v>3571</v>
      </c>
    </row>
    <row r="572" spans="1:9">
      <c r="A572" s="764" t="s">
        <v>3572</v>
      </c>
    </row>
    <row r="573" spans="1:9" hidden="1"/>
    <row r="574" spans="1:9">
      <c r="A574" s="764" t="s">
        <v>3573</v>
      </c>
    </row>
    <row r="575" spans="1:9">
      <c r="A575" s="764" t="s">
        <v>3574</v>
      </c>
    </row>
    <row r="576" spans="1:9">
      <c r="A576" s="764" t="s">
        <v>3575</v>
      </c>
    </row>
    <row r="577" spans="1:5">
      <c r="A577" s="764" t="s">
        <v>3576</v>
      </c>
    </row>
    <row r="578" spans="1:5">
      <c r="A578" s="764" t="s">
        <v>3577</v>
      </c>
    </row>
    <row r="579" spans="1:5">
      <c r="A579" s="764" t="s">
        <v>3578</v>
      </c>
    </row>
    <row r="580" spans="1:5">
      <c r="A580" s="764" t="s">
        <v>3579</v>
      </c>
    </row>
    <row r="581" spans="1:5">
      <c r="A581" s="764" t="s">
        <v>3580</v>
      </c>
    </row>
    <row r="582" spans="1:5">
      <c r="A582" s="764" t="s">
        <v>3581</v>
      </c>
    </row>
    <row r="583" spans="1:5">
      <c r="A583" s="764" t="s">
        <v>3582</v>
      </c>
    </row>
    <row r="586" spans="1:5">
      <c r="A586" s="765" t="s">
        <v>301</v>
      </c>
      <c r="B586" s="765" t="s">
        <v>178</v>
      </c>
      <c r="C586" s="766" t="s">
        <v>3583</v>
      </c>
      <c r="D586" s="766" t="s">
        <v>3584</v>
      </c>
      <c r="E586" s="767" t="s">
        <v>2290</v>
      </c>
    </row>
    <row r="587" spans="1:5">
      <c r="A587" s="765" t="s">
        <v>3322</v>
      </c>
      <c r="B587" s="768">
        <v>1</v>
      </c>
      <c r="C587" s="768" t="s">
        <v>3585</v>
      </c>
      <c r="D587" s="766" t="s">
        <v>3586</v>
      </c>
      <c r="E587" s="767">
        <v>1</v>
      </c>
    </row>
    <row r="588" spans="1:5">
      <c r="A588" s="765" t="s">
        <v>3430</v>
      </c>
      <c r="B588" s="768">
        <v>2</v>
      </c>
      <c r="C588" s="768" t="s">
        <v>3587</v>
      </c>
      <c r="D588" s="766" t="s">
        <v>3588</v>
      </c>
      <c r="E588" s="767">
        <v>2</v>
      </c>
    </row>
    <row r="589" spans="1:5">
      <c r="A589" s="765" t="s">
        <v>3365</v>
      </c>
      <c r="B589" s="768">
        <v>9</v>
      </c>
      <c r="C589" s="768" t="s">
        <v>3589</v>
      </c>
      <c r="D589" s="766" t="s">
        <v>3590</v>
      </c>
      <c r="E589" s="767">
        <v>4</v>
      </c>
    </row>
    <row r="590" spans="1:5">
      <c r="A590" s="765" t="s">
        <v>3394</v>
      </c>
      <c r="B590" s="768">
        <v>5</v>
      </c>
      <c r="C590" s="768" t="s">
        <v>3591</v>
      </c>
      <c r="D590" s="766" t="s">
        <v>3592</v>
      </c>
      <c r="E590" s="767">
        <v>5</v>
      </c>
    </row>
    <row r="591" spans="1:5">
      <c r="A591" s="765" t="s">
        <v>3406</v>
      </c>
      <c r="B591" s="768">
        <v>3</v>
      </c>
      <c r="C591" s="768" t="s">
        <v>3593</v>
      </c>
      <c r="D591" s="766" t="s">
        <v>3594</v>
      </c>
      <c r="E591" s="767">
        <v>6</v>
      </c>
    </row>
    <row r="592" spans="1:5">
      <c r="A592" s="765" t="s">
        <v>3382</v>
      </c>
      <c r="B592" s="768">
        <v>6</v>
      </c>
      <c r="C592" s="768" t="s">
        <v>3595</v>
      </c>
      <c r="D592" s="766" t="s">
        <v>3596</v>
      </c>
      <c r="E592" s="767">
        <v>3</v>
      </c>
    </row>
    <row r="593" spans="1:28">
      <c r="A593" s="765" t="s">
        <v>3418</v>
      </c>
      <c r="B593" s="768">
        <v>8</v>
      </c>
      <c r="C593" s="768" t="s">
        <v>3597</v>
      </c>
      <c r="D593" s="766" t="s">
        <v>3598</v>
      </c>
      <c r="E593" s="767">
        <v>7</v>
      </c>
    </row>
    <row r="594" spans="1:28">
      <c r="A594" s="765" t="s">
        <v>3599</v>
      </c>
      <c r="B594" s="768">
        <v>4</v>
      </c>
      <c r="C594" s="769" t="s">
        <v>3600</v>
      </c>
      <c r="D594" s="770"/>
      <c r="E594" s="767">
        <v>8</v>
      </c>
    </row>
    <row r="595" spans="1:28">
      <c r="A595" s="771" t="s">
        <v>3601</v>
      </c>
      <c r="B595" s="772">
        <v>7</v>
      </c>
      <c r="C595" s="773" t="s">
        <v>3602</v>
      </c>
      <c r="D595" s="68"/>
      <c r="E595" s="767">
        <v>9</v>
      </c>
    </row>
    <row r="597" spans="1:28">
      <c r="D597" s="528"/>
      <c r="E597" s="527"/>
      <c r="X597" s="529"/>
      <c r="Y597" s="529"/>
      <c r="Z597" s="527"/>
      <c r="AA597" s="527"/>
    </row>
    <row r="598" spans="1:28" ht="14.25" customHeight="1"/>
    <row r="599" spans="1:28" ht="14.25" customHeight="1">
      <c r="A599" s="774" t="s">
        <v>178</v>
      </c>
      <c r="B599" s="775" t="s">
        <v>3603</v>
      </c>
      <c r="C599" s="775" t="s">
        <v>2011</v>
      </c>
      <c r="D599" s="774" t="s">
        <v>3604</v>
      </c>
      <c r="E599" s="774" t="s">
        <v>3605</v>
      </c>
      <c r="F599" s="774" t="s">
        <v>3606</v>
      </c>
      <c r="G599" s="527" t="s">
        <v>3607</v>
      </c>
      <c r="Z599" s="527"/>
      <c r="AB599" s="529"/>
    </row>
    <row r="600" spans="1:28" ht="14.25" customHeight="1">
      <c r="A600" s="776" t="s">
        <v>3608</v>
      </c>
      <c r="B600" s="777" t="s">
        <v>3609</v>
      </c>
      <c r="C600" s="777" t="s">
        <v>3610</v>
      </c>
      <c r="D600" s="777" t="s">
        <v>3611</v>
      </c>
      <c r="E600" s="777" t="s">
        <v>3612</v>
      </c>
      <c r="F600" s="777" t="s">
        <v>3613</v>
      </c>
      <c r="G600" s="778">
        <v>35</v>
      </c>
      <c r="Z600" s="527"/>
      <c r="AB600" s="529"/>
    </row>
    <row r="601" spans="1:28" ht="14.25" customHeight="1">
      <c r="A601" s="776" t="s">
        <v>3614</v>
      </c>
      <c r="B601" s="777" t="s">
        <v>3615</v>
      </c>
      <c r="C601" s="777" t="s">
        <v>3616</v>
      </c>
      <c r="D601" s="777" t="s">
        <v>3617</v>
      </c>
      <c r="E601" s="777" t="s">
        <v>3618</v>
      </c>
      <c r="F601" s="777" t="s">
        <v>3619</v>
      </c>
      <c r="G601" s="778">
        <v>36</v>
      </c>
      <c r="Z601" s="527"/>
      <c r="AB601" s="529"/>
    </row>
    <row r="602" spans="1:28" ht="14.25" customHeight="1">
      <c r="A602" s="776" t="s">
        <v>3620</v>
      </c>
      <c r="B602" s="777" t="s">
        <v>3621</v>
      </c>
      <c r="C602" s="777" t="s">
        <v>3622</v>
      </c>
      <c r="D602" s="777" t="s">
        <v>3623</v>
      </c>
      <c r="E602" s="777" t="s">
        <v>3624</v>
      </c>
      <c r="F602" s="777" t="s">
        <v>3625</v>
      </c>
      <c r="G602" s="778">
        <v>37</v>
      </c>
      <c r="Z602" s="527"/>
      <c r="AB602" s="529"/>
    </row>
    <row r="603" spans="1:28" ht="14.25" customHeight="1">
      <c r="A603" s="776" t="s">
        <v>3626</v>
      </c>
      <c r="B603" s="777" t="s">
        <v>3627</v>
      </c>
      <c r="C603" s="777" t="s">
        <v>3628</v>
      </c>
      <c r="D603" s="777" t="s">
        <v>3629</v>
      </c>
      <c r="E603" s="777" t="s">
        <v>3630</v>
      </c>
      <c r="F603" s="777" t="s">
        <v>3631</v>
      </c>
      <c r="G603" s="778">
        <v>38</v>
      </c>
      <c r="Z603" s="527"/>
      <c r="AB603" s="529"/>
    </row>
    <row r="604" spans="1:28" ht="14.25" customHeight="1">
      <c r="A604" s="776" t="s">
        <v>3632</v>
      </c>
      <c r="B604" s="777" t="s">
        <v>3633</v>
      </c>
      <c r="C604" s="777" t="s">
        <v>3634</v>
      </c>
      <c r="D604" s="777" t="s">
        <v>3635</v>
      </c>
      <c r="E604" s="777" t="s">
        <v>3636</v>
      </c>
      <c r="F604" s="777" t="s">
        <v>3637</v>
      </c>
      <c r="G604" s="778">
        <v>39</v>
      </c>
      <c r="Z604" s="527"/>
      <c r="AB604" s="529"/>
    </row>
    <row r="605" spans="1:28" ht="14.25" customHeight="1">
      <c r="A605" s="776" t="s">
        <v>3638</v>
      </c>
      <c r="B605" s="777" t="s">
        <v>3639</v>
      </c>
      <c r="C605" s="777" t="s">
        <v>3640</v>
      </c>
      <c r="D605" s="777" t="s">
        <v>3641</v>
      </c>
      <c r="E605" s="777" t="s">
        <v>3642</v>
      </c>
      <c r="F605" s="777" t="s">
        <v>3643</v>
      </c>
      <c r="G605" s="778">
        <v>40</v>
      </c>
      <c r="Z605" s="527"/>
      <c r="AB605" s="529"/>
    </row>
    <row r="606" spans="1:28" ht="14.25" customHeight="1">
      <c r="A606" s="776" t="s">
        <v>3644</v>
      </c>
      <c r="B606" s="777" t="s">
        <v>3645</v>
      </c>
      <c r="C606" s="777" t="s">
        <v>3646</v>
      </c>
      <c r="D606" s="777" t="s">
        <v>3647</v>
      </c>
      <c r="E606" s="777" t="s">
        <v>3648</v>
      </c>
      <c r="F606" s="777" t="s">
        <v>3649</v>
      </c>
      <c r="G606" s="625">
        <v>41</v>
      </c>
      <c r="Z606" s="527"/>
      <c r="AB606" s="529"/>
    </row>
    <row r="607" spans="1:28" ht="14.25" customHeight="1">
      <c r="A607" s="776" t="s">
        <v>3650</v>
      </c>
      <c r="B607" s="777" t="s">
        <v>3651</v>
      </c>
      <c r="C607" s="777" t="s">
        <v>3652</v>
      </c>
      <c r="D607" s="777" t="s">
        <v>3653</v>
      </c>
      <c r="E607" s="777" t="s">
        <v>3654</v>
      </c>
      <c r="F607" s="777" t="s">
        <v>3655</v>
      </c>
      <c r="G607" s="625">
        <v>42</v>
      </c>
      <c r="Z607" s="527"/>
      <c r="AB607" s="529"/>
    </row>
    <row r="608" spans="1:28" ht="14.25" customHeight="1">
      <c r="A608" s="776" t="s">
        <v>3656</v>
      </c>
      <c r="B608" s="777" t="s">
        <v>3657</v>
      </c>
      <c r="C608" s="777" t="s">
        <v>3658</v>
      </c>
      <c r="D608" s="777" t="s">
        <v>3659</v>
      </c>
      <c r="E608" s="777" t="s">
        <v>3660</v>
      </c>
      <c r="F608" s="777" t="s">
        <v>3661</v>
      </c>
      <c r="G608" s="625">
        <v>43</v>
      </c>
      <c r="Z608" s="527"/>
      <c r="AB608" s="529"/>
    </row>
    <row r="609" spans="1:28" ht="14.25" customHeight="1">
      <c r="A609" s="776">
        <v>10</v>
      </c>
      <c r="B609" s="777" t="s">
        <v>3662</v>
      </c>
      <c r="C609" s="777" t="s">
        <v>3663</v>
      </c>
      <c r="D609" s="777" t="s">
        <v>3664</v>
      </c>
      <c r="E609" s="777" t="s">
        <v>3665</v>
      </c>
      <c r="F609" s="777" t="s">
        <v>3666</v>
      </c>
      <c r="G609" s="625">
        <v>44</v>
      </c>
      <c r="Z609" s="527"/>
      <c r="AB609" s="529"/>
    </row>
    <row r="610" spans="1:28" ht="14.25" customHeight="1">
      <c r="A610" s="776">
        <v>11</v>
      </c>
      <c r="B610" s="777" t="s">
        <v>3667</v>
      </c>
      <c r="C610" s="777" t="s">
        <v>3668</v>
      </c>
      <c r="D610" s="777" t="s">
        <v>3669</v>
      </c>
      <c r="E610" s="777" t="s">
        <v>3670</v>
      </c>
      <c r="F610" s="777" t="s">
        <v>3671</v>
      </c>
      <c r="G610" s="625">
        <v>45</v>
      </c>
      <c r="Z610" s="527"/>
      <c r="AB610" s="529"/>
    </row>
    <row r="611" spans="1:28" ht="14.25" customHeight="1">
      <c r="A611" s="776">
        <v>12</v>
      </c>
      <c r="B611" s="777" t="s">
        <v>3672</v>
      </c>
      <c r="C611" s="777" t="s">
        <v>3673</v>
      </c>
      <c r="D611" s="777" t="s">
        <v>3674</v>
      </c>
      <c r="E611" s="777" t="s">
        <v>3675</v>
      </c>
      <c r="F611" s="777" t="s">
        <v>3676</v>
      </c>
      <c r="G611" s="625">
        <v>46</v>
      </c>
      <c r="Z611" s="527"/>
      <c r="AB611" s="529"/>
    </row>
    <row r="612" spans="1:28" ht="14.25" customHeight="1">
      <c r="A612" s="776">
        <v>13</v>
      </c>
      <c r="B612" s="777" t="s">
        <v>3677</v>
      </c>
      <c r="C612" s="779" t="s">
        <v>3678</v>
      </c>
      <c r="D612" s="777" t="s">
        <v>3679</v>
      </c>
      <c r="E612" s="777" t="s">
        <v>3680</v>
      </c>
      <c r="F612" s="777" t="s">
        <v>3681</v>
      </c>
      <c r="G612" s="625">
        <v>47</v>
      </c>
      <c r="Z612" s="527"/>
      <c r="AB612" s="529"/>
    </row>
    <row r="613" spans="1:28" ht="14.25" customHeight="1">
      <c r="A613" s="776">
        <v>14</v>
      </c>
      <c r="B613" s="777" t="s">
        <v>3682</v>
      </c>
      <c r="C613" s="777" t="s">
        <v>3683</v>
      </c>
      <c r="D613" s="777" t="s">
        <v>3684</v>
      </c>
      <c r="E613" s="777" t="s">
        <v>3685</v>
      </c>
      <c r="F613" s="777" t="s">
        <v>3686</v>
      </c>
      <c r="G613" s="625">
        <v>48</v>
      </c>
      <c r="Z613" s="527"/>
      <c r="AB613" s="529"/>
    </row>
    <row r="614" spans="1:28" ht="14.25" customHeight="1">
      <c r="A614" s="776">
        <v>15</v>
      </c>
      <c r="B614" s="777" t="s">
        <v>3687</v>
      </c>
      <c r="C614" s="777" t="s">
        <v>3688</v>
      </c>
      <c r="D614" s="777" t="s">
        <v>3689</v>
      </c>
      <c r="E614" s="777" t="s">
        <v>3690</v>
      </c>
      <c r="F614" s="777" t="s">
        <v>3691</v>
      </c>
      <c r="G614" s="625">
        <v>49</v>
      </c>
      <c r="Z614" s="527"/>
      <c r="AB614" s="529"/>
    </row>
    <row r="615" spans="1:28" ht="14.25" customHeight="1">
      <c r="A615" s="776">
        <v>16</v>
      </c>
      <c r="B615" s="777" t="s">
        <v>3692</v>
      </c>
      <c r="C615" s="777" t="s">
        <v>3693</v>
      </c>
      <c r="D615" s="777" t="s">
        <v>3694</v>
      </c>
      <c r="E615" s="777" t="s">
        <v>3695</v>
      </c>
      <c r="F615" s="777" t="s">
        <v>3696</v>
      </c>
      <c r="G615" s="625">
        <v>50</v>
      </c>
      <c r="Z615" s="527"/>
      <c r="AB615" s="529"/>
    </row>
    <row r="616" spans="1:28" ht="14.25" customHeight="1">
      <c r="A616" s="776">
        <v>17</v>
      </c>
      <c r="B616" s="777" t="s">
        <v>3697</v>
      </c>
      <c r="C616" s="777" t="s">
        <v>3698</v>
      </c>
      <c r="D616" s="777" t="s">
        <v>3699</v>
      </c>
      <c r="E616" s="777" t="s">
        <v>3700</v>
      </c>
      <c r="F616" s="777" t="s">
        <v>3701</v>
      </c>
      <c r="G616" s="625">
        <v>51</v>
      </c>
      <c r="Z616" s="527"/>
      <c r="AB616" s="529"/>
    </row>
    <row r="617" spans="1:28" ht="14.25" customHeight="1">
      <c r="A617" s="776">
        <v>18</v>
      </c>
      <c r="B617" s="777" t="s">
        <v>3702</v>
      </c>
      <c r="C617" s="780" t="s">
        <v>3703</v>
      </c>
      <c r="D617" s="777" t="s">
        <v>3704</v>
      </c>
      <c r="E617" s="777" t="s">
        <v>3705</v>
      </c>
      <c r="F617" s="777" t="s">
        <v>3706</v>
      </c>
      <c r="G617" s="625">
        <v>52</v>
      </c>
      <c r="Z617" s="527"/>
      <c r="AB617" s="529"/>
    </row>
    <row r="618" spans="1:28" ht="14.25" customHeight="1">
      <c r="A618" s="776">
        <v>19</v>
      </c>
      <c r="B618" s="777" t="s">
        <v>3707</v>
      </c>
      <c r="C618" s="777" t="s">
        <v>3708</v>
      </c>
      <c r="D618" s="777" t="s">
        <v>3709</v>
      </c>
      <c r="E618" s="777" t="s">
        <v>3710</v>
      </c>
      <c r="F618" s="777" t="s">
        <v>3711</v>
      </c>
      <c r="G618" s="625">
        <v>53</v>
      </c>
      <c r="Z618" s="527"/>
      <c r="AB618" s="529"/>
    </row>
    <row r="619" spans="1:28" ht="14.25" customHeight="1">
      <c r="A619" s="776">
        <v>20</v>
      </c>
      <c r="B619" s="777" t="s">
        <v>3712</v>
      </c>
      <c r="C619" s="777" t="s">
        <v>3713</v>
      </c>
      <c r="D619" s="777" t="s">
        <v>3714</v>
      </c>
      <c r="E619" s="777" t="s">
        <v>3715</v>
      </c>
      <c r="F619" s="777" t="s">
        <v>3716</v>
      </c>
      <c r="G619" s="625">
        <v>54</v>
      </c>
      <c r="Z619" s="527"/>
      <c r="AB619" s="529"/>
    </row>
    <row r="620" spans="1:28" ht="14.25" customHeight="1">
      <c r="A620" s="776">
        <v>21</v>
      </c>
      <c r="B620" s="781" t="s">
        <v>3717</v>
      </c>
      <c r="C620" s="781" t="s">
        <v>3718</v>
      </c>
      <c r="D620" s="781" t="s">
        <v>3719</v>
      </c>
      <c r="E620" s="781" t="s">
        <v>3720</v>
      </c>
      <c r="F620" s="781" t="s">
        <v>3721</v>
      </c>
      <c r="G620" s="625">
        <v>55</v>
      </c>
      <c r="Z620" s="527"/>
      <c r="AB620" s="529"/>
    </row>
    <row r="621" spans="1:28" ht="14.25" customHeight="1">
      <c r="A621" s="776">
        <v>22</v>
      </c>
      <c r="B621" s="781" t="s">
        <v>3722</v>
      </c>
      <c r="C621" s="781" t="s">
        <v>3723</v>
      </c>
      <c r="D621" s="781" t="s">
        <v>3724</v>
      </c>
      <c r="E621" s="781" t="s">
        <v>3725</v>
      </c>
      <c r="F621" s="781" t="s">
        <v>3726</v>
      </c>
      <c r="G621" s="625">
        <v>56</v>
      </c>
      <c r="Z621" s="527"/>
      <c r="AB621" s="529"/>
    </row>
    <row r="622" spans="1:28" ht="14.25" customHeight="1">
      <c r="A622" s="776">
        <v>23</v>
      </c>
      <c r="B622" s="781" t="s">
        <v>3727</v>
      </c>
      <c r="C622" s="781" t="s">
        <v>3728</v>
      </c>
      <c r="D622" s="781" t="s">
        <v>3729</v>
      </c>
      <c r="E622" s="781" t="s">
        <v>3730</v>
      </c>
      <c r="F622" s="781" t="s">
        <v>3731</v>
      </c>
      <c r="G622" s="625">
        <v>57</v>
      </c>
      <c r="Z622" s="527"/>
      <c r="AB622" s="529"/>
    </row>
    <row r="623" spans="1:28" ht="14.25" customHeight="1">
      <c r="A623" s="776">
        <v>24</v>
      </c>
      <c r="B623" s="781" t="s">
        <v>3732</v>
      </c>
      <c r="C623" s="781" t="s">
        <v>3733</v>
      </c>
      <c r="D623" s="781" t="s">
        <v>3734</v>
      </c>
      <c r="E623" s="781" t="s">
        <v>3735</v>
      </c>
      <c r="F623" s="781" t="s">
        <v>3736</v>
      </c>
      <c r="G623" s="625">
        <v>58</v>
      </c>
      <c r="Z623" s="527"/>
      <c r="AB623" s="529"/>
    </row>
    <row r="624" spans="1:28" ht="14.25" customHeight="1">
      <c r="A624" s="776">
        <v>25</v>
      </c>
      <c r="B624" s="781" t="s">
        <v>3737</v>
      </c>
      <c r="C624" s="782" t="s">
        <v>3738</v>
      </c>
      <c r="D624" s="781" t="s">
        <v>3739</v>
      </c>
      <c r="E624" s="781" t="s">
        <v>3740</v>
      </c>
      <c r="F624" s="781" t="s">
        <v>3741</v>
      </c>
      <c r="G624" s="625">
        <v>59</v>
      </c>
      <c r="Z624" s="527"/>
      <c r="AB624" s="529"/>
    </row>
    <row r="625" spans="1:28" ht="14.25" customHeight="1">
      <c r="A625" s="776">
        <v>26</v>
      </c>
      <c r="B625" s="781" t="s">
        <v>3742</v>
      </c>
      <c r="C625" s="781" t="s">
        <v>3743</v>
      </c>
      <c r="D625" s="781" t="s">
        <v>3744</v>
      </c>
      <c r="E625" s="781" t="s">
        <v>3745</v>
      </c>
      <c r="F625" s="781" t="s">
        <v>3746</v>
      </c>
      <c r="G625" s="625">
        <v>60</v>
      </c>
      <c r="Z625" s="527"/>
      <c r="AB625" s="529"/>
    </row>
    <row r="626" spans="1:28" ht="14.25" customHeight="1">
      <c r="A626" s="776">
        <v>27</v>
      </c>
      <c r="B626" s="781" t="s">
        <v>3747</v>
      </c>
      <c r="C626" s="781" t="s">
        <v>3748</v>
      </c>
      <c r="D626" s="783" t="s">
        <v>3749</v>
      </c>
      <c r="E626" s="781" t="s">
        <v>3750</v>
      </c>
      <c r="F626" s="781" t="s">
        <v>3751</v>
      </c>
      <c r="G626" s="784">
        <v>1</v>
      </c>
      <c r="Z626" s="527"/>
      <c r="AB626" s="529"/>
    </row>
    <row r="627" spans="1:28" ht="14.25" customHeight="1">
      <c r="A627" s="776">
        <v>28</v>
      </c>
      <c r="B627" s="781" t="s">
        <v>3164</v>
      </c>
      <c r="C627" s="781" t="s">
        <v>3752</v>
      </c>
      <c r="D627" s="781" t="s">
        <v>3753</v>
      </c>
      <c r="E627" s="781" t="s">
        <v>3754</v>
      </c>
      <c r="F627" s="781" t="s">
        <v>3755</v>
      </c>
      <c r="G627" s="784">
        <v>2</v>
      </c>
      <c r="Z627" s="527"/>
      <c r="AB627" s="529"/>
    </row>
    <row r="628" spans="1:28" ht="14.25" customHeight="1">
      <c r="A628" s="776">
        <v>29</v>
      </c>
      <c r="B628" s="781" t="s">
        <v>1994</v>
      </c>
      <c r="C628" s="781" t="s">
        <v>3756</v>
      </c>
      <c r="D628" s="781" t="s">
        <v>3757</v>
      </c>
      <c r="E628" s="781" t="s">
        <v>3758</v>
      </c>
      <c r="F628" s="781" t="s">
        <v>3759</v>
      </c>
      <c r="G628" s="784">
        <v>3</v>
      </c>
      <c r="Z628" s="527"/>
      <c r="AB628" s="529"/>
    </row>
    <row r="629" spans="1:28" ht="14.25" customHeight="1">
      <c r="A629" s="776">
        <v>30</v>
      </c>
      <c r="B629" s="781" t="s">
        <v>3760</v>
      </c>
      <c r="C629" s="781" t="s">
        <v>3761</v>
      </c>
      <c r="D629" s="781" t="s">
        <v>3762</v>
      </c>
      <c r="E629" s="781" t="s">
        <v>3763</v>
      </c>
      <c r="F629" s="781" t="s">
        <v>3764</v>
      </c>
      <c r="G629" s="784">
        <v>4</v>
      </c>
      <c r="Z629" s="527"/>
      <c r="AB629" s="529"/>
    </row>
    <row r="630" spans="1:28" ht="14.25" customHeight="1">
      <c r="A630" s="776">
        <v>31</v>
      </c>
      <c r="B630" s="781" t="s">
        <v>3765</v>
      </c>
      <c r="C630" s="781" t="s">
        <v>3766</v>
      </c>
      <c r="D630" s="781" t="s">
        <v>3767</v>
      </c>
      <c r="E630" s="781" t="s">
        <v>3768</v>
      </c>
      <c r="F630" s="781" t="s">
        <v>3769</v>
      </c>
      <c r="G630" s="784">
        <v>5</v>
      </c>
      <c r="Z630" s="527"/>
      <c r="AB630" s="529"/>
    </row>
    <row r="631" spans="1:28" ht="14.25" customHeight="1">
      <c r="A631" s="776">
        <v>32</v>
      </c>
      <c r="B631" s="781" t="s">
        <v>3770</v>
      </c>
      <c r="C631" s="781" t="s">
        <v>3771</v>
      </c>
      <c r="D631" s="781" t="s">
        <v>3772</v>
      </c>
      <c r="E631" s="781" t="s">
        <v>3773</v>
      </c>
      <c r="F631" s="781" t="s">
        <v>3774</v>
      </c>
      <c r="G631" s="784">
        <v>6</v>
      </c>
      <c r="Z631" s="527"/>
      <c r="AB631" s="529"/>
    </row>
    <row r="632" spans="1:28" ht="14.25" customHeight="1">
      <c r="A632" s="776">
        <v>33</v>
      </c>
      <c r="B632" s="781" t="s">
        <v>3775</v>
      </c>
      <c r="C632" s="781" t="s">
        <v>3776</v>
      </c>
      <c r="D632" s="781" t="s">
        <v>3777</v>
      </c>
      <c r="E632" s="781" t="s">
        <v>3778</v>
      </c>
      <c r="F632" s="781" t="s">
        <v>3779</v>
      </c>
      <c r="G632" s="784">
        <v>7</v>
      </c>
      <c r="Z632" s="527"/>
      <c r="AB632" s="529"/>
    </row>
    <row r="633" spans="1:28" ht="14.25" customHeight="1">
      <c r="A633" s="776">
        <v>34</v>
      </c>
      <c r="B633" s="781" t="s">
        <v>3780</v>
      </c>
      <c r="C633" s="782" t="s">
        <v>3781</v>
      </c>
      <c r="D633" s="781" t="s">
        <v>3782</v>
      </c>
      <c r="E633" s="781" t="s">
        <v>3783</v>
      </c>
      <c r="F633" s="781" t="s">
        <v>3784</v>
      </c>
      <c r="G633" s="784">
        <v>8</v>
      </c>
      <c r="Z633" s="527"/>
      <c r="AB633" s="529"/>
    </row>
    <row r="634" spans="1:28" ht="14.25" customHeight="1">
      <c r="A634" s="776">
        <v>35</v>
      </c>
      <c r="B634" s="781" t="s">
        <v>3785</v>
      </c>
      <c r="C634" s="781" t="s">
        <v>3786</v>
      </c>
      <c r="D634" s="781" t="s">
        <v>3787</v>
      </c>
      <c r="E634" s="781" t="s">
        <v>3788</v>
      </c>
      <c r="F634" s="781" t="s">
        <v>3789</v>
      </c>
      <c r="G634" s="784">
        <v>9</v>
      </c>
      <c r="Z634" s="527"/>
      <c r="AB634" s="529"/>
    </row>
    <row r="635" spans="1:28" ht="14.25" customHeight="1">
      <c r="A635" s="776">
        <v>36</v>
      </c>
      <c r="B635" s="781" t="s">
        <v>3790</v>
      </c>
      <c r="C635" s="781" t="s">
        <v>3791</v>
      </c>
      <c r="D635" s="781" t="s">
        <v>3792</v>
      </c>
      <c r="E635" s="781" t="s">
        <v>3793</v>
      </c>
      <c r="F635" s="781" t="s">
        <v>3794</v>
      </c>
      <c r="G635" s="784">
        <v>10</v>
      </c>
      <c r="Z635" s="527"/>
      <c r="AB635" s="529"/>
    </row>
    <row r="636" spans="1:28" ht="14.25" customHeight="1">
      <c r="A636" s="776">
        <v>37</v>
      </c>
      <c r="B636" s="781" t="s">
        <v>3795</v>
      </c>
      <c r="C636" s="781" t="s">
        <v>3796</v>
      </c>
      <c r="D636" s="781" t="s">
        <v>3797</v>
      </c>
      <c r="E636" s="781" t="s">
        <v>3798</v>
      </c>
      <c r="F636" s="781" t="s">
        <v>3799</v>
      </c>
      <c r="G636" s="784">
        <v>11</v>
      </c>
      <c r="Z636" s="527"/>
      <c r="AB636" s="529"/>
    </row>
    <row r="637" spans="1:28" ht="14.25" customHeight="1">
      <c r="A637" s="776">
        <v>38</v>
      </c>
      <c r="B637" s="781" t="s">
        <v>3800</v>
      </c>
      <c r="C637" s="781" t="s">
        <v>3801</v>
      </c>
      <c r="D637" s="781" t="s">
        <v>3802</v>
      </c>
      <c r="E637" s="781" t="s">
        <v>3803</v>
      </c>
      <c r="F637" s="781" t="s">
        <v>3804</v>
      </c>
      <c r="G637" s="784">
        <v>12</v>
      </c>
      <c r="Z637" s="527"/>
      <c r="AB637" s="529"/>
    </row>
    <row r="638" spans="1:28" ht="14.25" customHeight="1">
      <c r="A638" s="776">
        <v>39</v>
      </c>
      <c r="B638" s="781" t="s">
        <v>3805</v>
      </c>
      <c r="C638" s="781" t="s">
        <v>3806</v>
      </c>
      <c r="D638" s="781" t="s">
        <v>3807</v>
      </c>
      <c r="E638" s="781" t="s">
        <v>3808</v>
      </c>
      <c r="F638" s="781" t="s">
        <v>3809</v>
      </c>
      <c r="G638" s="784">
        <v>13</v>
      </c>
      <c r="Z638" s="527"/>
      <c r="AB638" s="529"/>
    </row>
    <row r="639" spans="1:28" ht="14.25" customHeight="1">
      <c r="A639" s="776">
        <v>40</v>
      </c>
      <c r="B639" s="781" t="s">
        <v>3810</v>
      </c>
      <c r="C639" s="781" t="s">
        <v>3811</v>
      </c>
      <c r="D639" s="781" t="s">
        <v>3812</v>
      </c>
      <c r="E639" s="781" t="s">
        <v>3813</v>
      </c>
      <c r="F639" s="781" t="s">
        <v>3814</v>
      </c>
      <c r="G639" s="784">
        <v>14</v>
      </c>
      <c r="Z639" s="527"/>
      <c r="AB639" s="529"/>
    </row>
    <row r="640" spans="1:28" ht="14.25" customHeight="1">
      <c r="A640" s="776">
        <v>41</v>
      </c>
      <c r="B640" s="785" t="s">
        <v>3815</v>
      </c>
      <c r="C640" s="785" t="s">
        <v>3816</v>
      </c>
      <c r="D640" s="785" t="s">
        <v>3817</v>
      </c>
      <c r="E640" s="785" t="s">
        <v>3818</v>
      </c>
      <c r="F640" s="785" t="s">
        <v>3819</v>
      </c>
      <c r="G640" s="784">
        <v>15</v>
      </c>
      <c r="Z640" s="527"/>
      <c r="AB640" s="529"/>
    </row>
    <row r="641" spans="1:28" ht="14.25" customHeight="1">
      <c r="A641" s="776">
        <v>42</v>
      </c>
      <c r="B641" s="785" t="s">
        <v>3820</v>
      </c>
      <c r="C641" s="785" t="s">
        <v>3821</v>
      </c>
      <c r="D641" s="785" t="s">
        <v>3822</v>
      </c>
      <c r="E641" s="785" t="s">
        <v>3823</v>
      </c>
      <c r="F641" s="785" t="s">
        <v>3824</v>
      </c>
      <c r="G641" s="784">
        <v>16</v>
      </c>
      <c r="Z641" s="527"/>
      <c r="AB641" s="529"/>
    </row>
    <row r="642" spans="1:28" ht="14.25" customHeight="1">
      <c r="A642" s="776">
        <v>43</v>
      </c>
      <c r="B642" s="785" t="s">
        <v>3825</v>
      </c>
      <c r="C642" s="785" t="s">
        <v>3826</v>
      </c>
      <c r="D642" s="785" t="s">
        <v>3827</v>
      </c>
      <c r="E642" s="785" t="s">
        <v>3828</v>
      </c>
      <c r="F642" s="785" t="s">
        <v>3829</v>
      </c>
      <c r="G642" s="784">
        <v>17</v>
      </c>
    </row>
    <row r="643" spans="1:28" ht="14.25" customHeight="1">
      <c r="A643" s="776">
        <v>44</v>
      </c>
      <c r="B643" s="785" t="s">
        <v>3830</v>
      </c>
      <c r="C643" s="785" t="s">
        <v>3831</v>
      </c>
      <c r="D643" s="785" t="s">
        <v>3832</v>
      </c>
      <c r="E643" s="785" t="s">
        <v>3833</v>
      </c>
      <c r="F643" s="785" t="s">
        <v>3834</v>
      </c>
      <c r="G643" s="784">
        <v>18</v>
      </c>
    </row>
    <row r="644" spans="1:28" ht="14.25" customHeight="1">
      <c r="A644" s="776">
        <v>45</v>
      </c>
      <c r="B644" s="785" t="s">
        <v>3835</v>
      </c>
      <c r="C644" s="785" t="s">
        <v>3836</v>
      </c>
      <c r="D644" s="785" t="s">
        <v>3837</v>
      </c>
      <c r="E644" s="785" t="s">
        <v>3838</v>
      </c>
      <c r="F644" s="785" t="s">
        <v>3839</v>
      </c>
      <c r="G644" s="784">
        <v>19</v>
      </c>
      <c r="Z644" s="527"/>
      <c r="AB644" s="529"/>
    </row>
    <row r="645" spans="1:28" ht="14.25" customHeight="1">
      <c r="A645" s="776">
        <v>46</v>
      </c>
      <c r="B645" s="785" t="s">
        <v>3840</v>
      </c>
      <c r="C645" s="785" t="s">
        <v>3841</v>
      </c>
      <c r="D645" s="785" t="s">
        <v>3842</v>
      </c>
      <c r="E645" s="785" t="s">
        <v>3843</v>
      </c>
      <c r="F645" s="785" t="s">
        <v>3844</v>
      </c>
      <c r="G645" s="784">
        <v>20</v>
      </c>
      <c r="Z645" s="527"/>
      <c r="AB645" s="529"/>
    </row>
    <row r="646" spans="1:28" ht="14.25" customHeight="1">
      <c r="A646" s="776">
        <v>47</v>
      </c>
      <c r="B646" s="785" t="s">
        <v>3845</v>
      </c>
      <c r="C646" s="785" t="s">
        <v>3846</v>
      </c>
      <c r="D646" s="785" t="s">
        <v>3847</v>
      </c>
      <c r="E646" s="785" t="s">
        <v>3848</v>
      </c>
      <c r="F646" s="785" t="s">
        <v>3849</v>
      </c>
      <c r="G646" s="778">
        <v>21</v>
      </c>
      <c r="Z646" s="527"/>
      <c r="AB646" s="529"/>
    </row>
    <row r="647" spans="1:28" ht="14.25" customHeight="1">
      <c r="A647" s="776">
        <v>48</v>
      </c>
      <c r="B647" s="785" t="s">
        <v>3850</v>
      </c>
      <c r="C647" s="785" t="s">
        <v>3851</v>
      </c>
      <c r="D647" s="785" t="s">
        <v>3852</v>
      </c>
      <c r="E647" s="785" t="s">
        <v>3853</v>
      </c>
      <c r="F647" s="785" t="s">
        <v>3854</v>
      </c>
      <c r="G647" s="778">
        <v>22</v>
      </c>
      <c r="Z647" s="527"/>
      <c r="AB647" s="529"/>
    </row>
    <row r="648" spans="1:28" ht="14.25" customHeight="1">
      <c r="A648" s="776">
        <v>49</v>
      </c>
      <c r="B648" s="785" t="s">
        <v>3855</v>
      </c>
      <c r="C648" s="785" t="s">
        <v>3856</v>
      </c>
      <c r="D648" s="785" t="s">
        <v>3857</v>
      </c>
      <c r="E648" s="785" t="s">
        <v>3858</v>
      </c>
      <c r="F648" s="785" t="s">
        <v>3859</v>
      </c>
      <c r="G648" s="778">
        <v>23</v>
      </c>
      <c r="Z648" s="527"/>
      <c r="AB648" s="529"/>
    </row>
    <row r="649" spans="1:28" ht="14.25" customHeight="1">
      <c r="A649" s="776">
        <v>50</v>
      </c>
      <c r="B649" s="785" t="s">
        <v>3860</v>
      </c>
      <c r="C649" s="785" t="s">
        <v>3861</v>
      </c>
      <c r="D649" s="785" t="s">
        <v>3862</v>
      </c>
      <c r="E649" s="785" t="s">
        <v>3863</v>
      </c>
      <c r="F649" s="785" t="s">
        <v>3864</v>
      </c>
      <c r="G649" s="778">
        <v>24</v>
      </c>
      <c r="Z649" s="527"/>
      <c r="AB649" s="529"/>
    </row>
    <row r="650" spans="1:28" ht="14.25" customHeight="1">
      <c r="A650" s="776">
        <v>51</v>
      </c>
      <c r="B650" s="785" t="s">
        <v>3865</v>
      </c>
      <c r="C650" s="785" t="s">
        <v>3866</v>
      </c>
      <c r="D650" s="785" t="s">
        <v>3867</v>
      </c>
      <c r="E650" s="785" t="s">
        <v>3868</v>
      </c>
      <c r="F650" s="785" t="s">
        <v>3869</v>
      </c>
      <c r="G650" s="778">
        <v>25</v>
      </c>
      <c r="Z650" s="527"/>
      <c r="AB650" s="529"/>
    </row>
    <row r="651" spans="1:28" ht="14.25" customHeight="1">
      <c r="A651" s="776">
        <v>52</v>
      </c>
      <c r="B651" s="785" t="s">
        <v>3870</v>
      </c>
      <c r="C651" s="785" t="s">
        <v>3871</v>
      </c>
      <c r="D651" s="785" t="s">
        <v>3872</v>
      </c>
      <c r="E651" s="785" t="s">
        <v>3873</v>
      </c>
      <c r="F651" s="785" t="s">
        <v>3874</v>
      </c>
      <c r="G651" s="778">
        <v>26</v>
      </c>
      <c r="Z651" s="527"/>
      <c r="AB651" s="529"/>
    </row>
    <row r="652" spans="1:28" ht="14.25" customHeight="1">
      <c r="A652" s="776">
        <v>53</v>
      </c>
      <c r="B652" s="785" t="s">
        <v>3875</v>
      </c>
      <c r="C652" s="786" t="s">
        <v>3876</v>
      </c>
      <c r="D652" s="785" t="s">
        <v>3877</v>
      </c>
      <c r="E652" s="785" t="s">
        <v>3878</v>
      </c>
      <c r="F652" s="785" t="s">
        <v>3879</v>
      </c>
      <c r="G652" s="778">
        <v>27</v>
      </c>
      <c r="Z652" s="527"/>
      <c r="AB652" s="529"/>
    </row>
    <row r="653" spans="1:28" ht="14.25" customHeight="1">
      <c r="A653" s="776">
        <v>54</v>
      </c>
      <c r="B653" s="785" t="s">
        <v>3880</v>
      </c>
      <c r="C653" s="785" t="s">
        <v>3881</v>
      </c>
      <c r="D653" s="785" t="s">
        <v>3882</v>
      </c>
      <c r="E653" s="785" t="s">
        <v>3883</v>
      </c>
      <c r="F653" s="785" t="s">
        <v>3884</v>
      </c>
      <c r="G653" s="778">
        <v>28</v>
      </c>
      <c r="Z653" s="527"/>
      <c r="AB653" s="529"/>
    </row>
    <row r="654" spans="1:28" ht="14.25" customHeight="1">
      <c r="A654" s="776">
        <v>55</v>
      </c>
      <c r="B654" s="785" t="s">
        <v>3885</v>
      </c>
      <c r="C654" s="785" t="s">
        <v>3886</v>
      </c>
      <c r="D654" s="785" t="s">
        <v>3887</v>
      </c>
      <c r="E654" s="785" t="s">
        <v>3888</v>
      </c>
      <c r="F654" s="785" t="s">
        <v>3889</v>
      </c>
      <c r="G654" s="778">
        <v>29</v>
      </c>
      <c r="Z654" s="527"/>
      <c r="AB654" s="529"/>
    </row>
    <row r="655" spans="1:28" ht="14.25" customHeight="1">
      <c r="A655" s="776">
        <v>56</v>
      </c>
      <c r="B655" s="785" t="s">
        <v>3890</v>
      </c>
      <c r="C655" s="785" t="s">
        <v>3891</v>
      </c>
      <c r="D655" s="785" t="s">
        <v>3892</v>
      </c>
      <c r="E655" s="785" t="s">
        <v>3893</v>
      </c>
      <c r="F655" s="785" t="s">
        <v>3894</v>
      </c>
      <c r="G655" s="778">
        <v>30</v>
      </c>
      <c r="Z655" s="527"/>
      <c r="AB655" s="529"/>
    </row>
    <row r="656" spans="1:28" ht="14.25" customHeight="1">
      <c r="A656" s="776">
        <v>57</v>
      </c>
      <c r="B656" s="785" t="s">
        <v>3895</v>
      </c>
      <c r="C656" s="785" t="s">
        <v>3896</v>
      </c>
      <c r="D656" s="785" t="s">
        <v>3897</v>
      </c>
      <c r="E656" s="785" t="s">
        <v>3898</v>
      </c>
      <c r="F656" s="785" t="s">
        <v>3899</v>
      </c>
      <c r="G656" s="778">
        <v>31</v>
      </c>
      <c r="Z656" s="527"/>
      <c r="AB656" s="529"/>
    </row>
    <row r="657" spans="1:59" ht="14.25" customHeight="1">
      <c r="A657" s="776">
        <v>58</v>
      </c>
      <c r="B657" s="785" t="s">
        <v>3900</v>
      </c>
      <c r="C657" s="785" t="s">
        <v>3901</v>
      </c>
      <c r="D657" s="785" t="s">
        <v>3902</v>
      </c>
      <c r="E657" s="785" t="s">
        <v>3903</v>
      </c>
      <c r="F657" s="785" t="s">
        <v>3904</v>
      </c>
      <c r="G657" s="778">
        <v>32</v>
      </c>
      <c r="Z657" s="527"/>
      <c r="AB657" s="529"/>
    </row>
    <row r="658" spans="1:59" ht="14.25" customHeight="1">
      <c r="A658" s="776">
        <v>59</v>
      </c>
      <c r="B658" s="785" t="s">
        <v>3905</v>
      </c>
      <c r="C658" s="785" t="s">
        <v>3906</v>
      </c>
      <c r="D658" s="785" t="s">
        <v>3907</v>
      </c>
      <c r="E658" s="785" t="s">
        <v>3908</v>
      </c>
      <c r="F658" s="785" t="s">
        <v>3909</v>
      </c>
      <c r="G658" s="778">
        <v>33</v>
      </c>
      <c r="Z658" s="527"/>
      <c r="AB658" s="529"/>
    </row>
    <row r="659" spans="1:59" ht="24.75">
      <c r="A659" s="776">
        <v>60</v>
      </c>
      <c r="B659" s="785" t="s">
        <v>3910</v>
      </c>
      <c r="C659" s="785" t="s">
        <v>3911</v>
      </c>
      <c r="D659" s="785" t="s">
        <v>3912</v>
      </c>
      <c r="E659" s="785" t="s">
        <v>3913</v>
      </c>
      <c r="F659" s="785" t="s">
        <v>3914</v>
      </c>
      <c r="G659" s="778">
        <v>34</v>
      </c>
      <c r="Z659" s="527"/>
      <c r="AB659" s="529"/>
    </row>
    <row r="661" spans="1:59">
      <c r="A661" s="527" t="s">
        <v>3915</v>
      </c>
      <c r="B661" s="527" t="s">
        <v>301</v>
      </c>
      <c r="C661" s="527" t="s">
        <v>3916</v>
      </c>
      <c r="D661" s="527" t="s">
        <v>3917</v>
      </c>
      <c r="E661" s="528" t="s">
        <v>3918</v>
      </c>
      <c r="F661" s="527" t="s">
        <v>3919</v>
      </c>
    </row>
    <row r="662" spans="1:59">
      <c r="A662" s="527">
        <v>1</v>
      </c>
      <c r="B662" s="527" t="s">
        <v>158</v>
      </c>
      <c r="C662" s="527" t="s">
        <v>165</v>
      </c>
      <c r="D662" s="527">
        <v>4</v>
      </c>
      <c r="E662" s="528" t="s">
        <v>166</v>
      </c>
      <c r="F662" s="527">
        <v>7</v>
      </c>
    </row>
    <row r="663" spans="1:59">
      <c r="A663" s="527">
        <v>2</v>
      </c>
      <c r="B663" s="527" t="s">
        <v>159</v>
      </c>
      <c r="C663" s="527" t="s">
        <v>161</v>
      </c>
      <c r="D663" s="527">
        <v>5</v>
      </c>
      <c r="E663" s="528" t="s">
        <v>164</v>
      </c>
      <c r="F663" s="527">
        <v>8</v>
      </c>
    </row>
    <row r="664" spans="1:59">
      <c r="A664" s="527">
        <v>3</v>
      </c>
      <c r="B664" s="527" t="s">
        <v>162</v>
      </c>
      <c r="C664" s="527" t="s">
        <v>163</v>
      </c>
      <c r="D664" s="527">
        <v>6</v>
      </c>
      <c r="E664" s="528" t="s">
        <v>160</v>
      </c>
      <c r="F664" s="527">
        <v>9</v>
      </c>
    </row>
    <row r="665" spans="1:59">
      <c r="A665" s="527">
        <v>4</v>
      </c>
      <c r="B665" s="527" t="s">
        <v>165</v>
      </c>
      <c r="C665" s="527" t="s">
        <v>166</v>
      </c>
      <c r="D665" s="527">
        <v>7</v>
      </c>
      <c r="E665" s="528" t="s">
        <v>158</v>
      </c>
      <c r="F665" s="527">
        <v>1</v>
      </c>
    </row>
    <row r="666" spans="1:59">
      <c r="A666" s="527">
        <v>5</v>
      </c>
      <c r="B666" s="527" t="s">
        <v>161</v>
      </c>
      <c r="C666" s="527" t="s">
        <v>164</v>
      </c>
      <c r="D666" s="527">
        <v>8</v>
      </c>
      <c r="E666" s="528" t="s">
        <v>159</v>
      </c>
      <c r="F666" s="527">
        <v>2</v>
      </c>
    </row>
    <row r="667" spans="1:59">
      <c r="A667" s="527">
        <v>6</v>
      </c>
      <c r="B667" s="527" t="s">
        <v>163</v>
      </c>
      <c r="C667" s="527" t="s">
        <v>160</v>
      </c>
      <c r="D667" s="527">
        <v>9</v>
      </c>
      <c r="E667" s="528" t="s">
        <v>162</v>
      </c>
      <c r="F667" s="527">
        <v>3</v>
      </c>
    </row>
    <row r="668" spans="1:59">
      <c r="A668" s="527">
        <v>7</v>
      </c>
      <c r="B668" s="527" t="s">
        <v>166</v>
      </c>
      <c r="C668" s="527" t="s">
        <v>158</v>
      </c>
      <c r="D668" s="527">
        <v>1</v>
      </c>
      <c r="E668" s="528" t="s">
        <v>165</v>
      </c>
      <c r="F668" s="527">
        <v>4</v>
      </c>
    </row>
    <row r="669" spans="1:59">
      <c r="A669" s="527">
        <v>8</v>
      </c>
      <c r="B669" s="527" t="s">
        <v>164</v>
      </c>
      <c r="C669" s="527" t="s">
        <v>159</v>
      </c>
      <c r="D669" s="527">
        <v>2</v>
      </c>
      <c r="E669" s="528" t="s">
        <v>161</v>
      </c>
      <c r="F669" s="527">
        <v>5</v>
      </c>
    </row>
    <row r="670" spans="1:59">
      <c r="A670" s="527">
        <v>9</v>
      </c>
      <c r="B670" s="527" t="s">
        <v>160</v>
      </c>
      <c r="C670" s="527" t="s">
        <v>162</v>
      </c>
      <c r="D670" s="527">
        <v>3</v>
      </c>
      <c r="E670" s="528" t="s">
        <v>163</v>
      </c>
      <c r="F670" s="527">
        <v>6</v>
      </c>
    </row>
    <row r="671" spans="1:59" s="787" customFormat="1" ht="12">
      <c r="A671" s="527"/>
      <c r="B671" s="527"/>
      <c r="C671" s="527"/>
      <c r="D671" s="527"/>
      <c r="E671" s="528"/>
      <c r="F671" s="527"/>
      <c r="G671" s="527"/>
      <c r="H671" s="527"/>
      <c r="I671" s="527"/>
      <c r="J671" s="527"/>
      <c r="K671" s="527"/>
      <c r="L671" s="527"/>
      <c r="M671" s="527"/>
      <c r="N671" s="527"/>
      <c r="O671" s="527"/>
      <c r="P671" s="527"/>
      <c r="Q671" s="527"/>
      <c r="R671" s="527"/>
      <c r="S671" s="527"/>
      <c r="T671" s="527"/>
      <c r="U671" s="527"/>
      <c r="V671" s="527"/>
      <c r="W671" s="527"/>
      <c r="X671" s="527"/>
      <c r="Y671" s="527"/>
      <c r="Z671" s="529"/>
      <c r="AA671" s="529"/>
      <c r="AB671" s="527"/>
      <c r="AC671" s="527"/>
      <c r="AD671" s="527"/>
      <c r="AE671" s="527"/>
      <c r="AF671" s="527"/>
      <c r="AG671" s="527"/>
      <c r="AH671" s="527"/>
      <c r="AI671" s="527"/>
      <c r="AJ671" s="527"/>
      <c r="AK671" s="527"/>
      <c r="AL671" s="527"/>
      <c r="AM671" s="527"/>
      <c r="AN671" s="527"/>
      <c r="AO671" s="527"/>
      <c r="AP671" s="527"/>
      <c r="AQ671" s="527"/>
      <c r="AR671" s="527"/>
      <c r="AS671" s="527"/>
      <c r="BF671" s="788"/>
      <c r="BG671" s="788"/>
    </row>
    <row r="672" spans="1:59" s="787" customFormat="1">
      <c r="A672" s="789" t="s">
        <v>3920</v>
      </c>
      <c r="B672" s="790"/>
      <c r="C672" s="790"/>
      <c r="D672" s="790"/>
      <c r="E672" s="790"/>
      <c r="F672" s="790"/>
      <c r="G672" s="790"/>
      <c r="H672" s="790"/>
      <c r="I672" s="790"/>
      <c r="J672" s="790"/>
      <c r="BF672" s="788"/>
      <c r="BG672" s="788"/>
    </row>
    <row r="673" spans="1:59" s="787" customFormat="1">
      <c r="A673" s="791" t="s">
        <v>3921</v>
      </c>
      <c r="B673" s="791" t="s">
        <v>3922</v>
      </c>
      <c r="C673" s="791" t="s">
        <v>3923</v>
      </c>
      <c r="D673" s="792" t="s">
        <v>3924</v>
      </c>
      <c r="E673" s="791" t="s">
        <v>3925</v>
      </c>
      <c r="F673" s="791" t="s">
        <v>3926</v>
      </c>
      <c r="G673" s="791" t="s">
        <v>3927</v>
      </c>
      <c r="H673" s="792" t="s">
        <v>3928</v>
      </c>
      <c r="I673" s="791" t="s">
        <v>3929</v>
      </c>
      <c r="J673" s="793" t="s">
        <v>3930</v>
      </c>
      <c r="BF673" s="788"/>
      <c r="BG673" s="788"/>
    </row>
    <row r="674" spans="1:59" s="787" customFormat="1">
      <c r="A674" s="794" t="s">
        <v>3931</v>
      </c>
      <c r="B674" s="794" t="s">
        <v>3932</v>
      </c>
      <c r="C674" s="795" t="s">
        <v>3933</v>
      </c>
      <c r="D674" s="795" t="s">
        <v>3934</v>
      </c>
      <c r="E674" s="795" t="s">
        <v>3935</v>
      </c>
      <c r="F674" s="795" t="s">
        <v>3936</v>
      </c>
      <c r="G674" s="795" t="s">
        <v>3937</v>
      </c>
      <c r="H674" s="795" t="s">
        <v>3938</v>
      </c>
      <c r="I674" s="796" t="s">
        <v>3939</v>
      </c>
      <c r="J674" s="797" t="s">
        <v>3940</v>
      </c>
      <c r="BF674" s="788"/>
      <c r="BG674" s="788"/>
    </row>
    <row r="675" spans="1:59" s="787" customFormat="1">
      <c r="A675" s="794" t="s">
        <v>3941</v>
      </c>
      <c r="B675" s="794" t="s">
        <v>3942</v>
      </c>
      <c r="C675" s="798" t="s">
        <v>3937</v>
      </c>
      <c r="D675" s="798" t="s">
        <v>3938</v>
      </c>
      <c r="E675" s="799" t="s">
        <v>3939</v>
      </c>
      <c r="F675" s="800" t="s">
        <v>3940</v>
      </c>
      <c r="G675" s="798" t="s">
        <v>3933</v>
      </c>
      <c r="H675" s="798" t="s">
        <v>3934</v>
      </c>
      <c r="I675" s="798" t="s">
        <v>3935</v>
      </c>
      <c r="J675" s="801" t="s">
        <v>3936</v>
      </c>
      <c r="BF675" s="788"/>
      <c r="BG675" s="788"/>
    </row>
    <row r="676" spans="1:59" s="787" customFormat="1">
      <c r="A676" s="794" t="s">
        <v>3943</v>
      </c>
      <c r="B676" s="794" t="s">
        <v>3932</v>
      </c>
      <c r="C676" s="795" t="s">
        <v>3934</v>
      </c>
      <c r="D676" s="802" t="s">
        <v>3940</v>
      </c>
      <c r="E676" s="795" t="s">
        <v>3935</v>
      </c>
      <c r="F676" s="795" t="s">
        <v>3936</v>
      </c>
      <c r="G676" s="795" t="s">
        <v>3937</v>
      </c>
      <c r="H676" s="795" t="s">
        <v>3938</v>
      </c>
      <c r="I676" s="796" t="s">
        <v>3939</v>
      </c>
      <c r="J676" s="803" t="s">
        <v>3933</v>
      </c>
      <c r="BF676" s="788"/>
      <c r="BG676" s="788"/>
    </row>
    <row r="677" spans="1:59" s="787" customFormat="1">
      <c r="A677" s="794" t="s">
        <v>3941</v>
      </c>
      <c r="B677" s="794" t="s">
        <v>3942</v>
      </c>
      <c r="C677" s="798" t="s">
        <v>3938</v>
      </c>
      <c r="D677" s="799" t="s">
        <v>3939</v>
      </c>
      <c r="E677" s="798" t="s">
        <v>3933</v>
      </c>
      <c r="F677" s="798" t="s">
        <v>3934</v>
      </c>
      <c r="G677" s="800" t="s">
        <v>3940</v>
      </c>
      <c r="H677" s="798" t="s">
        <v>3935</v>
      </c>
      <c r="I677" s="798" t="s">
        <v>3936</v>
      </c>
      <c r="J677" s="804" t="s">
        <v>3937</v>
      </c>
      <c r="BF677" s="788"/>
      <c r="BG677" s="788"/>
    </row>
    <row r="678" spans="1:59" s="787" customFormat="1">
      <c r="A678" s="794" t="s">
        <v>3944</v>
      </c>
      <c r="B678" s="794" t="s">
        <v>3932</v>
      </c>
      <c r="C678" s="795" t="s">
        <v>3935</v>
      </c>
      <c r="D678" s="795" t="s">
        <v>3936</v>
      </c>
      <c r="E678" s="795" t="s">
        <v>3937</v>
      </c>
      <c r="F678" s="795" t="s">
        <v>3938</v>
      </c>
      <c r="G678" s="796" t="s">
        <v>3939</v>
      </c>
      <c r="H678" s="795" t="s">
        <v>3933</v>
      </c>
      <c r="I678" s="802" t="s">
        <v>3940</v>
      </c>
      <c r="J678" s="803" t="s">
        <v>3934</v>
      </c>
      <c r="BF678" s="788"/>
      <c r="BG678" s="788"/>
    </row>
    <row r="679" spans="1:59" s="787" customFormat="1">
      <c r="A679" s="794" t="s">
        <v>3941</v>
      </c>
      <c r="B679" s="794" t="s">
        <v>3942</v>
      </c>
      <c r="C679" s="799" t="s">
        <v>3939</v>
      </c>
      <c r="D679" s="798" t="s">
        <v>3933</v>
      </c>
      <c r="E679" s="800" t="s">
        <v>3940</v>
      </c>
      <c r="F679" s="798" t="s">
        <v>3934</v>
      </c>
      <c r="G679" s="798" t="s">
        <v>3935</v>
      </c>
      <c r="H679" s="798" t="s">
        <v>3936</v>
      </c>
      <c r="I679" s="798" t="s">
        <v>3937</v>
      </c>
      <c r="J679" s="801" t="s">
        <v>3938</v>
      </c>
      <c r="BF679" s="788"/>
      <c r="BG679" s="788"/>
    </row>
    <row r="680" spans="1:59" s="787" customFormat="1">
      <c r="A680" s="794" t="s">
        <v>3945</v>
      </c>
      <c r="B680" s="794" t="s">
        <v>3932</v>
      </c>
      <c r="C680" s="795" t="s">
        <v>3936</v>
      </c>
      <c r="D680" s="795" t="s">
        <v>3937</v>
      </c>
      <c r="E680" s="795" t="s">
        <v>3938</v>
      </c>
      <c r="F680" s="796" t="s">
        <v>3939</v>
      </c>
      <c r="G680" s="802" t="s">
        <v>3940</v>
      </c>
      <c r="H680" s="795" t="s">
        <v>3933</v>
      </c>
      <c r="I680" s="795" t="s">
        <v>3934</v>
      </c>
      <c r="J680" s="803" t="s">
        <v>3935</v>
      </c>
      <c r="BF680" s="788"/>
      <c r="BG680" s="788"/>
    </row>
    <row r="681" spans="1:59" s="787" customFormat="1">
      <c r="A681" s="794" t="s">
        <v>3941</v>
      </c>
      <c r="B681" s="794" t="s">
        <v>3942</v>
      </c>
      <c r="C681" s="798" t="s">
        <v>3933</v>
      </c>
      <c r="D681" s="798" t="s">
        <v>3934</v>
      </c>
      <c r="E681" s="798" t="s">
        <v>3935</v>
      </c>
      <c r="F681" s="798" t="s">
        <v>3936</v>
      </c>
      <c r="G681" s="798" t="s">
        <v>3937</v>
      </c>
      <c r="H681" s="798" t="s">
        <v>3938</v>
      </c>
      <c r="I681" s="799" t="s">
        <v>3939</v>
      </c>
      <c r="J681" s="805" t="s">
        <v>3940</v>
      </c>
      <c r="BF681" s="788"/>
      <c r="BG681" s="788"/>
    </row>
    <row r="682" spans="1:59" s="787" customFormat="1">
      <c r="A682" s="794" t="s">
        <v>3946</v>
      </c>
      <c r="B682" s="794" t="s">
        <v>3932</v>
      </c>
      <c r="C682" s="795" t="s">
        <v>3937</v>
      </c>
      <c r="D682" s="795" t="s">
        <v>3938</v>
      </c>
      <c r="E682" s="796" t="s">
        <v>3939</v>
      </c>
      <c r="F682" s="795" t="s">
        <v>3933</v>
      </c>
      <c r="G682" s="795" t="s">
        <v>3934</v>
      </c>
      <c r="H682" s="802" t="s">
        <v>3940</v>
      </c>
      <c r="I682" s="795" t="s">
        <v>3935</v>
      </c>
      <c r="J682" s="803" t="s">
        <v>3936</v>
      </c>
      <c r="BF682" s="788"/>
      <c r="BG682" s="788"/>
    </row>
    <row r="683" spans="1:59" s="787" customFormat="1">
      <c r="A683" s="794" t="s">
        <v>3941</v>
      </c>
      <c r="B683" s="794" t="s">
        <v>3942</v>
      </c>
      <c r="C683" s="798" t="s">
        <v>3934</v>
      </c>
      <c r="D683" s="800" t="s">
        <v>3940</v>
      </c>
      <c r="E683" s="798" t="s">
        <v>3935</v>
      </c>
      <c r="F683" s="798" t="s">
        <v>3936</v>
      </c>
      <c r="G683" s="798" t="s">
        <v>3937</v>
      </c>
      <c r="H683" s="798" t="s">
        <v>3938</v>
      </c>
      <c r="I683" s="799" t="s">
        <v>3939</v>
      </c>
      <c r="J683" s="801" t="s">
        <v>3933</v>
      </c>
      <c r="BF683" s="788"/>
      <c r="BG683" s="788"/>
    </row>
    <row r="684" spans="1:59" s="787" customFormat="1">
      <c r="A684" s="794" t="s">
        <v>3947</v>
      </c>
      <c r="B684" s="794" t="s">
        <v>3932</v>
      </c>
      <c r="C684" s="795" t="s">
        <v>3938</v>
      </c>
      <c r="D684" s="796" t="s">
        <v>3939</v>
      </c>
      <c r="E684" s="795" t="s">
        <v>3933</v>
      </c>
      <c r="F684" s="802" t="s">
        <v>3940</v>
      </c>
      <c r="G684" s="795" t="s">
        <v>3934</v>
      </c>
      <c r="H684" s="795" t="s">
        <v>3935</v>
      </c>
      <c r="I684" s="795" t="s">
        <v>3936</v>
      </c>
      <c r="J684" s="803" t="s">
        <v>3937</v>
      </c>
      <c r="BF684" s="788"/>
      <c r="BG684" s="788"/>
    </row>
    <row r="685" spans="1:59" s="787" customFormat="1">
      <c r="A685" s="794" t="s">
        <v>3941</v>
      </c>
      <c r="B685" s="794" t="s">
        <v>3942</v>
      </c>
      <c r="C685" s="798" t="s">
        <v>3935</v>
      </c>
      <c r="D685" s="798" t="s">
        <v>3936</v>
      </c>
      <c r="E685" s="798" t="s">
        <v>3937</v>
      </c>
      <c r="F685" s="798" t="s">
        <v>3938</v>
      </c>
      <c r="G685" s="799" t="s">
        <v>3939</v>
      </c>
      <c r="H685" s="798" t="s">
        <v>3933</v>
      </c>
      <c r="I685" s="800" t="s">
        <v>3940</v>
      </c>
      <c r="J685" s="801" t="s">
        <v>3934</v>
      </c>
      <c r="BF685" s="788"/>
      <c r="BG685" s="788"/>
    </row>
    <row r="686" spans="1:59" s="787" customFormat="1">
      <c r="A686" s="794" t="s">
        <v>3948</v>
      </c>
      <c r="B686" s="794" t="s">
        <v>3932</v>
      </c>
      <c r="C686" s="796" t="s">
        <v>3939</v>
      </c>
      <c r="D686" s="795" t="s">
        <v>3933</v>
      </c>
      <c r="E686" s="802" t="s">
        <v>3940</v>
      </c>
      <c r="F686" s="795" t="s">
        <v>3934</v>
      </c>
      <c r="G686" s="795" t="s">
        <v>3935</v>
      </c>
      <c r="H686" s="795" t="s">
        <v>3936</v>
      </c>
      <c r="I686" s="795" t="s">
        <v>3937</v>
      </c>
      <c r="J686" s="803" t="s">
        <v>3938</v>
      </c>
      <c r="BF686" s="788"/>
      <c r="BG686" s="788"/>
    </row>
    <row r="687" spans="1:59">
      <c r="A687" s="806" t="s">
        <v>3941</v>
      </c>
      <c r="B687" s="794" t="s">
        <v>3942</v>
      </c>
      <c r="C687" s="807" t="s">
        <v>3936</v>
      </c>
      <c r="D687" s="807" t="s">
        <v>3937</v>
      </c>
      <c r="E687" s="807" t="s">
        <v>3938</v>
      </c>
      <c r="F687" s="808" t="s">
        <v>3939</v>
      </c>
      <c r="G687" s="809" t="s">
        <v>3940</v>
      </c>
      <c r="H687" s="807" t="s">
        <v>3933</v>
      </c>
      <c r="I687" s="807" t="s">
        <v>3934</v>
      </c>
      <c r="J687" s="810" t="s">
        <v>3935</v>
      </c>
      <c r="K687" s="787"/>
      <c r="L687" s="787"/>
      <c r="M687" s="787"/>
      <c r="N687" s="787"/>
      <c r="O687" s="787"/>
      <c r="P687" s="787"/>
      <c r="Q687" s="787"/>
      <c r="R687" s="787"/>
      <c r="S687" s="787"/>
      <c r="T687" s="787"/>
      <c r="U687" s="787"/>
      <c r="V687" s="787"/>
      <c r="W687" s="787"/>
      <c r="X687" s="787"/>
      <c r="Y687" s="787"/>
      <c r="Z687" s="787"/>
      <c r="AA687" s="787"/>
      <c r="AB687" s="787"/>
      <c r="AC687" s="787"/>
      <c r="AD687" s="787"/>
      <c r="AE687" s="787"/>
      <c r="AF687" s="787"/>
      <c r="AG687" s="787"/>
      <c r="AH687" s="787"/>
      <c r="AI687" s="787"/>
      <c r="AJ687" s="787"/>
      <c r="AK687" s="787"/>
      <c r="AL687" s="787"/>
      <c r="AM687" s="787"/>
      <c r="AN687" s="787"/>
      <c r="AO687" s="787"/>
      <c r="AP687" s="787"/>
      <c r="AQ687" s="787"/>
      <c r="AR687" s="787"/>
      <c r="AS687" s="787"/>
    </row>
    <row r="689" spans="1:10" ht="28.5" customHeight="1">
      <c r="A689" s="1357" t="s">
        <v>3949</v>
      </c>
      <c r="B689" s="811" t="s">
        <v>158</v>
      </c>
      <c r="C689" s="812" t="s">
        <v>3950</v>
      </c>
      <c r="D689" s="812" t="s">
        <v>3951</v>
      </c>
      <c r="E689" s="812" t="s">
        <v>3952</v>
      </c>
      <c r="F689" s="812" t="s">
        <v>3953</v>
      </c>
      <c r="G689" s="812" t="s">
        <v>3954</v>
      </c>
      <c r="H689" s="812" t="s">
        <v>3955</v>
      </c>
      <c r="I689" s="812" t="s">
        <v>3956</v>
      </c>
      <c r="J689" s="812" t="s">
        <v>3950</v>
      </c>
    </row>
    <row r="690" spans="1:10" ht="29.25">
      <c r="A690" s="1357"/>
      <c r="B690" s="811" t="s">
        <v>3957</v>
      </c>
      <c r="C690" s="813" t="s">
        <v>3953</v>
      </c>
      <c r="D690" s="813" t="s">
        <v>3954</v>
      </c>
      <c r="E690" s="813" t="s">
        <v>3955</v>
      </c>
      <c r="F690" s="813" t="s">
        <v>3956</v>
      </c>
      <c r="G690" s="813" t="s">
        <v>3950</v>
      </c>
      <c r="H690" s="813" t="s">
        <v>3951</v>
      </c>
      <c r="I690" s="813" t="s">
        <v>3952</v>
      </c>
      <c r="J690" s="813" t="s">
        <v>3953</v>
      </c>
    </row>
    <row r="691" spans="1:10" ht="29.25">
      <c r="A691" s="1357"/>
      <c r="B691" s="811" t="s">
        <v>3958</v>
      </c>
      <c r="C691" s="812" t="s">
        <v>3956</v>
      </c>
      <c r="D691" s="812" t="s">
        <v>3950</v>
      </c>
      <c r="E691" s="812" t="s">
        <v>3951</v>
      </c>
      <c r="F691" s="812" t="s">
        <v>3952</v>
      </c>
      <c r="G691" s="812" t="s">
        <v>3953</v>
      </c>
      <c r="H691" s="812" t="s">
        <v>3954</v>
      </c>
      <c r="I691" s="812" t="s">
        <v>3955</v>
      </c>
      <c r="J691" s="812" t="s">
        <v>3956</v>
      </c>
    </row>
    <row r="692" spans="1:10" ht="29.25">
      <c r="A692" s="1357"/>
      <c r="B692" s="811" t="s">
        <v>3959</v>
      </c>
      <c r="C692" s="813" t="s">
        <v>3952</v>
      </c>
      <c r="D692" s="813" t="s">
        <v>3953</v>
      </c>
      <c r="E692" s="813" t="s">
        <v>3954</v>
      </c>
      <c r="F692" s="813" t="s">
        <v>3955</v>
      </c>
      <c r="G692" s="813" t="s">
        <v>3956</v>
      </c>
      <c r="H692" s="813" t="s">
        <v>3950</v>
      </c>
      <c r="I692" s="813" t="s">
        <v>3951</v>
      </c>
      <c r="J692" s="813" t="s">
        <v>3952</v>
      </c>
    </row>
    <row r="693" spans="1:10" ht="29.25">
      <c r="A693" s="1357"/>
      <c r="B693" s="811" t="s">
        <v>3960</v>
      </c>
      <c r="C693" s="812" t="s">
        <v>3955</v>
      </c>
      <c r="D693" s="812" t="s">
        <v>3956</v>
      </c>
      <c r="E693" s="812" t="s">
        <v>3950</v>
      </c>
      <c r="F693" s="812" t="s">
        <v>3951</v>
      </c>
      <c r="G693" s="812" t="s">
        <v>3952</v>
      </c>
      <c r="H693" s="812" t="s">
        <v>3953</v>
      </c>
      <c r="I693" s="812" t="s">
        <v>3954</v>
      </c>
      <c r="J693" s="812" t="s">
        <v>3955</v>
      </c>
    </row>
    <row r="694" spans="1:10" ht="29.25">
      <c r="A694" s="1357"/>
      <c r="B694" s="811" t="s">
        <v>3961</v>
      </c>
      <c r="C694" s="813" t="s">
        <v>3951</v>
      </c>
      <c r="D694" s="813" t="s">
        <v>3952</v>
      </c>
      <c r="E694" s="813" t="s">
        <v>3953</v>
      </c>
      <c r="F694" s="813" t="s">
        <v>3954</v>
      </c>
      <c r="G694" s="813" t="s">
        <v>3955</v>
      </c>
      <c r="H694" s="813" t="s">
        <v>3956</v>
      </c>
      <c r="I694" s="813" t="s">
        <v>3950</v>
      </c>
      <c r="J694" s="813" t="s">
        <v>3951</v>
      </c>
    </row>
    <row r="695" spans="1:10" ht="29.25">
      <c r="A695" s="1357"/>
      <c r="B695" s="811" t="s">
        <v>462</v>
      </c>
      <c r="C695" s="812" t="s">
        <v>3954</v>
      </c>
      <c r="D695" s="812" t="s">
        <v>3955</v>
      </c>
      <c r="E695" s="812" t="s">
        <v>3956</v>
      </c>
      <c r="F695" s="812" t="s">
        <v>3950</v>
      </c>
      <c r="G695" s="812" t="s">
        <v>3951</v>
      </c>
      <c r="H695" s="812" t="s">
        <v>3952</v>
      </c>
      <c r="I695" s="812" t="s">
        <v>3953</v>
      </c>
      <c r="J695" s="812" t="s">
        <v>3954</v>
      </c>
    </row>
    <row r="696" spans="1:10" ht="13.5" customHeight="1">
      <c r="A696" s="1358" t="s">
        <v>3962</v>
      </c>
      <c r="B696" s="814" t="s">
        <v>158</v>
      </c>
      <c r="C696" s="815" t="s">
        <v>3955</v>
      </c>
      <c r="D696" s="815" t="s">
        <v>3956</v>
      </c>
      <c r="E696" s="815" t="s">
        <v>3950</v>
      </c>
      <c r="F696" s="815" t="s">
        <v>3951</v>
      </c>
      <c r="G696" s="815" t="s">
        <v>3952</v>
      </c>
      <c r="H696" s="815" t="s">
        <v>3953</v>
      </c>
      <c r="I696" s="815" t="s">
        <v>3954</v>
      </c>
      <c r="J696" s="815" t="s">
        <v>3955</v>
      </c>
    </row>
    <row r="697" spans="1:10">
      <c r="A697" s="1358"/>
      <c r="B697" s="814" t="s">
        <v>3957</v>
      </c>
      <c r="C697" s="816" t="s">
        <v>3951</v>
      </c>
      <c r="D697" s="816" t="s">
        <v>3952</v>
      </c>
      <c r="E697" s="816" t="s">
        <v>3953</v>
      </c>
      <c r="F697" s="816" t="s">
        <v>3954</v>
      </c>
      <c r="G697" s="816" t="s">
        <v>3955</v>
      </c>
      <c r="H697" s="816" t="s">
        <v>3956</v>
      </c>
      <c r="I697" s="816" t="s">
        <v>3950</v>
      </c>
      <c r="J697" s="816" t="s">
        <v>3951</v>
      </c>
    </row>
    <row r="698" spans="1:10">
      <c r="A698" s="1358"/>
      <c r="B698" s="814" t="s">
        <v>3958</v>
      </c>
      <c r="C698" s="815" t="s">
        <v>3954</v>
      </c>
      <c r="D698" s="815" t="s">
        <v>3955</v>
      </c>
      <c r="E698" s="815" t="s">
        <v>3956</v>
      </c>
      <c r="F698" s="815" t="s">
        <v>3950</v>
      </c>
      <c r="G698" s="815" t="s">
        <v>3951</v>
      </c>
      <c r="H698" s="815" t="s">
        <v>3952</v>
      </c>
      <c r="I698" s="815" t="s">
        <v>3953</v>
      </c>
      <c r="J698" s="815" t="s">
        <v>3954</v>
      </c>
    </row>
    <row r="699" spans="1:10">
      <c r="A699" s="1358"/>
      <c r="B699" s="814" t="s">
        <v>3959</v>
      </c>
      <c r="C699" s="816" t="s">
        <v>3950</v>
      </c>
      <c r="D699" s="816" t="s">
        <v>3951</v>
      </c>
      <c r="E699" s="816" t="s">
        <v>3952</v>
      </c>
      <c r="F699" s="816" t="s">
        <v>3953</v>
      </c>
      <c r="G699" s="816" t="s">
        <v>3954</v>
      </c>
      <c r="H699" s="816" t="s">
        <v>3955</v>
      </c>
      <c r="I699" s="816" t="s">
        <v>3956</v>
      </c>
      <c r="J699" s="816" t="s">
        <v>3950</v>
      </c>
    </row>
    <row r="700" spans="1:10">
      <c r="A700" s="1358"/>
      <c r="B700" s="814" t="s">
        <v>3960</v>
      </c>
      <c r="C700" s="815" t="s">
        <v>3953</v>
      </c>
      <c r="D700" s="815" t="s">
        <v>3954</v>
      </c>
      <c r="E700" s="815" t="s">
        <v>3955</v>
      </c>
      <c r="F700" s="815" t="s">
        <v>3956</v>
      </c>
      <c r="G700" s="815" t="s">
        <v>3950</v>
      </c>
      <c r="H700" s="815" t="s">
        <v>3951</v>
      </c>
      <c r="I700" s="815" t="s">
        <v>3952</v>
      </c>
      <c r="J700" s="815" t="s">
        <v>3953</v>
      </c>
    </row>
    <row r="701" spans="1:10">
      <c r="A701" s="1358"/>
      <c r="B701" s="814" t="s">
        <v>3961</v>
      </c>
      <c r="C701" s="816" t="s">
        <v>3956</v>
      </c>
      <c r="D701" s="816" t="s">
        <v>3950</v>
      </c>
      <c r="E701" s="816" t="s">
        <v>3951</v>
      </c>
      <c r="F701" s="816" t="s">
        <v>3952</v>
      </c>
      <c r="G701" s="816" t="s">
        <v>3953</v>
      </c>
      <c r="H701" s="816" t="s">
        <v>3954</v>
      </c>
      <c r="I701" s="816" t="s">
        <v>3955</v>
      </c>
      <c r="J701" s="816" t="s">
        <v>3956</v>
      </c>
    </row>
    <row r="702" spans="1:10">
      <c r="A702" s="1358"/>
      <c r="B702" s="814" t="s">
        <v>462</v>
      </c>
      <c r="C702" s="815" t="s">
        <v>3952</v>
      </c>
      <c r="D702" s="815" t="s">
        <v>3953</v>
      </c>
      <c r="E702" s="815" t="s">
        <v>3954</v>
      </c>
      <c r="F702" s="815" t="s">
        <v>3955</v>
      </c>
      <c r="G702" s="815" t="s">
        <v>3956</v>
      </c>
      <c r="H702" s="815" t="s">
        <v>3950</v>
      </c>
      <c r="I702" s="815" t="s">
        <v>3951</v>
      </c>
      <c r="J702" s="815" t="s">
        <v>3952</v>
      </c>
    </row>
    <row r="705" spans="1:6">
      <c r="A705" s="663" t="s">
        <v>3963</v>
      </c>
      <c r="B705" s="663"/>
      <c r="C705" s="663"/>
      <c r="D705" s="663"/>
      <c r="E705" s="663"/>
      <c r="F705" s="663"/>
    </row>
    <row r="706" spans="1:6">
      <c r="A706" s="663" t="s">
        <v>3964</v>
      </c>
      <c r="B706" s="663" t="s">
        <v>160</v>
      </c>
      <c r="C706" s="663" t="s">
        <v>163</v>
      </c>
      <c r="D706" s="663" t="s">
        <v>161</v>
      </c>
      <c r="E706" s="663" t="s">
        <v>3965</v>
      </c>
      <c r="F706" s="663" t="s">
        <v>164</v>
      </c>
    </row>
    <row r="707" spans="1:6" ht="15.75">
      <c r="A707" s="663" t="s">
        <v>160</v>
      </c>
      <c r="B707" s="817" t="s">
        <v>3966</v>
      </c>
      <c r="C707" s="817" t="s">
        <v>3967</v>
      </c>
      <c r="D707" s="663" t="s">
        <v>3968</v>
      </c>
      <c r="E707" s="663" t="s">
        <v>3969</v>
      </c>
      <c r="F707" s="663" t="s">
        <v>3970</v>
      </c>
    </row>
    <row r="708" spans="1:6" ht="15.75">
      <c r="A708" s="663" t="s">
        <v>163</v>
      </c>
      <c r="B708" s="817" t="s">
        <v>3966</v>
      </c>
      <c r="C708" s="663" t="s">
        <v>3971</v>
      </c>
      <c r="D708" s="663" t="s">
        <v>3972</v>
      </c>
      <c r="E708" s="663" t="s">
        <v>3973</v>
      </c>
      <c r="F708" s="817" t="s">
        <v>3974</v>
      </c>
    </row>
    <row r="709" spans="1:6" ht="15.75">
      <c r="A709" s="663" t="s">
        <v>161</v>
      </c>
      <c r="B709" s="817" t="s">
        <v>3975</v>
      </c>
      <c r="C709" s="817" t="s">
        <v>3976</v>
      </c>
      <c r="D709" s="663" t="s">
        <v>3977</v>
      </c>
      <c r="E709" s="663" t="s">
        <v>2566</v>
      </c>
      <c r="F709" s="817" t="s">
        <v>3978</v>
      </c>
    </row>
    <row r="710" spans="1:6" ht="15.75">
      <c r="A710" s="663" t="s">
        <v>931</v>
      </c>
      <c r="B710" s="663" t="s">
        <v>3979</v>
      </c>
      <c r="C710" s="817" t="s">
        <v>3980</v>
      </c>
      <c r="D710" s="663" t="s">
        <v>3981</v>
      </c>
      <c r="E710" s="663" t="s">
        <v>3982</v>
      </c>
      <c r="F710" s="817" t="s">
        <v>3983</v>
      </c>
    </row>
    <row r="711" spans="1:6" ht="15.75">
      <c r="A711" s="663" t="s">
        <v>943</v>
      </c>
      <c r="B711" s="663" t="s">
        <v>3984</v>
      </c>
      <c r="C711" s="663" t="s">
        <v>3985</v>
      </c>
      <c r="D711" s="817" t="s">
        <v>3986</v>
      </c>
      <c r="E711" s="663" t="s">
        <v>3987</v>
      </c>
      <c r="F711" s="817" t="s">
        <v>3988</v>
      </c>
    </row>
    <row r="712" spans="1:6">
      <c r="A712" s="663" t="s">
        <v>162</v>
      </c>
      <c r="B712" s="663" t="s">
        <v>3989</v>
      </c>
      <c r="C712" s="663" t="s">
        <v>3990</v>
      </c>
      <c r="D712" s="663" t="s">
        <v>3991</v>
      </c>
      <c r="E712" s="663" t="s">
        <v>3992</v>
      </c>
      <c r="F712" s="663" t="s">
        <v>3993</v>
      </c>
    </row>
    <row r="713" spans="1:6" ht="15.75">
      <c r="A713" s="663" t="s">
        <v>164</v>
      </c>
      <c r="B713" s="663" t="s">
        <v>3994</v>
      </c>
      <c r="C713" s="663" t="s">
        <v>3995</v>
      </c>
      <c r="D713" s="817" t="s">
        <v>3996</v>
      </c>
      <c r="E713" s="663" t="s">
        <v>3997</v>
      </c>
      <c r="F713" s="817" t="s">
        <v>3998</v>
      </c>
    </row>
    <row r="715" spans="1:6" ht="36">
      <c r="A715" s="818" t="s">
        <v>319</v>
      </c>
      <c r="B715" s="818" t="s">
        <v>3999</v>
      </c>
      <c r="C715" s="818" t="s">
        <v>4000</v>
      </c>
      <c r="D715" s="818" t="s">
        <v>4001</v>
      </c>
      <c r="E715" s="819" t="s">
        <v>4002</v>
      </c>
      <c r="F715" s="820" t="s">
        <v>2011</v>
      </c>
    </row>
    <row r="716" spans="1:6" ht="27">
      <c r="A716" s="821" t="s">
        <v>4003</v>
      </c>
      <c r="B716" s="821" t="s">
        <v>4004</v>
      </c>
      <c r="C716" s="821" t="s">
        <v>4005</v>
      </c>
      <c r="D716" s="821" t="s">
        <v>4006</v>
      </c>
      <c r="E716" s="822" t="s">
        <v>4007</v>
      </c>
      <c r="F716" s="823"/>
    </row>
    <row r="717" spans="1:6" ht="132">
      <c r="A717" s="821" t="s">
        <v>908</v>
      </c>
      <c r="B717" s="821" t="s">
        <v>4008</v>
      </c>
      <c r="C717" s="821" t="s">
        <v>4009</v>
      </c>
      <c r="D717" s="821" t="s">
        <v>4010</v>
      </c>
      <c r="E717" s="822" t="s">
        <v>4011</v>
      </c>
      <c r="F717" s="824" t="s">
        <v>4012</v>
      </c>
    </row>
    <row r="718" spans="1:6" ht="96">
      <c r="A718" s="821" t="s">
        <v>920</v>
      </c>
      <c r="B718" s="821" t="s">
        <v>4013</v>
      </c>
      <c r="C718" s="821" t="s">
        <v>163</v>
      </c>
      <c r="D718" s="821" t="s">
        <v>4014</v>
      </c>
      <c r="E718" s="822" t="s">
        <v>4007</v>
      </c>
      <c r="F718" s="824" t="s">
        <v>4015</v>
      </c>
    </row>
    <row r="719" spans="1:6" ht="27">
      <c r="A719" s="821" t="s">
        <v>931</v>
      </c>
      <c r="B719" s="821" t="s">
        <v>4016</v>
      </c>
      <c r="C719" s="821" t="s">
        <v>4017</v>
      </c>
      <c r="D719" s="821" t="s">
        <v>4018</v>
      </c>
      <c r="E719" s="822" t="s">
        <v>4019</v>
      </c>
      <c r="F719" s="823"/>
    </row>
    <row r="720" spans="1:6" ht="36">
      <c r="A720" s="821" t="s">
        <v>943</v>
      </c>
      <c r="B720" s="821" t="s">
        <v>4020</v>
      </c>
      <c r="C720" s="821" t="s">
        <v>4021</v>
      </c>
      <c r="D720" s="821" t="s">
        <v>4022</v>
      </c>
      <c r="E720" s="822" t="s">
        <v>4023</v>
      </c>
      <c r="F720" s="823"/>
    </row>
    <row r="721" spans="1:13" ht="132">
      <c r="A721" s="821" t="s">
        <v>951</v>
      </c>
      <c r="B721" s="821" t="s">
        <v>4024</v>
      </c>
      <c r="C721" s="821" t="s">
        <v>4025</v>
      </c>
      <c r="D721" s="821" t="s">
        <v>4026</v>
      </c>
      <c r="E721" s="822" t="s">
        <v>4027</v>
      </c>
      <c r="F721" s="824" t="s">
        <v>4028</v>
      </c>
    </row>
    <row r="722" spans="1:13" ht="108">
      <c r="A722" s="821" t="s">
        <v>961</v>
      </c>
      <c r="B722" s="821" t="s">
        <v>4029</v>
      </c>
      <c r="C722" s="821" t="s">
        <v>4030</v>
      </c>
      <c r="D722" s="821" t="s">
        <v>4031</v>
      </c>
      <c r="E722" s="822" t="s">
        <v>4032</v>
      </c>
      <c r="F722" s="824" t="s">
        <v>4033</v>
      </c>
    </row>
    <row r="723" spans="1:13" ht="60">
      <c r="A723" s="821" t="s">
        <v>969</v>
      </c>
      <c r="B723" s="821" t="s">
        <v>4034</v>
      </c>
      <c r="C723" s="821" t="s">
        <v>4035</v>
      </c>
      <c r="D723" s="821" t="s">
        <v>4036</v>
      </c>
      <c r="E723" s="822" t="s">
        <v>4037</v>
      </c>
      <c r="F723" s="824" t="s">
        <v>4038</v>
      </c>
    </row>
    <row r="724" spans="1:13" ht="60">
      <c r="A724" s="821" t="s">
        <v>4039</v>
      </c>
      <c r="B724" s="821" t="s">
        <v>4040</v>
      </c>
      <c r="C724" s="821" t="s">
        <v>4041</v>
      </c>
      <c r="D724" s="821" t="s">
        <v>4042</v>
      </c>
      <c r="E724" s="822" t="s">
        <v>4043</v>
      </c>
      <c r="F724" s="824" t="s">
        <v>4044</v>
      </c>
    </row>
    <row r="725" spans="1:13" ht="60">
      <c r="A725" s="821" t="s">
        <v>987</v>
      </c>
      <c r="B725" s="821" t="s">
        <v>4045</v>
      </c>
      <c r="C725" s="821" t="s">
        <v>4046</v>
      </c>
      <c r="D725" s="821" t="s">
        <v>4047</v>
      </c>
      <c r="E725" s="822" t="s">
        <v>4048</v>
      </c>
      <c r="F725" s="824" t="s">
        <v>4049</v>
      </c>
    </row>
    <row r="726" spans="1:13" ht="52.5">
      <c r="A726" s="821" t="s">
        <v>997</v>
      </c>
      <c r="B726" s="821" t="s">
        <v>4050</v>
      </c>
      <c r="C726" s="821" t="s">
        <v>4051</v>
      </c>
      <c r="D726" s="821" t="s">
        <v>4052</v>
      </c>
      <c r="E726" s="822" t="s">
        <v>4053</v>
      </c>
      <c r="F726" s="824" t="s">
        <v>4054</v>
      </c>
    </row>
    <row r="727" spans="1:13" ht="76.5">
      <c r="A727" s="825" t="s">
        <v>4055</v>
      </c>
      <c r="B727" s="825" t="s">
        <v>4056</v>
      </c>
      <c r="C727" s="825" t="s">
        <v>4057</v>
      </c>
      <c r="D727" s="825" t="s">
        <v>4058</v>
      </c>
      <c r="E727" s="826" t="s">
        <v>4059</v>
      </c>
      <c r="F727" s="824" t="s">
        <v>4044</v>
      </c>
    </row>
    <row r="728" spans="1:13">
      <c r="A728" s="823"/>
      <c r="B728" s="823"/>
      <c r="C728" s="823"/>
      <c r="D728" s="823"/>
      <c r="E728" s="530"/>
      <c r="F728" s="823"/>
    </row>
    <row r="731" spans="1:13">
      <c r="A731" s="527" t="s">
        <v>145</v>
      </c>
      <c r="B731" s="527" t="s">
        <v>4060</v>
      </c>
      <c r="C731" s="527" t="s">
        <v>169</v>
      </c>
      <c r="D731" s="527" t="s">
        <v>4061</v>
      </c>
      <c r="E731" s="527" t="s">
        <v>4062</v>
      </c>
    </row>
    <row r="732" spans="1:13">
      <c r="A732" s="527">
        <v>1</v>
      </c>
      <c r="B732" s="527" t="s">
        <v>4003</v>
      </c>
      <c r="C732" s="527">
        <v>1</v>
      </c>
      <c r="D732" s="527" t="s">
        <v>4063</v>
      </c>
      <c r="E732" s="527" t="s">
        <v>4064</v>
      </c>
    </row>
    <row r="733" spans="1:13">
      <c r="A733" s="527">
        <v>2</v>
      </c>
      <c r="B733" s="527" t="s">
        <v>4003</v>
      </c>
      <c r="C733" s="527">
        <v>2</v>
      </c>
      <c r="D733" s="527" t="s">
        <v>4065</v>
      </c>
      <c r="E733" s="527" t="s">
        <v>4066</v>
      </c>
      <c r="L733" s="288" t="s">
        <v>4061</v>
      </c>
      <c r="M733" s="289" t="s">
        <v>4067</v>
      </c>
    </row>
    <row r="734" spans="1:13">
      <c r="A734" s="527">
        <v>3</v>
      </c>
      <c r="B734" s="527" t="s">
        <v>4003</v>
      </c>
      <c r="C734" s="527">
        <v>3</v>
      </c>
      <c r="D734" s="527" t="s">
        <v>4068</v>
      </c>
      <c r="E734" s="527" t="s">
        <v>4069</v>
      </c>
      <c r="L734" s="290" t="s">
        <v>4065</v>
      </c>
      <c r="M734" s="291">
        <v>11</v>
      </c>
    </row>
    <row r="735" spans="1:13">
      <c r="A735" s="527">
        <v>4</v>
      </c>
      <c r="B735" s="527" t="s">
        <v>4070</v>
      </c>
      <c r="C735" s="527">
        <f>C732</f>
        <v>1</v>
      </c>
      <c r="D735" s="527" t="s">
        <v>4068</v>
      </c>
      <c r="E735" s="527" t="s">
        <v>4071</v>
      </c>
      <c r="L735" s="292" t="s">
        <v>4063</v>
      </c>
      <c r="M735" s="293">
        <v>11</v>
      </c>
    </row>
    <row r="736" spans="1:13">
      <c r="A736" s="527">
        <v>5</v>
      </c>
      <c r="B736" s="527" t="s">
        <v>4070</v>
      </c>
      <c r="C736" s="527">
        <v>2</v>
      </c>
      <c r="D736" s="527" t="s">
        <v>4065</v>
      </c>
      <c r="E736" s="527" t="s">
        <v>4072</v>
      </c>
      <c r="L736" s="292" t="s">
        <v>4068</v>
      </c>
      <c r="M736" s="293">
        <v>8</v>
      </c>
    </row>
    <row r="737" spans="1:13">
      <c r="A737" s="527">
        <v>6</v>
      </c>
      <c r="B737" s="527" t="s">
        <v>4070</v>
      </c>
      <c r="C737" s="527">
        <f t="shared" ref="C737:C767" si="21">C734</f>
        <v>3</v>
      </c>
      <c r="D737" s="527" t="s">
        <v>4073</v>
      </c>
      <c r="E737" s="527" t="s">
        <v>4074</v>
      </c>
      <c r="L737" s="292" t="s">
        <v>4073</v>
      </c>
      <c r="M737" s="294">
        <v>6</v>
      </c>
    </row>
    <row r="738" spans="1:13">
      <c r="A738" s="527">
        <v>7</v>
      </c>
      <c r="B738" s="527" t="s">
        <v>4075</v>
      </c>
      <c r="C738" s="527">
        <f t="shared" si="21"/>
        <v>1</v>
      </c>
      <c r="D738" s="527" t="s">
        <v>4065</v>
      </c>
      <c r="E738" s="527" t="s">
        <v>4076</v>
      </c>
      <c r="L738" s="295" t="s">
        <v>489</v>
      </c>
      <c r="M738" s="296">
        <v>36</v>
      </c>
    </row>
    <row r="739" spans="1:13">
      <c r="A739" s="527">
        <v>8</v>
      </c>
      <c r="B739" s="527" t="s">
        <v>4075</v>
      </c>
      <c r="C739" s="527">
        <f t="shared" si="21"/>
        <v>2</v>
      </c>
      <c r="D739" s="527" t="s">
        <v>4068</v>
      </c>
      <c r="E739" s="527" t="s">
        <v>4077</v>
      </c>
      <c r="L739"/>
      <c r="M739"/>
    </row>
    <row r="740" spans="1:13">
      <c r="A740" s="527">
        <v>9</v>
      </c>
      <c r="B740" s="527" t="s">
        <v>4075</v>
      </c>
      <c r="C740" s="527">
        <f t="shared" si="21"/>
        <v>3</v>
      </c>
      <c r="D740" s="527" t="s">
        <v>4073</v>
      </c>
      <c r="E740" s="527" t="s">
        <v>4078</v>
      </c>
    </row>
    <row r="741" spans="1:13">
      <c r="A741" s="527">
        <v>10</v>
      </c>
      <c r="B741" s="527" t="s">
        <v>4079</v>
      </c>
      <c r="C741" s="527">
        <f t="shared" si="21"/>
        <v>1</v>
      </c>
      <c r="D741" s="527" t="s">
        <v>4073</v>
      </c>
      <c r="E741" s="527" t="s">
        <v>4080</v>
      </c>
    </row>
    <row r="742" spans="1:13">
      <c r="A742" s="527">
        <v>11</v>
      </c>
      <c r="B742" s="527" t="s">
        <v>4079</v>
      </c>
      <c r="C742" s="527">
        <f t="shared" si="21"/>
        <v>2</v>
      </c>
      <c r="D742" s="527" t="s">
        <v>4063</v>
      </c>
      <c r="E742" s="527" t="s">
        <v>4081</v>
      </c>
    </row>
    <row r="743" spans="1:13">
      <c r="A743" s="527">
        <v>12</v>
      </c>
      <c r="B743" s="527" t="s">
        <v>4079</v>
      </c>
      <c r="C743" s="527">
        <f t="shared" si="21"/>
        <v>3</v>
      </c>
      <c r="D743" s="527" t="s">
        <v>4068</v>
      </c>
      <c r="E743" s="527" t="s">
        <v>4082</v>
      </c>
    </row>
    <row r="744" spans="1:13">
      <c r="A744" s="527">
        <v>13</v>
      </c>
      <c r="B744" s="527" t="s">
        <v>4083</v>
      </c>
      <c r="C744" s="527">
        <f t="shared" si="21"/>
        <v>1</v>
      </c>
      <c r="D744" s="527" t="s">
        <v>4063</v>
      </c>
      <c r="E744" s="527" t="s">
        <v>4084</v>
      </c>
    </row>
    <row r="745" spans="1:13">
      <c r="A745" s="527">
        <v>14</v>
      </c>
      <c r="B745" s="527" t="s">
        <v>4083</v>
      </c>
      <c r="C745" s="527">
        <f t="shared" si="21"/>
        <v>2</v>
      </c>
      <c r="D745" s="527" t="s">
        <v>4068</v>
      </c>
      <c r="E745" s="527" t="s">
        <v>4085</v>
      </c>
    </row>
    <row r="746" spans="1:13">
      <c r="A746" s="527">
        <v>15</v>
      </c>
      <c r="B746" s="527" t="s">
        <v>4083</v>
      </c>
      <c r="C746" s="527">
        <f t="shared" si="21"/>
        <v>3</v>
      </c>
      <c r="D746" s="527" t="s">
        <v>4063</v>
      </c>
      <c r="E746" s="527" t="s">
        <v>4086</v>
      </c>
    </row>
    <row r="747" spans="1:13">
      <c r="A747" s="527">
        <v>16</v>
      </c>
      <c r="B747" s="527" t="s">
        <v>4087</v>
      </c>
      <c r="C747" s="527">
        <f t="shared" si="21"/>
        <v>1</v>
      </c>
      <c r="D747" s="527" t="s">
        <v>4065</v>
      </c>
      <c r="E747" s="527"/>
    </row>
    <row r="748" spans="1:13">
      <c r="A748" s="527">
        <v>17</v>
      </c>
      <c r="B748" s="527" t="s">
        <v>4087</v>
      </c>
      <c r="C748" s="527">
        <f t="shared" si="21"/>
        <v>2</v>
      </c>
      <c r="D748" s="527" t="s">
        <v>4073</v>
      </c>
      <c r="E748" s="527"/>
    </row>
    <row r="749" spans="1:13">
      <c r="A749" s="527">
        <v>18</v>
      </c>
      <c r="B749" s="527" t="s">
        <v>4087</v>
      </c>
      <c r="C749" s="527">
        <f t="shared" si="21"/>
        <v>3</v>
      </c>
      <c r="D749" s="527" t="s">
        <v>4065</v>
      </c>
      <c r="E749" s="527"/>
    </row>
    <row r="750" spans="1:13">
      <c r="A750" s="527">
        <v>19</v>
      </c>
      <c r="B750" s="527" t="s">
        <v>4088</v>
      </c>
      <c r="C750" s="527">
        <f t="shared" si="21"/>
        <v>1</v>
      </c>
      <c r="D750" s="527" t="s">
        <v>4065</v>
      </c>
      <c r="E750" s="527"/>
    </row>
    <row r="751" spans="1:13">
      <c r="A751" s="527">
        <v>20</v>
      </c>
      <c r="B751" s="527" t="s">
        <v>4088</v>
      </c>
      <c r="C751" s="527">
        <f t="shared" si="21"/>
        <v>2</v>
      </c>
      <c r="D751" s="527" t="s">
        <v>4068</v>
      </c>
      <c r="E751" s="527"/>
    </row>
    <row r="752" spans="1:13">
      <c r="A752" s="527">
        <v>21</v>
      </c>
      <c r="B752" s="527" t="s">
        <v>4088</v>
      </c>
      <c r="C752" s="527">
        <f t="shared" si="21"/>
        <v>3</v>
      </c>
      <c r="D752" s="527" t="s">
        <v>4063</v>
      </c>
      <c r="E752" s="527"/>
    </row>
    <row r="753" spans="1:5">
      <c r="A753" s="527">
        <v>22</v>
      </c>
      <c r="B753" s="527" t="s">
        <v>4089</v>
      </c>
      <c r="C753" s="527">
        <f t="shared" si="21"/>
        <v>1</v>
      </c>
      <c r="D753" s="527" t="s">
        <v>4063</v>
      </c>
      <c r="E753" s="527"/>
    </row>
    <row r="754" spans="1:5">
      <c r="A754" s="527">
        <v>23</v>
      </c>
      <c r="B754" s="527" t="s">
        <v>4089</v>
      </c>
      <c r="C754" s="527">
        <f t="shared" si="21"/>
        <v>2</v>
      </c>
      <c r="D754" s="527" t="s">
        <v>4063</v>
      </c>
      <c r="E754" s="527"/>
    </row>
    <row r="755" spans="1:5">
      <c r="A755" s="527">
        <v>24</v>
      </c>
      <c r="B755" s="527" t="s">
        <v>4089</v>
      </c>
      <c r="C755" s="527">
        <f t="shared" si="21"/>
        <v>3</v>
      </c>
      <c r="D755" s="527" t="s">
        <v>4063</v>
      </c>
      <c r="E755" s="527"/>
    </row>
    <row r="756" spans="1:5">
      <c r="A756" s="527">
        <v>25</v>
      </c>
      <c r="B756" s="527" t="s">
        <v>4090</v>
      </c>
      <c r="C756" s="527">
        <f t="shared" si="21"/>
        <v>1</v>
      </c>
      <c r="D756" s="527" t="s">
        <v>4068</v>
      </c>
      <c r="E756" s="527"/>
    </row>
    <row r="757" spans="1:5">
      <c r="A757" s="527">
        <v>26</v>
      </c>
      <c r="B757" s="527" t="s">
        <v>4090</v>
      </c>
      <c r="C757" s="527">
        <f t="shared" si="21"/>
        <v>2</v>
      </c>
      <c r="D757" s="527" t="s">
        <v>4065</v>
      </c>
      <c r="E757" s="527"/>
    </row>
    <row r="758" spans="1:5">
      <c r="A758" s="527">
        <v>27</v>
      </c>
      <c r="B758" s="527" t="s">
        <v>4090</v>
      </c>
      <c r="C758" s="527">
        <f t="shared" si="21"/>
        <v>3</v>
      </c>
      <c r="D758" s="527" t="s">
        <v>4065</v>
      </c>
      <c r="E758" s="527"/>
    </row>
    <row r="759" spans="1:5">
      <c r="A759" s="527">
        <v>28</v>
      </c>
      <c r="B759" s="527" t="s">
        <v>4091</v>
      </c>
      <c r="C759" s="527">
        <f t="shared" si="21"/>
        <v>1</v>
      </c>
      <c r="D759" s="527" t="s">
        <v>4063</v>
      </c>
      <c r="E759" s="527"/>
    </row>
    <row r="760" spans="1:5">
      <c r="A760" s="527">
        <v>29</v>
      </c>
      <c r="B760" s="527" t="s">
        <v>4091</v>
      </c>
      <c r="C760" s="527">
        <f t="shared" si="21"/>
        <v>2</v>
      </c>
      <c r="D760" s="527" t="s">
        <v>4065</v>
      </c>
      <c r="E760" s="527"/>
    </row>
    <row r="761" spans="1:5">
      <c r="A761" s="527">
        <v>30</v>
      </c>
      <c r="B761" s="527" t="s">
        <v>4091</v>
      </c>
      <c r="C761" s="527">
        <f t="shared" si="21"/>
        <v>3</v>
      </c>
      <c r="D761" s="527" t="s">
        <v>4068</v>
      </c>
      <c r="E761" s="527"/>
    </row>
    <row r="762" spans="1:5">
      <c r="A762" s="527">
        <v>31</v>
      </c>
      <c r="B762" s="527" t="s">
        <v>4092</v>
      </c>
      <c r="C762" s="527">
        <f t="shared" si="21"/>
        <v>1</v>
      </c>
      <c r="D762" s="527" t="s">
        <v>4063</v>
      </c>
      <c r="E762" s="527"/>
    </row>
    <row r="763" spans="1:5">
      <c r="A763" s="527">
        <v>32</v>
      </c>
      <c r="B763" s="527" t="s">
        <v>4092</v>
      </c>
      <c r="C763" s="527">
        <f t="shared" si="21"/>
        <v>2</v>
      </c>
      <c r="D763" s="527" t="s">
        <v>4065</v>
      </c>
      <c r="E763" s="527"/>
    </row>
    <row r="764" spans="1:5">
      <c r="A764" s="527">
        <v>33</v>
      </c>
      <c r="B764" s="527" t="s">
        <v>4092</v>
      </c>
      <c r="C764" s="527">
        <f t="shared" si="21"/>
        <v>3</v>
      </c>
      <c r="D764" s="527" t="s">
        <v>4065</v>
      </c>
      <c r="E764" s="527"/>
    </row>
    <row r="765" spans="1:5">
      <c r="A765" s="527">
        <v>34</v>
      </c>
      <c r="B765" s="527" t="s">
        <v>4055</v>
      </c>
      <c r="C765" s="527">
        <f t="shared" si="21"/>
        <v>1</v>
      </c>
      <c r="D765" s="527" t="s">
        <v>4073</v>
      </c>
      <c r="E765" s="527"/>
    </row>
    <row r="766" spans="1:5">
      <c r="A766" s="527">
        <v>35</v>
      </c>
      <c r="B766" s="527" t="s">
        <v>4055</v>
      </c>
      <c r="C766" s="527">
        <f t="shared" si="21"/>
        <v>2</v>
      </c>
      <c r="D766" s="527" t="s">
        <v>4073</v>
      </c>
      <c r="E766" s="527"/>
    </row>
    <row r="767" spans="1:5">
      <c r="A767" s="527">
        <v>36</v>
      </c>
      <c r="B767" s="527" t="s">
        <v>4055</v>
      </c>
      <c r="C767" s="527">
        <f t="shared" si="21"/>
        <v>3</v>
      </c>
      <c r="D767" s="527" t="s">
        <v>4063</v>
      </c>
      <c r="E767" s="527"/>
    </row>
    <row r="769" spans="1:8">
      <c r="A769" s="559" t="s">
        <v>4093</v>
      </c>
      <c r="C769" s="559" t="s">
        <v>4094</v>
      </c>
      <c r="D769" s="606">
        <v>0.25</v>
      </c>
    </row>
    <row r="770" spans="1:8">
      <c r="A770" s="545" t="s">
        <v>4095</v>
      </c>
      <c r="B770" s="545" t="s">
        <v>1751</v>
      </c>
      <c r="C770" s="545" t="s">
        <v>1810</v>
      </c>
      <c r="D770" s="545" t="s">
        <v>1359</v>
      </c>
      <c r="E770" s="545" t="s">
        <v>1446</v>
      </c>
      <c r="F770" s="545" t="s">
        <v>1538</v>
      </c>
      <c r="G770" s="545" t="s">
        <v>1613</v>
      </c>
      <c r="H770" s="545" t="s">
        <v>1682</v>
      </c>
    </row>
    <row r="771" spans="1:8">
      <c r="A771" s="827">
        <f>D769</f>
        <v>0.25</v>
      </c>
      <c r="B771" s="527" t="s">
        <v>158</v>
      </c>
      <c r="C771" s="527" t="s">
        <v>159</v>
      </c>
      <c r="D771" s="527" t="s">
        <v>160</v>
      </c>
      <c r="E771" s="527" t="s">
        <v>800</v>
      </c>
      <c r="F771" s="527" t="s">
        <v>801</v>
      </c>
      <c r="G771" s="527" t="s">
        <v>163</v>
      </c>
      <c r="H771" s="527" t="s">
        <v>462</v>
      </c>
    </row>
    <row r="772" spans="1:8">
      <c r="A772" s="827">
        <f t="shared" ref="A772:A818" si="22">A771+VALUE("00:30")</f>
        <v>0.27083333333333331</v>
      </c>
      <c r="B772" s="527" t="s">
        <v>158</v>
      </c>
      <c r="C772" s="527" t="s">
        <v>159</v>
      </c>
      <c r="D772" s="527" t="s">
        <v>160</v>
      </c>
      <c r="E772" s="527" t="s">
        <v>800</v>
      </c>
      <c r="F772" s="527" t="s">
        <v>801</v>
      </c>
      <c r="G772" s="527" t="s">
        <v>163</v>
      </c>
      <c r="H772" s="527" t="s">
        <v>462</v>
      </c>
    </row>
    <row r="773" spans="1:8">
      <c r="A773" s="827">
        <f t="shared" si="22"/>
        <v>0.29166666666666663</v>
      </c>
      <c r="B773" s="527" t="s">
        <v>163</v>
      </c>
      <c r="C773" s="527" t="s">
        <v>462</v>
      </c>
      <c r="D773" s="527" t="s">
        <v>158</v>
      </c>
      <c r="E773" s="527" t="s">
        <v>159</v>
      </c>
      <c r="F773" s="527" t="s">
        <v>160</v>
      </c>
      <c r="G773" s="527" t="s">
        <v>800</v>
      </c>
      <c r="H773" s="527" t="s">
        <v>801</v>
      </c>
    </row>
    <row r="774" spans="1:8">
      <c r="A774" s="827">
        <f t="shared" si="22"/>
        <v>0.31249999999999994</v>
      </c>
      <c r="B774" s="527" t="s">
        <v>163</v>
      </c>
      <c r="C774" s="559" t="s">
        <v>462</v>
      </c>
      <c r="D774" s="527" t="s">
        <v>158</v>
      </c>
      <c r="E774" s="527" t="s">
        <v>159</v>
      </c>
      <c r="F774" s="527" t="s">
        <v>160</v>
      </c>
      <c r="G774" s="527" t="s">
        <v>800</v>
      </c>
      <c r="H774" s="527" t="s">
        <v>801</v>
      </c>
    </row>
    <row r="775" spans="1:8">
      <c r="A775" s="827">
        <f t="shared" si="22"/>
        <v>0.33333333333333326</v>
      </c>
      <c r="B775" s="527" t="s">
        <v>800</v>
      </c>
      <c r="C775" s="559" t="s">
        <v>801</v>
      </c>
      <c r="D775" s="527" t="s">
        <v>163</v>
      </c>
      <c r="E775" s="527" t="s">
        <v>462</v>
      </c>
      <c r="F775" s="527" t="s">
        <v>158</v>
      </c>
      <c r="G775" s="527" t="s">
        <v>159</v>
      </c>
      <c r="H775" s="527" t="s">
        <v>160</v>
      </c>
    </row>
    <row r="776" spans="1:8">
      <c r="A776" s="827">
        <f t="shared" si="22"/>
        <v>0.35416666666666657</v>
      </c>
      <c r="B776" s="527" t="s">
        <v>800</v>
      </c>
      <c r="C776" s="559" t="s">
        <v>801</v>
      </c>
      <c r="D776" s="527" t="s">
        <v>163</v>
      </c>
      <c r="E776" s="527" t="s">
        <v>462</v>
      </c>
      <c r="F776" s="527" t="s">
        <v>158</v>
      </c>
      <c r="G776" s="527" t="s">
        <v>159</v>
      </c>
      <c r="H776" s="527" t="s">
        <v>160</v>
      </c>
    </row>
    <row r="777" spans="1:8">
      <c r="A777" s="827">
        <f t="shared" si="22"/>
        <v>0.37499999999999989</v>
      </c>
      <c r="B777" s="527" t="s">
        <v>159</v>
      </c>
      <c r="C777" s="527" t="s">
        <v>160</v>
      </c>
      <c r="D777" s="527" t="s">
        <v>800</v>
      </c>
      <c r="E777" s="527" t="s">
        <v>801</v>
      </c>
      <c r="F777" s="527" t="s">
        <v>163</v>
      </c>
      <c r="G777" s="527" t="s">
        <v>462</v>
      </c>
      <c r="H777" s="559" t="s">
        <v>158</v>
      </c>
    </row>
    <row r="778" spans="1:8">
      <c r="A778" s="827">
        <f t="shared" si="22"/>
        <v>0.3958333333333332</v>
      </c>
      <c r="B778" s="527" t="s">
        <v>159</v>
      </c>
      <c r="C778" s="527" t="s">
        <v>160</v>
      </c>
      <c r="D778" s="527" t="s">
        <v>800</v>
      </c>
      <c r="E778" s="527" t="s">
        <v>801</v>
      </c>
      <c r="F778" s="527" t="s">
        <v>163</v>
      </c>
      <c r="G778" s="527" t="s">
        <v>462</v>
      </c>
      <c r="H778" s="559" t="s">
        <v>158</v>
      </c>
    </row>
    <row r="779" spans="1:8">
      <c r="A779" s="827">
        <f t="shared" si="22"/>
        <v>0.41666666666666652</v>
      </c>
      <c r="B779" s="527" t="s">
        <v>462</v>
      </c>
      <c r="C779" s="527" t="s">
        <v>158</v>
      </c>
      <c r="D779" s="527" t="s">
        <v>159</v>
      </c>
      <c r="E779" s="527" t="s">
        <v>160</v>
      </c>
      <c r="F779" s="527" t="s">
        <v>800</v>
      </c>
      <c r="G779" s="527" t="s">
        <v>801</v>
      </c>
      <c r="H779" s="559" t="s">
        <v>163</v>
      </c>
    </row>
    <row r="780" spans="1:8">
      <c r="A780" s="827">
        <f t="shared" si="22"/>
        <v>0.43749999999999983</v>
      </c>
      <c r="B780" s="527" t="s">
        <v>462</v>
      </c>
      <c r="C780" s="527" t="s">
        <v>158</v>
      </c>
      <c r="D780" s="527" t="s">
        <v>159</v>
      </c>
      <c r="E780" s="527" t="s">
        <v>160</v>
      </c>
      <c r="F780" s="527" t="s">
        <v>800</v>
      </c>
      <c r="G780" s="559" t="s">
        <v>801</v>
      </c>
      <c r="H780" s="527" t="s">
        <v>163</v>
      </c>
    </row>
    <row r="781" spans="1:8">
      <c r="A781" s="827">
        <f t="shared" si="22"/>
        <v>0.45833333333333315</v>
      </c>
      <c r="B781" s="527" t="s">
        <v>801</v>
      </c>
      <c r="C781" s="527" t="s">
        <v>163</v>
      </c>
      <c r="D781" s="527" t="s">
        <v>462</v>
      </c>
      <c r="E781" s="527" t="s">
        <v>158</v>
      </c>
      <c r="F781" s="527" t="s">
        <v>159</v>
      </c>
      <c r="G781" s="559" t="s">
        <v>160</v>
      </c>
      <c r="H781" s="527" t="s">
        <v>800</v>
      </c>
    </row>
    <row r="782" spans="1:8">
      <c r="A782" s="827">
        <f t="shared" si="22"/>
        <v>0.47916666666666646</v>
      </c>
      <c r="B782" s="527" t="s">
        <v>801</v>
      </c>
      <c r="C782" s="527" t="s">
        <v>163</v>
      </c>
      <c r="D782" s="527" t="s">
        <v>462</v>
      </c>
      <c r="E782" s="527" t="s">
        <v>158</v>
      </c>
      <c r="F782" s="527" t="s">
        <v>159</v>
      </c>
      <c r="G782" s="559" t="s">
        <v>160</v>
      </c>
      <c r="H782" s="527" t="s">
        <v>800</v>
      </c>
    </row>
    <row r="783" spans="1:8">
      <c r="A783" s="827">
        <f t="shared" si="22"/>
        <v>0.49999999999999978</v>
      </c>
      <c r="B783" s="527" t="s">
        <v>160</v>
      </c>
      <c r="C783" s="527" t="s">
        <v>800</v>
      </c>
      <c r="D783" s="527" t="s">
        <v>801</v>
      </c>
      <c r="E783" s="559" t="s">
        <v>163</v>
      </c>
      <c r="F783" s="527" t="s">
        <v>462</v>
      </c>
      <c r="G783" s="527" t="s">
        <v>158</v>
      </c>
      <c r="H783" s="527" t="s">
        <v>159</v>
      </c>
    </row>
    <row r="784" spans="1:8">
      <c r="A784" s="827">
        <f t="shared" si="22"/>
        <v>0.52083333333333315</v>
      </c>
      <c r="B784" s="527" t="s">
        <v>160</v>
      </c>
      <c r="C784" s="527" t="s">
        <v>800</v>
      </c>
      <c r="D784" s="527" t="s">
        <v>801</v>
      </c>
      <c r="E784" s="559" t="s">
        <v>163</v>
      </c>
      <c r="F784" s="527" t="s">
        <v>462</v>
      </c>
      <c r="G784" s="527" t="s">
        <v>158</v>
      </c>
      <c r="H784" s="527" t="s">
        <v>159</v>
      </c>
    </row>
    <row r="785" spans="1:8">
      <c r="A785" s="827">
        <f t="shared" si="22"/>
        <v>0.54166666666666652</v>
      </c>
      <c r="B785" s="527" t="s">
        <v>158</v>
      </c>
      <c r="C785" s="527" t="s">
        <v>159</v>
      </c>
      <c r="D785" s="527" t="s">
        <v>160</v>
      </c>
      <c r="E785" s="559" t="s">
        <v>800</v>
      </c>
      <c r="F785" s="527" t="s">
        <v>801</v>
      </c>
      <c r="G785" s="527" t="s">
        <v>163</v>
      </c>
      <c r="H785" s="527" t="s">
        <v>462</v>
      </c>
    </row>
    <row r="786" spans="1:8">
      <c r="A786" s="827">
        <f t="shared" si="22"/>
        <v>0.56249999999999989</v>
      </c>
      <c r="B786" s="527" t="s">
        <v>158</v>
      </c>
      <c r="C786" s="527" t="s">
        <v>159</v>
      </c>
      <c r="D786" s="527" t="s">
        <v>160</v>
      </c>
      <c r="E786" s="527" t="s">
        <v>800</v>
      </c>
      <c r="F786" s="559" t="s">
        <v>801</v>
      </c>
      <c r="G786" s="527" t="s">
        <v>163</v>
      </c>
      <c r="H786" s="527" t="s">
        <v>462</v>
      </c>
    </row>
    <row r="787" spans="1:8">
      <c r="A787" s="827">
        <f t="shared" si="22"/>
        <v>0.58333333333333326</v>
      </c>
      <c r="B787" s="527" t="s">
        <v>163</v>
      </c>
      <c r="C787" s="527" t="s">
        <v>462</v>
      </c>
      <c r="D787" s="527" t="s">
        <v>158</v>
      </c>
      <c r="E787" s="527" t="s">
        <v>159</v>
      </c>
      <c r="F787" s="559" t="s">
        <v>160</v>
      </c>
      <c r="G787" s="527" t="s">
        <v>800</v>
      </c>
      <c r="H787" s="527" t="s">
        <v>801</v>
      </c>
    </row>
    <row r="788" spans="1:8">
      <c r="A788" s="827">
        <f t="shared" si="22"/>
        <v>0.60416666666666663</v>
      </c>
      <c r="B788" s="545" t="s">
        <v>163</v>
      </c>
      <c r="C788" s="527" t="s">
        <v>462</v>
      </c>
      <c r="D788" s="527" t="s">
        <v>158</v>
      </c>
      <c r="E788" s="527" t="s">
        <v>159</v>
      </c>
      <c r="F788" s="559" t="s">
        <v>160</v>
      </c>
      <c r="G788" s="527" t="s">
        <v>800</v>
      </c>
      <c r="H788" s="527" t="s">
        <v>801</v>
      </c>
    </row>
    <row r="789" spans="1:8">
      <c r="A789" s="827">
        <f t="shared" si="22"/>
        <v>0.625</v>
      </c>
      <c r="B789" s="545" t="s">
        <v>800</v>
      </c>
      <c r="C789" s="527" t="s">
        <v>801</v>
      </c>
      <c r="D789" s="559" t="s">
        <v>163</v>
      </c>
      <c r="E789" s="527" t="s">
        <v>462</v>
      </c>
      <c r="F789" s="527" t="s">
        <v>158</v>
      </c>
      <c r="G789" s="527" t="s">
        <v>159</v>
      </c>
      <c r="H789" s="527" t="s">
        <v>160</v>
      </c>
    </row>
    <row r="790" spans="1:8">
      <c r="A790" s="827">
        <f t="shared" si="22"/>
        <v>0.64583333333333337</v>
      </c>
      <c r="B790" s="545" t="s">
        <v>800</v>
      </c>
      <c r="C790" s="527" t="s">
        <v>801</v>
      </c>
      <c r="D790" s="559" t="s">
        <v>163</v>
      </c>
      <c r="E790" s="527" t="s">
        <v>462</v>
      </c>
      <c r="F790" s="527" t="s">
        <v>158</v>
      </c>
      <c r="G790" s="527" t="s">
        <v>159</v>
      </c>
      <c r="H790" s="527" t="s">
        <v>160</v>
      </c>
    </row>
    <row r="791" spans="1:8">
      <c r="A791" s="827">
        <f t="shared" si="22"/>
        <v>0.66666666666666674</v>
      </c>
      <c r="B791" s="545" t="s">
        <v>159</v>
      </c>
      <c r="C791" s="527" t="s">
        <v>160</v>
      </c>
      <c r="D791" s="559" t="s">
        <v>800</v>
      </c>
      <c r="E791" s="527" t="s">
        <v>801</v>
      </c>
      <c r="F791" s="527" t="s">
        <v>163</v>
      </c>
      <c r="G791" s="527" t="s">
        <v>462</v>
      </c>
      <c r="H791" s="527" t="s">
        <v>158</v>
      </c>
    </row>
    <row r="792" spans="1:8">
      <c r="A792" s="827">
        <f t="shared" si="22"/>
        <v>0.68750000000000011</v>
      </c>
      <c r="B792" s="656" t="s">
        <v>159</v>
      </c>
      <c r="C792" s="527" t="s">
        <v>160</v>
      </c>
      <c r="D792" s="527" t="s">
        <v>800</v>
      </c>
      <c r="E792" s="527" t="s">
        <v>801</v>
      </c>
      <c r="F792" s="527" t="s">
        <v>163</v>
      </c>
      <c r="G792" s="527" t="s">
        <v>462</v>
      </c>
      <c r="H792" s="527" t="s">
        <v>158</v>
      </c>
    </row>
    <row r="793" spans="1:8">
      <c r="A793" s="827">
        <f t="shared" si="22"/>
        <v>0.70833333333333348</v>
      </c>
      <c r="B793" s="656" t="s">
        <v>462</v>
      </c>
      <c r="C793" s="527" t="s">
        <v>158</v>
      </c>
      <c r="D793" s="527" t="s">
        <v>159</v>
      </c>
      <c r="E793" s="527" t="s">
        <v>160</v>
      </c>
      <c r="F793" s="527" t="s">
        <v>800</v>
      </c>
      <c r="G793" s="527" t="s">
        <v>801</v>
      </c>
      <c r="H793" s="527" t="s">
        <v>163</v>
      </c>
    </row>
    <row r="794" spans="1:8">
      <c r="A794" s="827">
        <f t="shared" si="22"/>
        <v>0.72916666666666685</v>
      </c>
      <c r="B794" s="828" t="s">
        <v>462</v>
      </c>
      <c r="C794" s="627" t="s">
        <v>158</v>
      </c>
      <c r="D794" s="627" t="s">
        <v>159</v>
      </c>
      <c r="E794" s="627" t="s">
        <v>160</v>
      </c>
      <c r="F794" s="627" t="s">
        <v>800</v>
      </c>
      <c r="G794" s="627" t="s">
        <v>801</v>
      </c>
      <c r="H794" s="627" t="s">
        <v>163</v>
      </c>
    </row>
    <row r="795" spans="1:8">
      <c r="A795" s="827">
        <f t="shared" si="22"/>
        <v>0.75000000000000022</v>
      </c>
      <c r="B795" s="829" t="s">
        <v>801</v>
      </c>
      <c r="C795" s="829" t="s">
        <v>163</v>
      </c>
      <c r="D795" s="829" t="s">
        <v>462</v>
      </c>
      <c r="E795" s="830" t="s">
        <v>158</v>
      </c>
      <c r="F795" s="829" t="s">
        <v>159</v>
      </c>
      <c r="G795" s="829" t="s">
        <v>160</v>
      </c>
      <c r="H795" s="829" t="s">
        <v>800</v>
      </c>
    </row>
    <row r="796" spans="1:8">
      <c r="A796" s="827">
        <f t="shared" si="22"/>
        <v>0.77083333333333359</v>
      </c>
      <c r="B796" s="527" t="s">
        <v>801</v>
      </c>
      <c r="C796" s="527" t="s">
        <v>163</v>
      </c>
      <c r="D796" s="527" t="s">
        <v>462</v>
      </c>
      <c r="E796" s="559" t="s">
        <v>158</v>
      </c>
      <c r="F796" s="527" t="s">
        <v>159</v>
      </c>
      <c r="G796" s="527" t="s">
        <v>160</v>
      </c>
      <c r="H796" s="527" t="s">
        <v>800</v>
      </c>
    </row>
    <row r="797" spans="1:8">
      <c r="A797" s="827">
        <f t="shared" si="22"/>
        <v>0.79166666666666696</v>
      </c>
      <c r="B797" s="527" t="s">
        <v>160</v>
      </c>
      <c r="C797" s="527" t="s">
        <v>800</v>
      </c>
      <c r="D797" s="527" t="s">
        <v>801</v>
      </c>
      <c r="E797" s="559" t="s">
        <v>163</v>
      </c>
      <c r="F797" s="527" t="s">
        <v>462</v>
      </c>
      <c r="G797" s="527" t="s">
        <v>158</v>
      </c>
      <c r="H797" s="527" t="s">
        <v>159</v>
      </c>
    </row>
    <row r="798" spans="1:8">
      <c r="A798" s="827">
        <f t="shared" si="22"/>
        <v>0.81250000000000033</v>
      </c>
      <c r="B798" s="527" t="s">
        <v>160</v>
      </c>
      <c r="C798" s="527" t="s">
        <v>800</v>
      </c>
      <c r="D798" s="527" t="s">
        <v>801</v>
      </c>
      <c r="E798" s="527" t="s">
        <v>163</v>
      </c>
      <c r="F798" s="559" t="s">
        <v>462</v>
      </c>
      <c r="G798" s="527" t="s">
        <v>158</v>
      </c>
      <c r="H798" s="527" t="s">
        <v>159</v>
      </c>
    </row>
    <row r="799" spans="1:8">
      <c r="A799" s="827">
        <f t="shared" si="22"/>
        <v>0.8333333333333337</v>
      </c>
      <c r="B799" s="527" t="s">
        <v>158</v>
      </c>
      <c r="C799" s="527" t="s">
        <v>159</v>
      </c>
      <c r="D799" s="527" t="s">
        <v>160</v>
      </c>
      <c r="E799" s="527" t="s">
        <v>800</v>
      </c>
      <c r="F799" s="559" t="s">
        <v>801</v>
      </c>
      <c r="G799" s="527" t="s">
        <v>163</v>
      </c>
      <c r="H799" s="527" t="s">
        <v>462</v>
      </c>
    </row>
    <row r="800" spans="1:8">
      <c r="A800" s="827">
        <f t="shared" si="22"/>
        <v>0.85416666666666707</v>
      </c>
      <c r="B800" s="527" t="s">
        <v>158</v>
      </c>
      <c r="C800" s="527" t="s">
        <v>159</v>
      </c>
      <c r="D800" s="527" t="s">
        <v>160</v>
      </c>
      <c r="E800" s="527" t="s">
        <v>800</v>
      </c>
      <c r="F800" s="559" t="s">
        <v>801</v>
      </c>
      <c r="G800" s="527" t="s">
        <v>163</v>
      </c>
      <c r="H800" s="527" t="s">
        <v>462</v>
      </c>
    </row>
    <row r="801" spans="1:8">
      <c r="A801" s="827">
        <f t="shared" si="22"/>
        <v>0.87500000000000044</v>
      </c>
      <c r="B801" s="527" t="s">
        <v>163</v>
      </c>
      <c r="C801" s="527" t="s">
        <v>462</v>
      </c>
      <c r="D801" s="559" t="s">
        <v>158</v>
      </c>
      <c r="E801" s="527" t="s">
        <v>159</v>
      </c>
      <c r="F801" s="527" t="s">
        <v>160</v>
      </c>
      <c r="G801" s="527" t="s">
        <v>800</v>
      </c>
      <c r="H801" s="527" t="s">
        <v>801</v>
      </c>
    </row>
    <row r="802" spans="1:8">
      <c r="A802" s="827">
        <f t="shared" si="22"/>
        <v>0.89583333333333381</v>
      </c>
      <c r="B802" s="527" t="s">
        <v>163</v>
      </c>
      <c r="C802" s="527" t="s">
        <v>462</v>
      </c>
      <c r="D802" s="559" t="s">
        <v>158</v>
      </c>
      <c r="E802" s="527" t="s">
        <v>159</v>
      </c>
      <c r="F802" s="527" t="s">
        <v>160</v>
      </c>
      <c r="G802" s="527" t="s">
        <v>800</v>
      </c>
      <c r="H802" s="527" t="s">
        <v>801</v>
      </c>
    </row>
    <row r="803" spans="1:8">
      <c r="A803" s="827">
        <f t="shared" si="22"/>
        <v>0.91666666666666718</v>
      </c>
      <c r="B803" s="527" t="s">
        <v>800</v>
      </c>
      <c r="C803" s="527" t="s">
        <v>801</v>
      </c>
      <c r="D803" s="559" t="s">
        <v>163</v>
      </c>
      <c r="E803" s="527" t="s">
        <v>462</v>
      </c>
      <c r="F803" s="527" t="s">
        <v>158</v>
      </c>
      <c r="G803" s="527" t="s">
        <v>159</v>
      </c>
      <c r="H803" s="527" t="s">
        <v>160</v>
      </c>
    </row>
    <row r="804" spans="1:8">
      <c r="A804" s="827">
        <f t="shared" si="22"/>
        <v>0.93750000000000056</v>
      </c>
      <c r="B804" s="559" t="s">
        <v>800</v>
      </c>
      <c r="C804" s="527" t="s">
        <v>801</v>
      </c>
      <c r="D804" s="527" t="s">
        <v>163</v>
      </c>
      <c r="E804" s="527" t="s">
        <v>462</v>
      </c>
      <c r="F804" s="527" t="s">
        <v>158</v>
      </c>
      <c r="G804" s="527" t="s">
        <v>159</v>
      </c>
      <c r="H804" s="527" t="s">
        <v>160</v>
      </c>
    </row>
    <row r="805" spans="1:8">
      <c r="A805" s="827">
        <f t="shared" si="22"/>
        <v>0.95833333333333393</v>
      </c>
      <c r="B805" s="559" t="s">
        <v>159</v>
      </c>
      <c r="C805" s="527" t="s">
        <v>160</v>
      </c>
      <c r="D805" s="527" t="s">
        <v>800</v>
      </c>
      <c r="E805" s="527" t="s">
        <v>801</v>
      </c>
      <c r="F805" s="527" t="s">
        <v>163</v>
      </c>
      <c r="G805" s="527" t="s">
        <v>462</v>
      </c>
      <c r="H805" s="527" t="s">
        <v>158</v>
      </c>
    </row>
    <row r="806" spans="1:8">
      <c r="A806" s="827">
        <f t="shared" si="22"/>
        <v>0.9791666666666673</v>
      </c>
      <c r="B806" s="559" t="s">
        <v>159</v>
      </c>
      <c r="C806" s="527" t="s">
        <v>160</v>
      </c>
      <c r="D806" s="527" t="s">
        <v>800</v>
      </c>
      <c r="E806" s="527" t="s">
        <v>801</v>
      </c>
      <c r="F806" s="527" t="s">
        <v>163</v>
      </c>
      <c r="G806" s="527" t="s">
        <v>462</v>
      </c>
      <c r="H806" s="527" t="s">
        <v>158</v>
      </c>
    </row>
    <row r="807" spans="1:8">
      <c r="A807" s="827">
        <f t="shared" si="22"/>
        <v>1.0000000000000007</v>
      </c>
      <c r="B807" s="527" t="s">
        <v>462</v>
      </c>
      <c r="C807" s="527" t="s">
        <v>158</v>
      </c>
      <c r="D807" s="527" t="s">
        <v>159</v>
      </c>
      <c r="E807" s="527" t="s">
        <v>160</v>
      </c>
      <c r="F807" s="527" t="s">
        <v>800</v>
      </c>
      <c r="G807" s="527" t="s">
        <v>801</v>
      </c>
      <c r="H807" s="527" t="s">
        <v>163</v>
      </c>
    </row>
    <row r="808" spans="1:8">
      <c r="A808" s="827">
        <f t="shared" si="22"/>
        <v>1.0208333333333339</v>
      </c>
      <c r="B808" s="527" t="s">
        <v>462</v>
      </c>
      <c r="C808" s="527" t="s">
        <v>158</v>
      </c>
      <c r="D808" s="527" t="s">
        <v>159</v>
      </c>
      <c r="E808" s="527" t="s">
        <v>160</v>
      </c>
      <c r="F808" s="527" t="s">
        <v>800</v>
      </c>
      <c r="G808" s="527" t="s">
        <v>801</v>
      </c>
      <c r="H808" s="527" t="s">
        <v>163</v>
      </c>
    </row>
    <row r="809" spans="1:8">
      <c r="A809" s="827">
        <f t="shared" si="22"/>
        <v>1.0416666666666672</v>
      </c>
      <c r="B809" s="527" t="s">
        <v>801</v>
      </c>
      <c r="C809" s="527" t="s">
        <v>163</v>
      </c>
      <c r="D809" s="527" t="s">
        <v>462</v>
      </c>
      <c r="E809" s="527" t="s">
        <v>158</v>
      </c>
      <c r="F809" s="527" t="s">
        <v>159</v>
      </c>
      <c r="G809" s="527" t="s">
        <v>160</v>
      </c>
      <c r="H809" s="527" t="s">
        <v>800</v>
      </c>
    </row>
    <row r="810" spans="1:8">
      <c r="A810" s="827">
        <f t="shared" si="22"/>
        <v>1.0625000000000004</v>
      </c>
      <c r="B810" s="527" t="s">
        <v>801</v>
      </c>
      <c r="C810" s="559" t="s">
        <v>163</v>
      </c>
      <c r="D810" s="527" t="s">
        <v>462</v>
      </c>
      <c r="E810" s="527" t="s">
        <v>158</v>
      </c>
      <c r="F810" s="527" t="s">
        <v>159</v>
      </c>
      <c r="G810" s="527" t="s">
        <v>160</v>
      </c>
      <c r="H810" s="527" t="s">
        <v>800</v>
      </c>
    </row>
    <row r="811" spans="1:8">
      <c r="A811" s="827">
        <f t="shared" si="22"/>
        <v>1.0833333333333337</v>
      </c>
      <c r="B811" s="527" t="s">
        <v>160</v>
      </c>
      <c r="C811" s="559" t="s">
        <v>800</v>
      </c>
      <c r="D811" s="527" t="s">
        <v>801</v>
      </c>
      <c r="E811" s="527" t="s">
        <v>163</v>
      </c>
      <c r="F811" s="527" t="s">
        <v>462</v>
      </c>
      <c r="G811" s="527" t="s">
        <v>158</v>
      </c>
      <c r="H811" s="527" t="s">
        <v>159</v>
      </c>
    </row>
    <row r="812" spans="1:8">
      <c r="A812" s="827">
        <f t="shared" si="22"/>
        <v>1.104166666666667</v>
      </c>
      <c r="B812" s="527" t="s">
        <v>160</v>
      </c>
      <c r="C812" s="559" t="s">
        <v>800</v>
      </c>
      <c r="D812" s="527" t="s">
        <v>801</v>
      </c>
      <c r="E812" s="527" t="s">
        <v>163</v>
      </c>
      <c r="F812" s="527" t="s">
        <v>462</v>
      </c>
      <c r="G812" s="527" t="s">
        <v>158</v>
      </c>
      <c r="H812" s="527" t="s">
        <v>159</v>
      </c>
    </row>
    <row r="813" spans="1:8">
      <c r="A813" s="827">
        <f t="shared" si="22"/>
        <v>1.1250000000000002</v>
      </c>
      <c r="B813" s="527" t="s">
        <v>158</v>
      </c>
      <c r="C813" s="527" t="s">
        <v>159</v>
      </c>
      <c r="D813" s="527" t="s">
        <v>160</v>
      </c>
      <c r="E813" s="527" t="s">
        <v>800</v>
      </c>
      <c r="F813" s="527" t="s">
        <v>801</v>
      </c>
      <c r="G813" s="527" t="s">
        <v>163</v>
      </c>
      <c r="H813" s="559" t="s">
        <v>462</v>
      </c>
    </row>
    <row r="814" spans="1:8">
      <c r="A814" s="827">
        <f t="shared" si="22"/>
        <v>1.1458333333333335</v>
      </c>
      <c r="B814" s="527" t="s">
        <v>158</v>
      </c>
      <c r="C814" s="527" t="s">
        <v>159</v>
      </c>
      <c r="D814" s="527" t="s">
        <v>160</v>
      </c>
      <c r="E814" s="527" t="s">
        <v>800</v>
      </c>
      <c r="F814" s="527" t="s">
        <v>801</v>
      </c>
      <c r="G814" s="527" t="s">
        <v>163</v>
      </c>
      <c r="H814" s="559" t="s">
        <v>462</v>
      </c>
    </row>
    <row r="815" spans="1:8">
      <c r="A815" s="827">
        <f t="shared" si="22"/>
        <v>1.1666666666666667</v>
      </c>
      <c r="B815" s="527" t="s">
        <v>163</v>
      </c>
      <c r="C815" s="527" t="s">
        <v>462</v>
      </c>
      <c r="D815" s="527" t="s">
        <v>158</v>
      </c>
      <c r="E815" s="527" t="s">
        <v>159</v>
      </c>
      <c r="F815" s="527" t="s">
        <v>160</v>
      </c>
      <c r="G815" s="527" t="s">
        <v>800</v>
      </c>
      <c r="H815" s="559" t="s">
        <v>801</v>
      </c>
    </row>
    <row r="816" spans="1:8">
      <c r="A816" s="827">
        <f t="shared" si="22"/>
        <v>1.1875</v>
      </c>
      <c r="B816" s="527" t="s">
        <v>163</v>
      </c>
      <c r="C816" s="527" t="s">
        <v>462</v>
      </c>
      <c r="D816" s="527" t="s">
        <v>158</v>
      </c>
      <c r="E816" s="527" t="s">
        <v>159</v>
      </c>
      <c r="F816" s="527" t="s">
        <v>160</v>
      </c>
      <c r="G816" s="559" t="s">
        <v>800</v>
      </c>
      <c r="H816" s="527" t="s">
        <v>801</v>
      </c>
    </row>
    <row r="817" spans="1:8">
      <c r="A817" s="827">
        <f t="shared" si="22"/>
        <v>1.2083333333333333</v>
      </c>
      <c r="B817" s="527" t="s">
        <v>800</v>
      </c>
      <c r="C817" s="527" t="s">
        <v>801</v>
      </c>
      <c r="D817" s="527" t="s">
        <v>163</v>
      </c>
      <c r="E817" s="527" t="s">
        <v>462</v>
      </c>
      <c r="F817" s="527" t="s">
        <v>158</v>
      </c>
      <c r="G817" s="559" t="s">
        <v>159</v>
      </c>
      <c r="H817" s="527" t="s">
        <v>160</v>
      </c>
    </row>
    <row r="818" spans="1:8">
      <c r="A818" s="827">
        <f t="shared" si="22"/>
        <v>1.2291666666666665</v>
      </c>
      <c r="B818" s="627" t="s">
        <v>800</v>
      </c>
      <c r="C818" s="627" t="s">
        <v>801</v>
      </c>
      <c r="D818" s="627" t="s">
        <v>163</v>
      </c>
      <c r="E818" s="627" t="s">
        <v>462</v>
      </c>
      <c r="F818" s="627" t="s">
        <v>158</v>
      </c>
      <c r="G818" s="831" t="s">
        <v>159</v>
      </c>
      <c r="H818" s="627" t="s">
        <v>160</v>
      </c>
    </row>
    <row r="819" spans="1:8">
      <c r="A819" s="827" t="s">
        <v>4096</v>
      </c>
      <c r="E819" s="527"/>
    </row>
    <row r="820" spans="1:8">
      <c r="E820" s="527"/>
    </row>
    <row r="821" spans="1:8">
      <c r="A821" s="527" t="s">
        <v>4097</v>
      </c>
      <c r="B821" s="527" t="s">
        <v>4098</v>
      </c>
      <c r="E821" s="527"/>
    </row>
    <row r="822" spans="1:8">
      <c r="A822" s="832">
        <v>0</v>
      </c>
      <c r="B822" s="832" t="s">
        <v>4099</v>
      </c>
      <c r="C822" s="536"/>
      <c r="E822" s="527"/>
    </row>
    <row r="823" spans="1:8">
      <c r="A823" s="833">
        <v>13.33</v>
      </c>
      <c r="B823" s="833" t="s">
        <v>639</v>
      </c>
      <c r="E823" s="527"/>
    </row>
    <row r="824" spans="1:8">
      <c r="A824" s="832">
        <v>26.67</v>
      </c>
      <c r="B824" s="832" t="s">
        <v>553</v>
      </c>
      <c r="E824" s="527"/>
    </row>
    <row r="825" spans="1:8">
      <c r="A825" s="832">
        <v>30</v>
      </c>
      <c r="B825" s="832" t="s">
        <v>4100</v>
      </c>
      <c r="E825" s="527"/>
    </row>
    <row r="826" spans="1:8">
      <c r="A826" s="833">
        <v>40</v>
      </c>
      <c r="B826" s="833" t="s">
        <v>641</v>
      </c>
      <c r="E826" s="527"/>
    </row>
    <row r="827" spans="1:8">
      <c r="A827" s="832">
        <v>53.33</v>
      </c>
      <c r="B827" s="832" t="s">
        <v>1457</v>
      </c>
      <c r="E827" s="527"/>
    </row>
    <row r="828" spans="1:8">
      <c r="A828" s="832">
        <v>60</v>
      </c>
      <c r="B828" s="832" t="s">
        <v>4101</v>
      </c>
      <c r="E828" s="527"/>
    </row>
    <row r="829" spans="1:8">
      <c r="A829" s="833">
        <v>66.67</v>
      </c>
      <c r="B829" s="833" t="s">
        <v>557</v>
      </c>
      <c r="E829" s="527"/>
    </row>
    <row r="830" spans="1:8">
      <c r="A830" s="832">
        <v>80</v>
      </c>
      <c r="B830" s="832" t="s">
        <v>643</v>
      </c>
      <c r="E830" s="527"/>
    </row>
    <row r="831" spans="1:8">
      <c r="A831" s="832">
        <v>90</v>
      </c>
      <c r="B831" s="832" t="s">
        <v>4102</v>
      </c>
      <c r="E831" s="527"/>
    </row>
    <row r="832" spans="1:8">
      <c r="A832" s="833">
        <v>93.33</v>
      </c>
      <c r="B832" s="833" t="s">
        <v>566</v>
      </c>
      <c r="E832" s="527"/>
    </row>
    <row r="833" spans="1:5">
      <c r="A833" s="832">
        <v>106.67</v>
      </c>
      <c r="B833" s="832" t="s">
        <v>644</v>
      </c>
      <c r="E833" s="527"/>
    </row>
    <row r="834" spans="1:5">
      <c r="A834" s="833">
        <v>120</v>
      </c>
      <c r="B834" s="833" t="s">
        <v>4103</v>
      </c>
      <c r="E834" s="527"/>
    </row>
    <row r="835" spans="1:5">
      <c r="A835" s="832">
        <v>133.33000000000001</v>
      </c>
      <c r="B835" s="832" t="s">
        <v>1581</v>
      </c>
      <c r="E835" s="527"/>
    </row>
    <row r="836" spans="1:5">
      <c r="A836" s="833">
        <v>146.66999999999999</v>
      </c>
      <c r="B836" s="833" t="s">
        <v>1600</v>
      </c>
      <c r="E836" s="527"/>
    </row>
    <row r="837" spans="1:5">
      <c r="A837" s="833">
        <v>150</v>
      </c>
      <c r="B837" s="833" t="s">
        <v>4104</v>
      </c>
      <c r="E837" s="527"/>
    </row>
    <row r="838" spans="1:5">
      <c r="A838" s="832">
        <v>160</v>
      </c>
      <c r="B838" s="832" t="s">
        <v>648</v>
      </c>
      <c r="E838" s="527"/>
    </row>
    <row r="839" spans="1:5">
      <c r="A839" s="833">
        <v>173.33</v>
      </c>
      <c r="B839" s="833" t="s">
        <v>649</v>
      </c>
      <c r="E839" s="527"/>
    </row>
    <row r="840" spans="1:5">
      <c r="A840" s="833">
        <v>180</v>
      </c>
      <c r="B840" s="833" t="s">
        <v>4105</v>
      </c>
      <c r="E840" s="527"/>
    </row>
    <row r="841" spans="1:5">
      <c r="A841" s="832">
        <v>186.67</v>
      </c>
      <c r="B841" s="832" t="s">
        <v>592</v>
      </c>
      <c r="E841" s="527"/>
    </row>
    <row r="842" spans="1:5">
      <c r="A842" s="833">
        <v>200</v>
      </c>
      <c r="B842" s="833" t="s">
        <v>1672</v>
      </c>
    </row>
    <row r="843" spans="1:5">
      <c r="A843" s="833">
        <v>210</v>
      </c>
      <c r="B843" s="833" t="s">
        <v>4106</v>
      </c>
    </row>
    <row r="844" spans="1:5">
      <c r="A844" s="832">
        <v>213.33</v>
      </c>
      <c r="B844" s="832" t="s">
        <v>581</v>
      </c>
    </row>
    <row r="845" spans="1:5">
      <c r="A845" s="833">
        <v>226.67</v>
      </c>
      <c r="B845" s="833" t="s">
        <v>1709</v>
      </c>
    </row>
    <row r="846" spans="1:5">
      <c r="A846" s="832">
        <v>240</v>
      </c>
      <c r="B846" s="832" t="s">
        <v>4107</v>
      </c>
    </row>
    <row r="847" spans="1:5">
      <c r="A847" s="833">
        <v>253.33</v>
      </c>
      <c r="B847" s="833" t="s">
        <v>1741</v>
      </c>
    </row>
    <row r="848" spans="1:5">
      <c r="A848" s="832">
        <v>266.67</v>
      </c>
      <c r="B848" s="832" t="s">
        <v>1760</v>
      </c>
    </row>
    <row r="849" spans="1:14">
      <c r="A849" s="834">
        <v>270</v>
      </c>
      <c r="B849" s="834" t="s">
        <v>4108</v>
      </c>
    </row>
    <row r="850" spans="1:14">
      <c r="A850" s="835">
        <v>276.67</v>
      </c>
      <c r="B850" s="835" t="s">
        <v>655</v>
      </c>
    </row>
    <row r="851" spans="1:14">
      <c r="A851" s="832">
        <v>280</v>
      </c>
      <c r="B851" s="832" t="s">
        <v>609</v>
      </c>
    </row>
    <row r="852" spans="1:14">
      <c r="A852" s="833">
        <v>293.33</v>
      </c>
      <c r="B852" s="833" t="s">
        <v>1798</v>
      </c>
    </row>
    <row r="853" spans="1:14">
      <c r="A853" s="833">
        <v>300</v>
      </c>
      <c r="B853" s="833" t="s">
        <v>4109</v>
      </c>
    </row>
    <row r="854" spans="1:14">
      <c r="A854" s="832">
        <v>306.67</v>
      </c>
      <c r="B854" s="832" t="s">
        <v>1819</v>
      </c>
    </row>
    <row r="855" spans="1:14">
      <c r="A855" s="833">
        <v>320</v>
      </c>
      <c r="B855" s="833" t="s">
        <v>1835</v>
      </c>
    </row>
    <row r="856" spans="1:14">
      <c r="A856" s="833">
        <v>330</v>
      </c>
      <c r="B856" s="833" t="s">
        <v>4110</v>
      </c>
    </row>
    <row r="857" spans="1:14">
      <c r="A857" s="832">
        <v>333.33</v>
      </c>
      <c r="B857" s="832" t="s">
        <v>1853</v>
      </c>
    </row>
    <row r="858" spans="1:14">
      <c r="A858" s="833">
        <v>346.67</v>
      </c>
      <c r="B858" s="833" t="s">
        <v>574</v>
      </c>
    </row>
    <row r="860" spans="1:14" ht="15.75">
      <c r="A860" s="836"/>
    </row>
    <row r="861" spans="1:14" ht="15.75">
      <c r="A861" s="837" t="s">
        <v>4111</v>
      </c>
      <c r="B861" s="838" t="s">
        <v>4112</v>
      </c>
      <c r="C861" s="838" t="s">
        <v>4113</v>
      </c>
      <c r="D861" s="838" t="s">
        <v>4114</v>
      </c>
      <c r="E861" s="838" t="s">
        <v>4115</v>
      </c>
      <c r="F861" s="838" t="s">
        <v>4116</v>
      </c>
      <c r="G861" s="838" t="s">
        <v>4117</v>
      </c>
      <c r="H861" s="838" t="s">
        <v>4118</v>
      </c>
      <c r="I861" s="838" t="s">
        <v>4119</v>
      </c>
      <c r="J861" s="838" t="s">
        <v>4120</v>
      </c>
      <c r="K861" s="838" t="s">
        <v>4121</v>
      </c>
      <c r="L861" s="838" t="s">
        <v>4122</v>
      </c>
      <c r="M861" s="838" t="s">
        <v>4123</v>
      </c>
      <c r="N861" s="839" t="s">
        <v>320</v>
      </c>
    </row>
    <row r="862" spans="1:14" ht="15.75">
      <c r="A862" s="837" t="s">
        <v>4124</v>
      </c>
      <c r="B862" s="840">
        <v>0.75</v>
      </c>
      <c r="C862" s="841">
        <v>1</v>
      </c>
      <c r="D862" s="841">
        <v>1</v>
      </c>
      <c r="E862" s="841">
        <v>1</v>
      </c>
      <c r="F862" s="842">
        <v>0.5</v>
      </c>
      <c r="G862" s="842">
        <v>0.25</v>
      </c>
      <c r="H862" s="842">
        <v>0.25</v>
      </c>
      <c r="I862" s="842">
        <v>0.25</v>
      </c>
      <c r="J862" s="841">
        <v>1</v>
      </c>
      <c r="K862" s="841">
        <v>1</v>
      </c>
      <c r="L862" s="841">
        <v>1</v>
      </c>
      <c r="M862" s="843">
        <v>0</v>
      </c>
      <c r="N862" s="839">
        <v>8</v>
      </c>
    </row>
    <row r="863" spans="1:14" ht="15.75">
      <c r="A863" s="837" t="s">
        <v>4125</v>
      </c>
      <c r="B863" s="844">
        <v>0.5</v>
      </c>
      <c r="C863" s="837">
        <v>1</v>
      </c>
      <c r="D863" s="845">
        <v>0.5</v>
      </c>
      <c r="E863" s="837">
        <v>1</v>
      </c>
      <c r="F863" s="837">
        <v>1</v>
      </c>
      <c r="G863" s="845">
        <v>0.5</v>
      </c>
      <c r="H863" s="845">
        <v>0.25</v>
      </c>
      <c r="I863" s="845">
        <v>0.5</v>
      </c>
      <c r="J863" s="837">
        <v>1</v>
      </c>
      <c r="K863" s="845">
        <v>0.75</v>
      </c>
      <c r="L863" s="837">
        <v>1</v>
      </c>
      <c r="M863" s="846">
        <v>0</v>
      </c>
      <c r="N863" s="839">
        <v>8</v>
      </c>
    </row>
    <row r="864" spans="1:14" ht="15.75">
      <c r="A864" s="837" t="s">
        <v>4126</v>
      </c>
      <c r="B864" s="847">
        <v>1</v>
      </c>
      <c r="C864" s="845">
        <v>0</v>
      </c>
      <c r="D864" s="837">
        <v>1</v>
      </c>
      <c r="E864" s="845">
        <v>0.75</v>
      </c>
      <c r="F864" s="845">
        <v>0.75</v>
      </c>
      <c r="G864" s="845">
        <v>0.25</v>
      </c>
      <c r="H864" s="845">
        <v>0.75</v>
      </c>
      <c r="I864" s="845">
        <v>0</v>
      </c>
      <c r="J864" s="845">
        <v>0.75</v>
      </c>
      <c r="K864" s="845">
        <v>0.75</v>
      </c>
      <c r="L864" s="845">
        <v>0.75</v>
      </c>
      <c r="M864" s="846">
        <v>0.25</v>
      </c>
      <c r="N864" s="839">
        <v>7</v>
      </c>
    </row>
    <row r="865" spans="1:14" ht="15.75">
      <c r="A865" s="837" t="s">
        <v>4127</v>
      </c>
      <c r="B865" s="847">
        <v>1</v>
      </c>
      <c r="C865" s="845">
        <v>0.75</v>
      </c>
      <c r="D865" s="837">
        <v>1</v>
      </c>
      <c r="E865" s="837">
        <v>1</v>
      </c>
      <c r="F865" s="837">
        <v>1</v>
      </c>
      <c r="G865" s="845">
        <v>0</v>
      </c>
      <c r="H865" s="845">
        <v>0.75</v>
      </c>
      <c r="I865" s="845">
        <v>0</v>
      </c>
      <c r="J865" s="837">
        <v>1</v>
      </c>
      <c r="K865" s="837">
        <v>1</v>
      </c>
      <c r="L865" s="845">
        <v>0.75</v>
      </c>
      <c r="M865" s="846">
        <v>0</v>
      </c>
      <c r="N865" s="839">
        <v>8.25</v>
      </c>
    </row>
    <row r="866" spans="1:14" ht="15.75">
      <c r="A866" s="837" t="s">
        <v>4128</v>
      </c>
      <c r="B866" s="844">
        <v>0.75</v>
      </c>
      <c r="C866" s="837">
        <v>1</v>
      </c>
      <c r="D866" s="845">
        <v>0.75</v>
      </c>
      <c r="E866" s="837">
        <v>1</v>
      </c>
      <c r="F866" s="845">
        <v>0.75</v>
      </c>
      <c r="G866" s="845">
        <v>0</v>
      </c>
      <c r="H866" s="837">
        <v>1</v>
      </c>
      <c r="I866" s="845">
        <v>0</v>
      </c>
      <c r="J866" s="837">
        <v>1</v>
      </c>
      <c r="K866" s="837">
        <v>1</v>
      </c>
      <c r="L866" s="837">
        <v>1</v>
      </c>
      <c r="M866" s="846">
        <v>0</v>
      </c>
      <c r="N866" s="839">
        <v>8.25</v>
      </c>
    </row>
    <row r="867" spans="1:14" ht="15.75">
      <c r="A867" s="837" t="s">
        <v>4129</v>
      </c>
      <c r="B867" s="844">
        <v>0.5</v>
      </c>
      <c r="C867" s="845">
        <v>0.75</v>
      </c>
      <c r="D867" s="845">
        <v>0</v>
      </c>
      <c r="E867" s="845">
        <v>0.5</v>
      </c>
      <c r="F867" s="837">
        <v>1</v>
      </c>
      <c r="G867" s="845">
        <v>0.25</v>
      </c>
      <c r="H867" s="845">
        <v>0.25</v>
      </c>
      <c r="I867" s="845">
        <v>0</v>
      </c>
      <c r="J867" s="845">
        <v>0.25</v>
      </c>
      <c r="K867" s="845">
        <v>0.25</v>
      </c>
      <c r="L867" s="845">
        <v>0.75</v>
      </c>
      <c r="M867" s="846">
        <v>0</v>
      </c>
      <c r="N867" s="839">
        <v>4.5</v>
      </c>
    </row>
    <row r="868" spans="1:14" ht="15.75">
      <c r="A868" s="837" t="s">
        <v>4130</v>
      </c>
      <c r="B868" s="844">
        <v>0</v>
      </c>
      <c r="C868" s="845">
        <v>0.25</v>
      </c>
      <c r="D868" s="845">
        <v>0.25</v>
      </c>
      <c r="E868" s="845">
        <v>0.75</v>
      </c>
      <c r="F868" s="837">
        <v>1</v>
      </c>
      <c r="G868" s="845">
        <v>0</v>
      </c>
      <c r="H868" s="837">
        <v>1</v>
      </c>
      <c r="I868" s="845">
        <v>0</v>
      </c>
      <c r="J868" s="837">
        <v>1</v>
      </c>
      <c r="K868" s="845">
        <v>0.75</v>
      </c>
      <c r="L868" s="845">
        <v>0.75</v>
      </c>
      <c r="M868" s="846">
        <v>0</v>
      </c>
      <c r="N868" s="839">
        <v>5.75</v>
      </c>
    </row>
    <row r="869" spans="1:14" ht="15.75">
      <c r="A869" s="837" t="s">
        <v>4131</v>
      </c>
      <c r="B869" s="844">
        <v>0</v>
      </c>
      <c r="C869" s="845">
        <v>0</v>
      </c>
      <c r="D869" s="845">
        <v>0</v>
      </c>
      <c r="E869" s="845">
        <v>0</v>
      </c>
      <c r="F869" s="845">
        <v>0.5</v>
      </c>
      <c r="G869" s="845">
        <v>0.5</v>
      </c>
      <c r="H869" s="845">
        <v>0.25</v>
      </c>
      <c r="I869" s="845">
        <v>0.75</v>
      </c>
      <c r="J869" s="845">
        <v>0</v>
      </c>
      <c r="K869" s="845">
        <v>0.5</v>
      </c>
      <c r="L869" s="845">
        <v>0.5</v>
      </c>
      <c r="M869" s="846">
        <v>0.25</v>
      </c>
      <c r="N869" s="839">
        <v>3.25</v>
      </c>
    </row>
    <row r="870" spans="1:14" ht="15.75">
      <c r="A870" s="837" t="s">
        <v>4132</v>
      </c>
      <c r="B870" s="847">
        <v>1</v>
      </c>
      <c r="C870" s="837">
        <v>1</v>
      </c>
      <c r="D870" s="837">
        <v>1</v>
      </c>
      <c r="E870" s="837">
        <v>1</v>
      </c>
      <c r="F870" s="837">
        <v>1</v>
      </c>
      <c r="G870" s="845">
        <v>0</v>
      </c>
      <c r="H870" s="837">
        <v>1</v>
      </c>
      <c r="I870" s="845">
        <v>0</v>
      </c>
      <c r="J870" s="837">
        <v>1</v>
      </c>
      <c r="K870" s="837">
        <v>1</v>
      </c>
      <c r="L870" s="837">
        <v>1</v>
      </c>
      <c r="M870" s="846">
        <v>0.5</v>
      </c>
      <c r="N870" s="839">
        <v>9.5</v>
      </c>
    </row>
    <row r="871" spans="1:14" ht="15.75">
      <c r="A871" s="837" t="s">
        <v>4133</v>
      </c>
      <c r="B871" s="847">
        <v>1</v>
      </c>
      <c r="C871" s="837">
        <v>1</v>
      </c>
      <c r="D871" s="837">
        <v>1</v>
      </c>
      <c r="E871" s="837">
        <v>1</v>
      </c>
      <c r="F871" s="837">
        <v>1</v>
      </c>
      <c r="G871" s="845">
        <v>0.25</v>
      </c>
      <c r="H871" s="837">
        <v>1</v>
      </c>
      <c r="I871" s="845">
        <v>0.25</v>
      </c>
      <c r="J871" s="837">
        <v>1</v>
      </c>
      <c r="K871" s="837">
        <v>1</v>
      </c>
      <c r="L871" s="837">
        <v>1</v>
      </c>
      <c r="M871" s="846">
        <v>0.5</v>
      </c>
      <c r="N871" s="839">
        <v>10</v>
      </c>
    </row>
    <row r="872" spans="1:14" ht="15.75">
      <c r="A872" s="837" t="s">
        <v>4134</v>
      </c>
      <c r="B872" s="847">
        <v>1</v>
      </c>
      <c r="C872" s="837">
        <v>1</v>
      </c>
      <c r="D872" s="845">
        <v>0.75</v>
      </c>
      <c r="E872" s="837">
        <v>1</v>
      </c>
      <c r="F872" s="837">
        <v>1</v>
      </c>
      <c r="G872" s="845">
        <v>0</v>
      </c>
      <c r="H872" s="845">
        <v>0.75</v>
      </c>
      <c r="I872" s="845">
        <v>0.5</v>
      </c>
      <c r="J872" s="837">
        <v>1</v>
      </c>
      <c r="K872" s="837">
        <v>1</v>
      </c>
      <c r="L872" s="837">
        <v>1</v>
      </c>
      <c r="M872" s="846">
        <v>0.75</v>
      </c>
      <c r="N872" s="839">
        <v>9.75</v>
      </c>
    </row>
    <row r="873" spans="1:14" ht="15.75">
      <c r="A873" s="837" t="s">
        <v>4135</v>
      </c>
      <c r="B873" s="848">
        <v>0</v>
      </c>
      <c r="C873" s="849">
        <v>1</v>
      </c>
      <c r="D873" s="850">
        <v>0</v>
      </c>
      <c r="E873" s="850">
        <v>0</v>
      </c>
      <c r="F873" s="850">
        <v>0.25</v>
      </c>
      <c r="G873" s="850">
        <v>0</v>
      </c>
      <c r="H873" s="850">
        <v>0</v>
      </c>
      <c r="I873" s="850">
        <v>0.5</v>
      </c>
      <c r="J873" s="850">
        <v>0</v>
      </c>
      <c r="K873" s="850">
        <v>0</v>
      </c>
      <c r="L873" s="850">
        <v>0.25</v>
      </c>
      <c r="M873" s="851">
        <v>0</v>
      </c>
      <c r="N873" s="839">
        <v>2</v>
      </c>
    </row>
    <row r="874" spans="1:14" ht="15.75">
      <c r="A874" s="852" t="s">
        <v>320</v>
      </c>
      <c r="B874" s="853">
        <v>7.5</v>
      </c>
      <c r="C874" s="853">
        <v>8.75</v>
      </c>
      <c r="D874" s="853">
        <v>7.25</v>
      </c>
      <c r="E874" s="853">
        <v>9</v>
      </c>
      <c r="F874" s="853">
        <v>9.75</v>
      </c>
      <c r="G874" s="853">
        <v>2</v>
      </c>
      <c r="H874" s="853">
        <v>7.25</v>
      </c>
      <c r="I874" s="853">
        <v>2.75</v>
      </c>
      <c r="J874" s="853">
        <v>9</v>
      </c>
      <c r="K874" s="853">
        <v>9</v>
      </c>
      <c r="L874" s="853">
        <v>9.75</v>
      </c>
      <c r="M874" s="853">
        <v>2.25</v>
      </c>
      <c r="N874" s="854">
        <v>84.3</v>
      </c>
    </row>
    <row r="878" spans="1:14">
      <c r="A878" s="527" t="s">
        <v>184</v>
      </c>
      <c r="B878" s="527" t="s">
        <v>245</v>
      </c>
      <c r="C878" s="527" t="s">
        <v>4136</v>
      </c>
    </row>
    <row r="879" spans="1:14">
      <c r="A879" s="527" t="s">
        <v>4137</v>
      </c>
      <c r="B879" s="527" t="s">
        <v>4003</v>
      </c>
      <c r="C879" s="527" t="s">
        <v>4138</v>
      </c>
    </row>
    <row r="880" spans="1:14">
      <c r="A880" s="527" t="s">
        <v>4139</v>
      </c>
      <c r="B880" s="527" t="s">
        <v>4091</v>
      </c>
      <c r="C880" s="527" t="s">
        <v>4075</v>
      </c>
    </row>
  </sheetData>
  <mergeCells count="22">
    <mergeCell ref="A689:A695"/>
    <mergeCell ref="A696:A702"/>
    <mergeCell ref="B532:E532"/>
    <mergeCell ref="B553:C553"/>
    <mergeCell ref="D553:E553"/>
    <mergeCell ref="F553:G553"/>
    <mergeCell ref="H553:I553"/>
    <mergeCell ref="B470:D470"/>
    <mergeCell ref="B475:D475"/>
    <mergeCell ref="B479:D479"/>
    <mergeCell ref="A507:C507"/>
    <mergeCell ref="A519:E519"/>
    <mergeCell ref="B440:D440"/>
    <mergeCell ref="B446:D446"/>
    <mergeCell ref="B452:D452"/>
    <mergeCell ref="B458:D458"/>
    <mergeCell ref="B464:D464"/>
    <mergeCell ref="AH46:AI46"/>
    <mergeCell ref="A213:B213"/>
    <mergeCell ref="B421:D421"/>
    <mergeCell ref="B432:C432"/>
    <mergeCell ref="B437:C437"/>
  </mergeCells>
  <phoneticPr fontId="176" type="noConversion"/>
  <conditionalFormatting sqref="B771:H819">
    <cfRule type="cellIs" dxfId="8" priority="2" operator="equal">
      <formula>$B$769</formula>
    </cfRule>
  </conditionalFormatting>
  <conditionalFormatting sqref="B874:M874 N862:N873">
    <cfRule type="cellIs" dxfId="7" priority="3" operator="greaterThan">
      <formula>8</formula>
    </cfRule>
    <cfRule type="cellIs" dxfId="6" priority="4" operator="lessThan">
      <formula>7</formula>
    </cfRule>
  </conditionalFormatting>
  <hyperlinks>
    <hyperlink ref="B599" r:id="rId2" xr:uid="{00000000-0004-0000-0C00-000000000000}"/>
  </hyperlinks>
  <pageMargins left="0.74791666666666701" right="0.74791666666666701" top="0.98402777777777795" bottom="0.98402777777777795" header="0.511811023622047" footer="0.511811023622047"/>
  <pageSetup paperSize="9" orientation="portrait" horizontalDpi="300" verticalDpi="300"/>
  <legacyDrawing r:id="rId3"/>
  <tableParts count="2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76"/>
  <sheetViews>
    <sheetView zoomScaleNormal="100" workbookViewId="0">
      <selection activeCell="B11" sqref="B11"/>
    </sheetView>
  </sheetViews>
  <sheetFormatPr defaultColWidth="9.140625" defaultRowHeight="15"/>
  <cols>
    <col min="1" max="1" width="5.28515625" style="855" customWidth="1"/>
    <col min="2" max="2" width="4.42578125" style="855" customWidth="1"/>
    <col min="3" max="3" width="6.140625" style="855" customWidth="1"/>
    <col min="4" max="4" width="6.7109375" style="855" customWidth="1"/>
    <col min="5" max="5" width="4.28515625" style="855" customWidth="1"/>
    <col min="6" max="6" width="8" style="855" customWidth="1"/>
    <col min="7" max="7" width="7.5703125" style="855" customWidth="1"/>
    <col min="8" max="8" width="9" style="855" customWidth="1"/>
    <col min="9" max="9" width="7.140625" style="855" customWidth="1"/>
    <col min="10" max="10" width="5.140625" style="855" customWidth="1"/>
    <col min="11" max="11" width="7.140625" style="855" customWidth="1"/>
    <col min="12" max="12" width="6.42578125" style="855" customWidth="1"/>
    <col min="13" max="13" width="7.140625" style="855" customWidth="1"/>
    <col min="14" max="14" width="4.85546875" style="855" customWidth="1"/>
    <col min="15" max="15" width="7.140625" style="855" customWidth="1"/>
    <col min="16" max="16" width="4.85546875" style="855" customWidth="1"/>
    <col min="17" max="17" width="7.140625" style="855" customWidth="1"/>
    <col min="18" max="18" width="6.7109375" style="855" customWidth="1"/>
    <col min="19" max="19" width="6.140625" style="855" customWidth="1"/>
    <col min="20" max="21" width="9.140625" style="855"/>
    <col min="22" max="22" width="9.140625" style="856"/>
    <col min="23" max="1024" width="9.140625" style="855"/>
  </cols>
  <sheetData>
    <row r="1" spans="1:28" ht="15.75" customHeight="1">
      <c r="A1" s="1359" t="s">
        <v>4140</v>
      </c>
      <c r="B1" s="1359"/>
      <c r="C1" s="1359"/>
      <c r="D1" s="855">
        <f>DinaMaana</f>
        <v>31.708333333444898</v>
      </c>
      <c r="G1" s="11" t="s">
        <v>4141</v>
      </c>
      <c r="H1" s="11"/>
      <c r="I1" s="855">
        <f>CHOOSE(MOD(D6+6,7)+1,1,7,2,4,3,5,6)</f>
        <v>6</v>
      </c>
      <c r="K1" s="194" t="s">
        <v>4142</v>
      </c>
      <c r="L1" s="1360" t="s">
        <v>4143</v>
      </c>
      <c r="M1" s="1360"/>
      <c r="N1" s="1360"/>
      <c r="O1" s="1360" t="s">
        <v>4144</v>
      </c>
      <c r="P1" s="1360"/>
      <c r="Q1" s="1360"/>
      <c r="R1" s="11" t="s">
        <v>4145</v>
      </c>
      <c r="S1" s="11"/>
      <c r="T1" s="855" t="s">
        <v>125</v>
      </c>
    </row>
    <row r="2" spans="1:28">
      <c r="A2" s="1359" t="s">
        <v>4146</v>
      </c>
      <c r="B2" s="1359"/>
      <c r="C2" s="1359"/>
      <c r="D2" s="855">
        <f>RatriMaana</f>
        <v>28.291666666555102</v>
      </c>
      <c r="G2" s="11" t="s">
        <v>4147</v>
      </c>
      <c r="H2" s="11"/>
      <c r="I2" s="855">
        <f>CHOOSE(MOD(D6+6,7)+1,4,2,4,1,11,2,7)</f>
        <v>7</v>
      </c>
      <c r="K2" s="857" t="s">
        <v>124</v>
      </c>
      <c r="L2" s="858" t="s">
        <v>3149</v>
      </c>
      <c r="M2" s="859" t="s">
        <v>4148</v>
      </c>
      <c r="N2" s="860" t="s">
        <v>4149</v>
      </c>
      <c r="O2" s="858" t="s">
        <v>3467</v>
      </c>
      <c r="P2" s="859" t="s">
        <v>4148</v>
      </c>
      <c r="Q2" s="860" t="s">
        <v>4149</v>
      </c>
      <c r="R2" s="861" t="s">
        <v>4150</v>
      </c>
      <c r="S2" s="862" t="s">
        <v>4151</v>
      </c>
      <c r="T2" s="855" t="s">
        <v>4152</v>
      </c>
      <c r="AB2" s="855" t="s">
        <v>4153</v>
      </c>
    </row>
    <row r="3" spans="1:28">
      <c r="A3" s="1359" t="s">
        <v>4154</v>
      </c>
      <c r="B3" s="1359"/>
      <c r="C3" s="1359"/>
      <c r="D3" s="855">
        <f>JanmaGhatika</f>
        <v>7.9118055555591127</v>
      </c>
      <c r="G3" s="11" t="s">
        <v>4155</v>
      </c>
      <c r="H3" s="11"/>
      <c r="I3" s="855">
        <f>30/8</f>
        <v>3.75</v>
      </c>
      <c r="K3" s="857" t="s">
        <v>158</v>
      </c>
      <c r="L3" s="863">
        <v>26</v>
      </c>
      <c r="M3" s="864">
        <f t="shared" ref="M3:M9" si="0">INT(L3/3.75)+1</f>
        <v>7</v>
      </c>
      <c r="N3" s="865">
        <f t="shared" ref="N3:N9" si="1">MOD(L3/0.25,15)</f>
        <v>14</v>
      </c>
      <c r="O3" s="863">
        <v>10</v>
      </c>
      <c r="P3" s="864">
        <f t="shared" ref="P3:P9" si="2">INT(O3/3.75)+1</f>
        <v>3</v>
      </c>
      <c r="Q3" s="865">
        <f t="shared" ref="Q3:Q9" si="3">MOD(O3/0.25,15)</f>
        <v>10</v>
      </c>
      <c r="R3" s="866">
        <f t="shared" ref="R3:R8" si="4">S4</f>
        <v>22.5</v>
      </c>
      <c r="S3" s="867">
        <f>30-$I$3</f>
        <v>26.25</v>
      </c>
      <c r="T3" s="855">
        <f t="shared" ref="T3:T9" si="5">MOD(L3,3.75)</f>
        <v>3.5</v>
      </c>
      <c r="U3" s="855">
        <f t="shared" ref="U3:U9" si="6">MOD(O3,3.75)</f>
        <v>2.5</v>
      </c>
    </row>
    <row r="4" spans="1:28">
      <c r="A4" s="1359" t="s">
        <v>4156</v>
      </c>
      <c r="B4" s="1359"/>
      <c r="C4" s="1359"/>
      <c r="D4" s="855">
        <f>IF(DayBirth,D3/D1*8,(D3-D1)/D2*8)</f>
        <v>1.9961454226833177</v>
      </c>
      <c r="G4" s="11" t="s">
        <v>4157</v>
      </c>
      <c r="H4" s="11"/>
      <c r="I4" s="855">
        <f>I3/15</f>
        <v>0.25</v>
      </c>
      <c r="J4" s="30"/>
      <c r="K4" s="857" t="s">
        <v>3957</v>
      </c>
      <c r="L4" s="863">
        <v>22</v>
      </c>
      <c r="M4" s="864">
        <f t="shared" si="0"/>
        <v>6</v>
      </c>
      <c r="N4" s="865">
        <f t="shared" si="1"/>
        <v>13</v>
      </c>
      <c r="O4" s="863">
        <v>6</v>
      </c>
      <c r="P4" s="864">
        <f t="shared" si="2"/>
        <v>2</v>
      </c>
      <c r="Q4" s="865">
        <f t="shared" si="3"/>
        <v>9</v>
      </c>
      <c r="R4" s="866">
        <f t="shared" si="4"/>
        <v>18.75</v>
      </c>
      <c r="S4" s="867">
        <f t="shared" ref="S4:S9" si="7">S3-$I$3</f>
        <v>22.5</v>
      </c>
      <c r="T4" s="855">
        <f t="shared" si="5"/>
        <v>3.25</v>
      </c>
      <c r="U4" s="855">
        <f t="shared" si="6"/>
        <v>2.25</v>
      </c>
      <c r="AB4" s="855" t="s">
        <v>4158</v>
      </c>
    </row>
    <row r="5" spans="1:28">
      <c r="A5" s="1359" t="s">
        <v>4159</v>
      </c>
      <c r="B5" s="1359"/>
      <c r="C5" s="1359"/>
      <c r="D5" s="855">
        <f>D4*15</f>
        <v>29.942181340249768</v>
      </c>
      <c r="E5" s="1359"/>
      <c r="F5" s="1359"/>
      <c r="H5" s="855" t="s">
        <v>3149</v>
      </c>
      <c r="I5" s="855">
        <f>D1/120*24</f>
        <v>6.3416666666889796</v>
      </c>
      <c r="J5" t="s">
        <v>4160</v>
      </c>
      <c r="K5" s="857" t="s">
        <v>3958</v>
      </c>
      <c r="L5" s="863">
        <v>18</v>
      </c>
      <c r="M5" s="864">
        <f t="shared" si="0"/>
        <v>5</v>
      </c>
      <c r="N5" s="865">
        <f t="shared" si="1"/>
        <v>12</v>
      </c>
      <c r="O5" s="863">
        <v>2</v>
      </c>
      <c r="P5" s="864">
        <f t="shared" si="2"/>
        <v>1</v>
      </c>
      <c r="Q5" s="865">
        <f t="shared" si="3"/>
        <v>8</v>
      </c>
      <c r="R5" s="866">
        <f t="shared" si="4"/>
        <v>15</v>
      </c>
      <c r="S5" s="867">
        <f t="shared" si="7"/>
        <v>18.75</v>
      </c>
      <c r="T5" s="855">
        <f t="shared" si="5"/>
        <v>3</v>
      </c>
      <c r="U5" s="855">
        <f t="shared" si="6"/>
        <v>2</v>
      </c>
    </row>
    <row r="6" spans="1:28">
      <c r="A6" s="11" t="s">
        <v>3149</v>
      </c>
      <c r="B6" s="11"/>
      <c r="C6" s="11"/>
      <c r="D6" s="868">
        <f>PanchangaVaara</f>
        <v>7.1318634259259852</v>
      </c>
      <c r="F6" s="59"/>
      <c r="H6" s="855" t="s">
        <v>4161</v>
      </c>
      <c r="I6" s="855">
        <f>D2/120*24</f>
        <v>5.6583333333110204</v>
      </c>
      <c r="J6" t="s">
        <v>4160</v>
      </c>
      <c r="K6" s="857" t="s">
        <v>3959</v>
      </c>
      <c r="L6" s="863">
        <v>14</v>
      </c>
      <c r="M6" s="864">
        <f t="shared" si="0"/>
        <v>4</v>
      </c>
      <c r="N6" s="865">
        <f t="shared" si="1"/>
        <v>11</v>
      </c>
      <c r="O6" s="863">
        <v>26</v>
      </c>
      <c r="P6" s="864">
        <f t="shared" si="2"/>
        <v>7</v>
      </c>
      <c r="Q6" s="865">
        <f t="shared" si="3"/>
        <v>14</v>
      </c>
      <c r="R6" s="866">
        <f t="shared" si="4"/>
        <v>11.25</v>
      </c>
      <c r="S6" s="867">
        <f t="shared" si="7"/>
        <v>15</v>
      </c>
      <c r="T6" s="855">
        <f t="shared" si="5"/>
        <v>2.75</v>
      </c>
      <c r="U6" s="855">
        <f t="shared" si="6"/>
        <v>3.5</v>
      </c>
      <c r="AB6" s="855" t="s">
        <v>4162</v>
      </c>
    </row>
    <row r="7" spans="1:28">
      <c r="A7" s="11" t="s">
        <v>4163</v>
      </c>
      <c r="B7" s="11"/>
      <c r="C7" s="11"/>
      <c r="D7">
        <f>DayBirth</f>
        <v>1</v>
      </c>
      <c r="K7" s="857" t="s">
        <v>4164</v>
      </c>
      <c r="L7" s="863">
        <v>10</v>
      </c>
      <c r="M7" s="864">
        <f t="shared" si="0"/>
        <v>3</v>
      </c>
      <c r="N7" s="865">
        <f t="shared" si="1"/>
        <v>10</v>
      </c>
      <c r="O7" s="863">
        <v>22</v>
      </c>
      <c r="P7" s="864">
        <f t="shared" si="2"/>
        <v>6</v>
      </c>
      <c r="Q7" s="865">
        <f t="shared" si="3"/>
        <v>13</v>
      </c>
      <c r="R7" s="866">
        <f t="shared" si="4"/>
        <v>7.5</v>
      </c>
      <c r="S7" s="867">
        <f t="shared" si="7"/>
        <v>11.25</v>
      </c>
      <c r="T7" s="855">
        <f t="shared" si="5"/>
        <v>2.5</v>
      </c>
      <c r="U7" s="855">
        <f t="shared" si="6"/>
        <v>3.25</v>
      </c>
    </row>
    <row r="8" spans="1:28">
      <c r="K8" s="857" t="s">
        <v>3961</v>
      </c>
      <c r="L8" s="863">
        <v>6</v>
      </c>
      <c r="M8" s="864">
        <f t="shared" si="0"/>
        <v>2</v>
      </c>
      <c r="N8" s="865">
        <f t="shared" si="1"/>
        <v>9</v>
      </c>
      <c r="O8" s="863">
        <v>18</v>
      </c>
      <c r="P8" s="864">
        <f t="shared" si="2"/>
        <v>5</v>
      </c>
      <c r="Q8" s="865">
        <f t="shared" si="3"/>
        <v>12</v>
      </c>
      <c r="R8" s="866">
        <f t="shared" si="4"/>
        <v>3.75</v>
      </c>
      <c r="S8" s="867">
        <f t="shared" si="7"/>
        <v>7.5</v>
      </c>
      <c r="T8" s="855">
        <f t="shared" si="5"/>
        <v>2.25</v>
      </c>
      <c r="U8" s="855">
        <f t="shared" si="6"/>
        <v>3</v>
      </c>
      <c r="AB8" s="855" t="s">
        <v>4165</v>
      </c>
    </row>
    <row r="9" spans="1:28">
      <c r="K9" s="857" t="s">
        <v>462</v>
      </c>
      <c r="L9" s="869">
        <v>2</v>
      </c>
      <c r="M9" s="870">
        <f t="shared" si="0"/>
        <v>1</v>
      </c>
      <c r="N9" s="871">
        <f t="shared" si="1"/>
        <v>8</v>
      </c>
      <c r="O9" s="869">
        <v>14</v>
      </c>
      <c r="P9" s="870">
        <f t="shared" si="2"/>
        <v>4</v>
      </c>
      <c r="Q9" s="871">
        <f t="shared" si="3"/>
        <v>11</v>
      </c>
      <c r="R9" s="872">
        <v>0</v>
      </c>
      <c r="S9" s="873">
        <f t="shared" si="7"/>
        <v>3.75</v>
      </c>
      <c r="T9" s="855">
        <f t="shared" si="5"/>
        <v>2</v>
      </c>
      <c r="U9" s="855">
        <f t="shared" si="6"/>
        <v>2.75</v>
      </c>
    </row>
    <row r="10" spans="1:28">
      <c r="B10" s="1361" t="s">
        <v>3149</v>
      </c>
      <c r="C10" s="1361"/>
      <c r="D10" s="1361"/>
      <c r="E10" s="1361"/>
      <c r="F10" s="1361"/>
      <c r="G10" s="1361"/>
      <c r="H10" s="1361"/>
      <c r="I10" s="1361"/>
      <c r="J10" s="1361"/>
      <c r="K10" s="1361"/>
      <c r="L10" s="1361"/>
      <c r="M10" s="1361"/>
      <c r="AB10" s="855" t="s">
        <v>4166</v>
      </c>
    </row>
    <row r="11" spans="1:28">
      <c r="B11" s="1362" t="str">
        <f>"Yama:"&amp;CHOOSE(MOD(B12/240*8/6+$I$1+7,8)+1,"Sun","Mars","Jupiter","Mercury","Venus","Saturn","Moon","Rahu")</f>
        <v>Yama:Saturn</v>
      </c>
      <c r="C11" s="1362"/>
      <c r="D11" s="1362"/>
      <c r="E11" s="1362" t="str">
        <f>"Yama:"&amp;CHOOSE(MOD(E12/240*8/6+$I$1+7,8)+1,"Sun","Mars","Jupiter","Mercury","Venus","Saturn","Moon","Rahu")</f>
        <v>Yama:Moon</v>
      </c>
      <c r="F11" s="1362"/>
      <c r="G11" s="1362"/>
      <c r="H11" s="1362" t="str">
        <f>"Yama:"&amp;CHOOSE(MOD(H12/240*8/6+$I$1+7,8)+1,"Sun","Mars","Jupiter","Mercury","Venus","Saturn","Moon","Rahu")</f>
        <v>Yama:Rahu</v>
      </c>
      <c r="I11" s="1362"/>
      <c r="J11" s="1362"/>
      <c r="K11" s="1362" t="str">
        <f>"Yama:"&amp;CHOOSE(MOD(K12/240*8/6+$I$1+7,8)+1,"Sun","Mars","Jupiter","Mercury","Venus","Saturn","Moon","Rahu")</f>
        <v>Yama:Sun</v>
      </c>
      <c r="L11" s="1362"/>
      <c r="M11" s="1362"/>
      <c r="T11" s="855">
        <f>0.25*60</f>
        <v>15</v>
      </c>
    </row>
    <row r="12" spans="1:28">
      <c r="B12" s="874">
        <v>0</v>
      </c>
      <c r="C12" s="1363" t="str">
        <f>"Kala: "&amp;CHOOSE(MOD(B12/120*8/6+$I$1+7,8)+1,"Sun","Mars","Jupiter","Mercury","Venus","Saturn","Moon","Rahu")&amp; " Upgraha: " &amp; CHOOSE(MOD(B12/6/120*8+PanchangaVaara+7,8)+1,"Kaala","-","Mrityu","Ardhaprahara","YamaGhanta","--","Gulika","--")</f>
        <v>Kala: Saturn Upgraha: Gulika</v>
      </c>
      <c r="D12" s="875" t="e">
        <f>#N/A</f>
        <v>#N/A</v>
      </c>
      <c r="E12" s="875">
        <f>B41+6</f>
        <v>180</v>
      </c>
      <c r="F12" s="1363" t="str">
        <f>"Kala: "&amp;CHOOSE(MOD(E12/120*8/6+$I$1+7,8)+1,"Sun","Mars","Jupiter","Mercury","Venus","Saturn","Moon","Rahu")&amp; " Upgraha: " &amp; CHOOSE(MOD(E12/6/120*8+PanchangaVaara+7,8)+1,"Kaala","-","Mrityu","Ardhaprahara","YamaGhanta","--","Gulika","--")</f>
        <v>Kala: Rahu Upgraha: Kaala</v>
      </c>
      <c r="G12" s="875" t="e">
        <f>#N/A</f>
        <v>#N/A</v>
      </c>
      <c r="H12" s="875">
        <f>E41+6</f>
        <v>360</v>
      </c>
      <c r="I12" s="1363" t="str">
        <f>"Kala: "&amp;CHOOSE(MOD(H12/120*8/6+$I$1+7,8)+1,"Sun","Mars","Jupiter","Mercury","Venus","Saturn","Moon","Rahu")&amp; " Upgraha: " &amp; CHOOSE(MOD(H12/6/120*8+PanchangaVaara+7,8)+1,"Kaala","-","Mrityu","Ardhaprahara","YamaGhanta","--","Gulika","--")</f>
        <v>Kala: Mars Upgraha: Mrityu</v>
      </c>
      <c r="J12" s="875" t="e">
        <f>#N/A</f>
        <v>#N/A</v>
      </c>
      <c r="K12" s="875">
        <f>H41+6</f>
        <v>540</v>
      </c>
      <c r="L12" s="1363" t="str">
        <f>"Kala: "&amp;CHOOSE(MOD(K12/120*8/6+$I$1+7,8)+1,"Sun","Mars","Jupiter","Mercury","Venus","Saturn","Moon","Rahu")&amp; " Upgraha: " &amp; CHOOSE(MOD(K12/6/120*8+PanchangaVaara+7,8)+1,"Kaala","-","Mrityu","Ardhaprahara","YamaGhanta","--","Gulika","--")</f>
        <v>Kala: Mercury Upgraha: YamaGhanta</v>
      </c>
      <c r="M12" s="876" t="e">
        <f>#N/A</f>
        <v>#N/A</v>
      </c>
      <c r="Z12" s="877">
        <v>1</v>
      </c>
      <c r="AB12" s="855" t="s">
        <v>4167</v>
      </c>
    </row>
    <row r="13" spans="1:28">
      <c r="B13" s="874">
        <f t="shared" ref="B13:B41" si="8">B12+6</f>
        <v>6</v>
      </c>
      <c r="C13" s="1363"/>
      <c r="D13" s="875" t="e">
        <f>#N/A</f>
        <v>#N/A</v>
      </c>
      <c r="E13" s="878">
        <f t="shared" ref="E13:E41" si="9">E12+6</f>
        <v>186</v>
      </c>
      <c r="F13" s="1363"/>
      <c r="G13" s="875" t="e">
        <f>#N/A</f>
        <v>#N/A</v>
      </c>
      <c r="H13" s="878">
        <f t="shared" ref="H13:H41" si="10">H12+6</f>
        <v>366</v>
      </c>
      <c r="I13" s="1363"/>
      <c r="J13" s="875" t="e">
        <f>#N/A</f>
        <v>#N/A</v>
      </c>
      <c r="K13" s="878">
        <f t="shared" ref="K13:K41" si="11">K12+6</f>
        <v>546</v>
      </c>
      <c r="L13" s="1363"/>
      <c r="M13" s="876" t="e">
        <f>#N/A</f>
        <v>#N/A</v>
      </c>
      <c r="Z13" s="879">
        <v>2</v>
      </c>
    </row>
    <row r="14" spans="1:28">
      <c r="B14" s="874">
        <f t="shared" si="8"/>
        <v>12</v>
      </c>
      <c r="C14" s="1363"/>
      <c r="D14" s="875" t="e">
        <f>#N/A</f>
        <v>#N/A</v>
      </c>
      <c r="E14" s="878">
        <f t="shared" si="9"/>
        <v>192</v>
      </c>
      <c r="F14" s="1363"/>
      <c r="G14" s="875" t="e">
        <f>#N/A</f>
        <v>#N/A</v>
      </c>
      <c r="H14" s="878">
        <f t="shared" si="10"/>
        <v>372</v>
      </c>
      <c r="I14" s="1363"/>
      <c r="J14" s="875" t="e">
        <f>#N/A</f>
        <v>#N/A</v>
      </c>
      <c r="K14" s="878">
        <f t="shared" si="11"/>
        <v>552</v>
      </c>
      <c r="L14" s="1363"/>
      <c r="M14" s="876" t="e">
        <f>#N/A</f>
        <v>#N/A</v>
      </c>
      <c r="Z14" s="879">
        <v>3</v>
      </c>
      <c r="AB14" s="855" t="s">
        <v>4168</v>
      </c>
    </row>
    <row r="15" spans="1:28">
      <c r="B15" s="874">
        <f t="shared" si="8"/>
        <v>18</v>
      </c>
      <c r="C15" s="1363"/>
      <c r="D15" s="875" t="e">
        <f>#N/A</f>
        <v>#N/A</v>
      </c>
      <c r="E15" s="878">
        <f t="shared" si="9"/>
        <v>198</v>
      </c>
      <c r="F15" s="1363"/>
      <c r="G15" s="875" t="e">
        <f>#N/A</f>
        <v>#N/A</v>
      </c>
      <c r="H15" s="878">
        <f t="shared" si="10"/>
        <v>378</v>
      </c>
      <c r="I15" s="1363"/>
      <c r="J15" s="875" t="e">
        <f>#N/A</f>
        <v>#N/A</v>
      </c>
      <c r="K15" s="878">
        <f t="shared" si="11"/>
        <v>558</v>
      </c>
      <c r="L15" s="1363"/>
      <c r="M15" s="876" t="e">
        <f>#N/A</f>
        <v>#N/A</v>
      </c>
      <c r="Z15" s="879">
        <v>4</v>
      </c>
    </row>
    <row r="16" spans="1:28">
      <c r="B16" s="874">
        <f t="shared" si="8"/>
        <v>24</v>
      </c>
      <c r="C16" s="1363"/>
      <c r="D16" s="875" t="e">
        <f>#N/A</f>
        <v>#N/A</v>
      </c>
      <c r="E16" s="878">
        <f t="shared" si="9"/>
        <v>204</v>
      </c>
      <c r="F16" s="1363"/>
      <c r="G16" s="875" t="e">
        <f>#N/A</f>
        <v>#N/A</v>
      </c>
      <c r="H16" s="878">
        <f t="shared" si="10"/>
        <v>384</v>
      </c>
      <c r="I16" s="1363"/>
      <c r="J16" s="875" t="e">
        <f>#N/A</f>
        <v>#N/A</v>
      </c>
      <c r="K16" s="878">
        <f t="shared" si="11"/>
        <v>564</v>
      </c>
      <c r="L16" s="1363"/>
      <c r="M16" s="876" t="e">
        <f>#N/A</f>
        <v>#N/A</v>
      </c>
      <c r="Z16" s="879">
        <v>5</v>
      </c>
      <c r="AB16" s="855" t="s">
        <v>4169</v>
      </c>
    </row>
    <row r="17" spans="1:28">
      <c r="B17" s="874">
        <f t="shared" si="8"/>
        <v>30</v>
      </c>
      <c r="C17" s="1363"/>
      <c r="D17" s="875" t="e">
        <f>#N/A</f>
        <v>#N/A</v>
      </c>
      <c r="E17" s="878">
        <f t="shared" si="9"/>
        <v>210</v>
      </c>
      <c r="F17" s="1363"/>
      <c r="G17" s="875" t="e">
        <f>#N/A</f>
        <v>#N/A</v>
      </c>
      <c r="H17" s="878">
        <f t="shared" si="10"/>
        <v>390</v>
      </c>
      <c r="I17" s="1363"/>
      <c r="J17" s="875" t="e">
        <f>#N/A</f>
        <v>#N/A</v>
      </c>
      <c r="K17" s="878">
        <f t="shared" si="11"/>
        <v>570</v>
      </c>
      <c r="L17" s="1363"/>
      <c r="M17" s="876" t="e">
        <f>#N/A</f>
        <v>#N/A</v>
      </c>
      <c r="Z17" s="879">
        <v>6</v>
      </c>
    </row>
    <row r="18" spans="1:28">
      <c r="B18" s="874">
        <f t="shared" si="8"/>
        <v>36</v>
      </c>
      <c r="C18" s="1363"/>
      <c r="D18" s="875" t="e">
        <f>#N/A</f>
        <v>#N/A</v>
      </c>
      <c r="E18" s="878">
        <f t="shared" si="9"/>
        <v>216</v>
      </c>
      <c r="F18" s="1363"/>
      <c r="G18" s="875" t="e">
        <f>#N/A</f>
        <v>#N/A</v>
      </c>
      <c r="H18" s="878">
        <f t="shared" si="10"/>
        <v>396</v>
      </c>
      <c r="I18" s="1363"/>
      <c r="J18" s="875" t="e">
        <f>#N/A</f>
        <v>#N/A</v>
      </c>
      <c r="K18" s="878">
        <f t="shared" si="11"/>
        <v>576</v>
      </c>
      <c r="L18" s="1363"/>
      <c r="M18" s="876" t="e">
        <f>#N/A</f>
        <v>#N/A</v>
      </c>
      <c r="Z18" s="879">
        <v>7</v>
      </c>
      <c r="AB18" s="855" t="s">
        <v>4170</v>
      </c>
    </row>
    <row r="19" spans="1:28">
      <c r="A19" s="880">
        <f>A35+1</f>
        <v>14</v>
      </c>
      <c r="B19" s="874">
        <f t="shared" si="8"/>
        <v>42</v>
      </c>
      <c r="C19" s="1363"/>
      <c r="D19" s="875" t="e">
        <f>#N/A</f>
        <v>#N/A</v>
      </c>
      <c r="E19" s="878">
        <f t="shared" si="9"/>
        <v>222</v>
      </c>
      <c r="F19" s="1363"/>
      <c r="G19" s="875" t="e">
        <f>#N/A</f>
        <v>#N/A</v>
      </c>
      <c r="H19" s="878">
        <f t="shared" si="10"/>
        <v>402</v>
      </c>
      <c r="I19" s="1363"/>
      <c r="J19" s="875" t="e">
        <f>#N/A</f>
        <v>#N/A</v>
      </c>
      <c r="K19" s="878">
        <f t="shared" si="11"/>
        <v>582</v>
      </c>
      <c r="L19" s="1363"/>
      <c r="M19" s="876" t="e">
        <f>#N/A</f>
        <v>#N/A</v>
      </c>
      <c r="Z19" s="879">
        <v>8</v>
      </c>
    </row>
    <row r="20" spans="1:28">
      <c r="B20" s="874">
        <f t="shared" si="8"/>
        <v>48</v>
      </c>
      <c r="C20" s="1363"/>
      <c r="D20" s="875" t="e">
        <f>#N/A</f>
        <v>#N/A</v>
      </c>
      <c r="E20" s="878">
        <f t="shared" si="9"/>
        <v>228</v>
      </c>
      <c r="F20" s="1363"/>
      <c r="G20" s="875" t="e">
        <f>#N/A</f>
        <v>#N/A</v>
      </c>
      <c r="H20" s="878">
        <f t="shared" si="10"/>
        <v>408</v>
      </c>
      <c r="I20" s="1363"/>
      <c r="J20" s="875" t="e">
        <f>#N/A</f>
        <v>#N/A</v>
      </c>
      <c r="K20" s="878">
        <f t="shared" si="11"/>
        <v>588</v>
      </c>
      <c r="L20" s="1363"/>
      <c r="M20" s="876" t="e">
        <f>#N/A</f>
        <v>#N/A</v>
      </c>
      <c r="Z20" s="879">
        <v>9</v>
      </c>
      <c r="AB20" s="855" t="s">
        <v>4171</v>
      </c>
    </row>
    <row r="21" spans="1:28">
      <c r="A21" s="880">
        <f>A37+1</f>
        <v>12</v>
      </c>
      <c r="B21" s="874">
        <f t="shared" si="8"/>
        <v>54</v>
      </c>
      <c r="C21" s="1363"/>
      <c r="D21" s="875" t="e">
        <f>#N/A</f>
        <v>#N/A</v>
      </c>
      <c r="E21" s="878">
        <f t="shared" si="9"/>
        <v>234</v>
      </c>
      <c r="F21" s="1363"/>
      <c r="G21" s="875" t="e">
        <f>#N/A</f>
        <v>#N/A</v>
      </c>
      <c r="H21" s="878">
        <f t="shared" si="10"/>
        <v>414</v>
      </c>
      <c r="I21" s="1363"/>
      <c r="J21" s="875" t="e">
        <f>#N/A</f>
        <v>#N/A</v>
      </c>
      <c r="K21" s="878">
        <f t="shared" si="11"/>
        <v>594</v>
      </c>
      <c r="L21" s="1363"/>
      <c r="M21" s="876" t="e">
        <f>#N/A</f>
        <v>#N/A</v>
      </c>
      <c r="Z21" s="879">
        <v>10</v>
      </c>
    </row>
    <row r="22" spans="1:28">
      <c r="B22" s="874">
        <f t="shared" si="8"/>
        <v>60</v>
      </c>
      <c r="C22" s="1363"/>
      <c r="D22" s="875" t="e">
        <f>#N/A</f>
        <v>#N/A</v>
      </c>
      <c r="E22" s="878">
        <f t="shared" si="9"/>
        <v>240</v>
      </c>
      <c r="F22" s="1363"/>
      <c r="G22" s="875" t="e">
        <f>#N/A</f>
        <v>#N/A</v>
      </c>
      <c r="H22" s="878">
        <f t="shared" si="10"/>
        <v>420</v>
      </c>
      <c r="I22" s="1363"/>
      <c r="J22" s="875" t="e">
        <f>#N/A</f>
        <v>#N/A</v>
      </c>
      <c r="K22" s="878">
        <f t="shared" si="11"/>
        <v>600</v>
      </c>
      <c r="L22" s="1363"/>
      <c r="M22" s="876" t="e">
        <f>#N/A</f>
        <v>#N/A</v>
      </c>
      <c r="Z22" s="879">
        <v>11</v>
      </c>
      <c r="AB22" s="855" t="s">
        <v>4172</v>
      </c>
    </row>
    <row r="23" spans="1:28">
      <c r="A23" s="880">
        <f>A39+1</f>
        <v>10</v>
      </c>
      <c r="B23" s="874">
        <f t="shared" si="8"/>
        <v>66</v>
      </c>
      <c r="C23" s="1363"/>
      <c r="D23" s="875" t="e">
        <f>#N/A</f>
        <v>#N/A</v>
      </c>
      <c r="E23" s="878">
        <f t="shared" si="9"/>
        <v>246</v>
      </c>
      <c r="F23" s="1363"/>
      <c r="G23" s="875" t="e">
        <f>#N/A</f>
        <v>#N/A</v>
      </c>
      <c r="H23" s="878">
        <f t="shared" si="10"/>
        <v>426</v>
      </c>
      <c r="I23" s="1363"/>
      <c r="J23" s="875" t="e">
        <f>#N/A</f>
        <v>#N/A</v>
      </c>
      <c r="K23" s="878">
        <f t="shared" si="11"/>
        <v>606</v>
      </c>
      <c r="L23" s="1363"/>
      <c r="M23" s="876" t="e">
        <f>#N/A</f>
        <v>#N/A</v>
      </c>
      <c r="Z23" s="879">
        <v>12</v>
      </c>
    </row>
    <row r="24" spans="1:28">
      <c r="B24" s="874">
        <f t="shared" si="8"/>
        <v>72</v>
      </c>
      <c r="C24" s="1363"/>
      <c r="D24" s="875" t="e">
        <f>#N/A</f>
        <v>#N/A</v>
      </c>
      <c r="E24" s="878">
        <f t="shared" si="9"/>
        <v>252</v>
      </c>
      <c r="F24" s="1363"/>
      <c r="G24" s="875" t="e">
        <f>#N/A</f>
        <v>#N/A</v>
      </c>
      <c r="H24" s="878">
        <f t="shared" si="10"/>
        <v>432</v>
      </c>
      <c r="I24" s="1363"/>
      <c r="J24" s="875" t="e">
        <f>#N/A</f>
        <v>#N/A</v>
      </c>
      <c r="K24" s="878">
        <f t="shared" si="11"/>
        <v>612</v>
      </c>
      <c r="L24" s="1363"/>
      <c r="M24" s="876" t="e">
        <f>#N/A</f>
        <v>#N/A</v>
      </c>
      <c r="Z24" s="879">
        <v>13</v>
      </c>
      <c r="AB24" s="855" t="s">
        <v>4162</v>
      </c>
    </row>
    <row r="25" spans="1:28">
      <c r="A25" s="880">
        <v>8</v>
      </c>
      <c r="B25" s="874">
        <f t="shared" si="8"/>
        <v>78</v>
      </c>
      <c r="C25" s="1363"/>
      <c r="D25" s="875" t="e">
        <f>#N/A</f>
        <v>#N/A</v>
      </c>
      <c r="E25" s="878">
        <f t="shared" si="9"/>
        <v>258</v>
      </c>
      <c r="F25" s="1363"/>
      <c r="G25" s="875" t="e">
        <f>#N/A</f>
        <v>#N/A</v>
      </c>
      <c r="H25" s="878">
        <f t="shared" si="10"/>
        <v>438</v>
      </c>
      <c r="I25" s="1363"/>
      <c r="J25" s="875" t="e">
        <f>#N/A</f>
        <v>#N/A</v>
      </c>
      <c r="K25" s="878">
        <f t="shared" si="11"/>
        <v>618</v>
      </c>
      <c r="L25" s="1363"/>
      <c r="M25" s="876" t="e">
        <f>#N/A</f>
        <v>#N/A</v>
      </c>
      <c r="Z25" s="879">
        <v>14</v>
      </c>
    </row>
    <row r="26" spans="1:28">
      <c r="B26" s="881">
        <f t="shared" si="8"/>
        <v>84</v>
      </c>
      <c r="C26" s="1363"/>
      <c r="D26" s="882" t="e">
        <f>#N/A</f>
        <v>#N/A</v>
      </c>
      <c r="E26" s="883">
        <f t="shared" si="9"/>
        <v>264</v>
      </c>
      <c r="F26" s="1363"/>
      <c r="G26" s="882" t="e">
        <f>#N/A</f>
        <v>#N/A</v>
      </c>
      <c r="H26" s="883">
        <f t="shared" si="10"/>
        <v>444</v>
      </c>
      <c r="I26" s="1363"/>
      <c r="J26" s="882" t="e">
        <f>#N/A</f>
        <v>#N/A</v>
      </c>
      <c r="K26" s="883">
        <f t="shared" si="11"/>
        <v>624</v>
      </c>
      <c r="L26" s="1363"/>
      <c r="M26" s="884" t="e">
        <f>#N/A</f>
        <v>#N/A</v>
      </c>
      <c r="Z26" s="885">
        <v>15</v>
      </c>
    </row>
    <row r="27" spans="1:28">
      <c r="B27" s="886">
        <f t="shared" si="8"/>
        <v>90</v>
      </c>
      <c r="C27" s="1363" t="str">
        <f>"Kala: "&amp;CHOOSE(MOD(B27/120*8/6+$I$1+7,8)+1,"Sun","Mars","Jupiter","Mercury","Venus","Saturn","Moon","Rahu")&amp; " Upgraha: " &amp; CHOOSE(MOD(B27/6/120*8+PanchangaVaara+7,8)+1,"Kaala","-","Mrityu","Ardhaprahara","YamaGhanta","--","Gulika","--")</f>
        <v>Kala: Moon Upgraha: --</v>
      </c>
      <c r="D27" s="887" t="e">
        <f>#N/A</f>
        <v>#N/A</v>
      </c>
      <c r="E27" s="888">
        <f t="shared" si="9"/>
        <v>270</v>
      </c>
      <c r="F27" s="1363" t="str">
        <f>"Kala: "&amp;CHOOSE(MOD(E27/120*8/6+$I$1+7,8)+1,"Sun","Mars","Jupiter","Mercury","Venus","Saturn","Moon","Rahu")&amp; " Upgraha: " &amp; CHOOSE(MOD(E27/6/120*8+PanchangaVaara+7,8)+1,"Kaala","-","Mrityu","Ardhaprahara","YamaGhanta","--","Gulika","--")</f>
        <v>Kala: Sun Upgraha: -</v>
      </c>
      <c r="G27" s="887" t="e">
        <f>#N/A</f>
        <v>#N/A</v>
      </c>
      <c r="H27" s="888">
        <f t="shared" si="10"/>
        <v>450</v>
      </c>
      <c r="I27" s="1363" t="str">
        <f>"Kala: "&amp;CHOOSE(MOD(H27/120*8/6+$I$1+7,8)+1,"Sun","Mars","Jupiter","Mercury","Venus","Saturn","Moon","Rahu")&amp; " Upgraha: " &amp; CHOOSE(MOD(H27/6/120*8+PanchangaVaara+7,8)+1,"Kaala","-","Mrityu","Ardhaprahara","YamaGhanta","--","Gulika","--")</f>
        <v>Kala: Jupiter Upgraha: Ardhaprahara</v>
      </c>
      <c r="J27" s="887" t="e">
        <f>#N/A</f>
        <v>#N/A</v>
      </c>
      <c r="K27" s="888">
        <f t="shared" si="11"/>
        <v>630</v>
      </c>
      <c r="L27" s="1363" t="str">
        <f>"Kala: "&amp;CHOOSE(MOD(K27/120*8/6+$I$1+7,8)+1,"Sun","Mars","Jupiter","Mercury","Venus","Saturn","Moon","Rahu")&amp; " Upgraha: " &amp; CHOOSE(MOD(K27/6/120*8+PanchangaVaara+7,8)+1,"Kaala","-","Mrityu","Ardhaprahara","YamaGhanta","--","Gulika","--")</f>
        <v>Kala: Venus Upgraha: --</v>
      </c>
      <c r="M27" s="889" t="e">
        <f>#N/A</f>
        <v>#N/A</v>
      </c>
      <c r="Z27" s="855">
        <v>1</v>
      </c>
    </row>
    <row r="28" spans="1:28">
      <c r="B28" s="874">
        <f t="shared" si="8"/>
        <v>96</v>
      </c>
      <c r="C28" s="1363"/>
      <c r="D28" s="875" t="e">
        <f>#N/A</f>
        <v>#N/A</v>
      </c>
      <c r="E28" s="878">
        <f t="shared" si="9"/>
        <v>276</v>
      </c>
      <c r="F28" s="1363"/>
      <c r="G28" s="875" t="e">
        <f>#N/A</f>
        <v>#N/A</v>
      </c>
      <c r="H28" s="878">
        <f t="shared" si="10"/>
        <v>456</v>
      </c>
      <c r="I28" s="1363"/>
      <c r="J28" s="875" t="e">
        <f>#N/A</f>
        <v>#N/A</v>
      </c>
      <c r="K28" s="878">
        <f t="shared" si="11"/>
        <v>636</v>
      </c>
      <c r="L28" s="1363"/>
      <c r="M28" s="876" t="e">
        <f>#N/A</f>
        <v>#N/A</v>
      </c>
      <c r="Z28" s="855">
        <v>2</v>
      </c>
    </row>
    <row r="29" spans="1:28">
      <c r="B29" s="874">
        <f t="shared" si="8"/>
        <v>102</v>
      </c>
      <c r="C29" s="1363"/>
      <c r="D29" s="875" t="e">
        <f>#N/A</f>
        <v>#N/A</v>
      </c>
      <c r="E29" s="878">
        <f t="shared" si="9"/>
        <v>282</v>
      </c>
      <c r="F29" s="1363"/>
      <c r="G29" s="875" t="e">
        <f>#N/A</f>
        <v>#N/A</v>
      </c>
      <c r="H29" s="878">
        <f t="shared" si="10"/>
        <v>462</v>
      </c>
      <c r="I29" s="1363"/>
      <c r="J29" s="875" t="e">
        <f>#N/A</f>
        <v>#N/A</v>
      </c>
      <c r="K29" s="878">
        <f t="shared" si="11"/>
        <v>642</v>
      </c>
      <c r="L29" s="1363"/>
      <c r="M29" s="876" t="e">
        <f>#N/A</f>
        <v>#N/A</v>
      </c>
      <c r="Z29" s="855">
        <v>3</v>
      </c>
    </row>
    <row r="30" spans="1:28">
      <c r="B30" s="874">
        <f t="shared" si="8"/>
        <v>108</v>
      </c>
      <c r="C30" s="1363"/>
      <c r="D30" s="875" t="e">
        <f>#N/A</f>
        <v>#N/A</v>
      </c>
      <c r="E30" s="878">
        <f t="shared" si="9"/>
        <v>288</v>
      </c>
      <c r="F30" s="1363"/>
      <c r="G30" s="875" t="e">
        <f>#N/A</f>
        <v>#N/A</v>
      </c>
      <c r="H30" s="878">
        <f t="shared" si="10"/>
        <v>468</v>
      </c>
      <c r="I30" s="1363"/>
      <c r="J30" s="875" t="e">
        <f>#N/A</f>
        <v>#N/A</v>
      </c>
      <c r="K30" s="878">
        <f t="shared" si="11"/>
        <v>648</v>
      </c>
      <c r="L30" s="1363"/>
      <c r="M30" s="876" t="e">
        <f>#N/A</f>
        <v>#N/A</v>
      </c>
      <c r="Z30" s="855">
        <v>4</v>
      </c>
    </row>
    <row r="31" spans="1:28">
      <c r="B31" s="874">
        <f t="shared" si="8"/>
        <v>114</v>
      </c>
      <c r="C31" s="1363"/>
      <c r="D31" s="875" t="e">
        <f>#N/A</f>
        <v>#N/A</v>
      </c>
      <c r="E31" s="878">
        <f t="shared" si="9"/>
        <v>294</v>
      </c>
      <c r="F31" s="1363"/>
      <c r="G31" s="875" t="e">
        <f>#N/A</f>
        <v>#N/A</v>
      </c>
      <c r="H31" s="878">
        <f t="shared" si="10"/>
        <v>474</v>
      </c>
      <c r="I31" s="1363"/>
      <c r="J31" s="875" t="e">
        <f>#N/A</f>
        <v>#N/A</v>
      </c>
      <c r="K31" s="878">
        <f t="shared" si="11"/>
        <v>654</v>
      </c>
      <c r="L31" s="1363"/>
      <c r="M31" s="876" t="e">
        <f>#N/A</f>
        <v>#N/A</v>
      </c>
      <c r="Z31" s="855">
        <v>5</v>
      </c>
    </row>
    <row r="32" spans="1:28">
      <c r="B32" s="874">
        <f t="shared" si="8"/>
        <v>120</v>
      </c>
      <c r="C32" s="1363"/>
      <c r="D32" s="875" t="e">
        <f>#N/A</f>
        <v>#N/A</v>
      </c>
      <c r="E32" s="878">
        <f t="shared" si="9"/>
        <v>300</v>
      </c>
      <c r="F32" s="1363"/>
      <c r="G32" s="875" t="e">
        <f>#N/A</f>
        <v>#N/A</v>
      </c>
      <c r="H32" s="878">
        <f t="shared" si="10"/>
        <v>480</v>
      </c>
      <c r="I32" s="1363"/>
      <c r="J32" s="875" t="e">
        <f>#N/A</f>
        <v>#N/A</v>
      </c>
      <c r="K32" s="878">
        <f t="shared" si="11"/>
        <v>660</v>
      </c>
      <c r="L32" s="1363"/>
      <c r="M32" s="876" t="e">
        <f>#N/A</f>
        <v>#N/A</v>
      </c>
      <c r="Z32" s="855">
        <v>6</v>
      </c>
    </row>
    <row r="33" spans="1:30">
      <c r="B33" s="874">
        <f t="shared" si="8"/>
        <v>126</v>
      </c>
      <c r="C33" s="1363"/>
      <c r="D33" s="875" t="e">
        <f>#N/A</f>
        <v>#N/A</v>
      </c>
      <c r="E33" s="878">
        <f t="shared" si="9"/>
        <v>306</v>
      </c>
      <c r="F33" s="1363"/>
      <c r="G33" s="875" t="e">
        <f>#N/A</f>
        <v>#N/A</v>
      </c>
      <c r="H33" s="878">
        <f t="shared" si="10"/>
        <v>486</v>
      </c>
      <c r="I33" s="1363"/>
      <c r="J33" s="875" t="e">
        <f>#N/A</f>
        <v>#N/A</v>
      </c>
      <c r="K33" s="878">
        <f t="shared" si="11"/>
        <v>666</v>
      </c>
      <c r="L33" s="1363"/>
      <c r="M33" s="876" t="e">
        <f>#N/A</f>
        <v>#N/A</v>
      </c>
      <c r="Z33" s="855">
        <v>7</v>
      </c>
    </row>
    <row r="34" spans="1:30">
      <c r="A34" s="880"/>
      <c r="B34" s="874">
        <f t="shared" si="8"/>
        <v>132</v>
      </c>
      <c r="C34" s="1363"/>
      <c r="D34" s="875" t="e">
        <f>#N/A</f>
        <v>#N/A</v>
      </c>
      <c r="E34" s="878">
        <f t="shared" si="9"/>
        <v>312</v>
      </c>
      <c r="F34" s="1363"/>
      <c r="G34" s="875" t="e">
        <f>#N/A</f>
        <v>#N/A</v>
      </c>
      <c r="H34" s="878">
        <f t="shared" si="10"/>
        <v>492</v>
      </c>
      <c r="I34" s="1363"/>
      <c r="J34" s="875" t="e">
        <f>#N/A</f>
        <v>#N/A</v>
      </c>
      <c r="K34" s="878">
        <f t="shared" si="11"/>
        <v>672</v>
      </c>
      <c r="L34" s="1363"/>
      <c r="M34" s="876" t="e">
        <f>#N/A</f>
        <v>#N/A</v>
      </c>
      <c r="Z34" s="855">
        <v>8</v>
      </c>
    </row>
    <row r="35" spans="1:30">
      <c r="A35" s="880">
        <f>A21+1</f>
        <v>13</v>
      </c>
      <c r="B35" s="874">
        <f t="shared" si="8"/>
        <v>138</v>
      </c>
      <c r="C35" s="1363"/>
      <c r="D35" s="875" t="e">
        <f>#N/A</f>
        <v>#N/A</v>
      </c>
      <c r="E35" s="878">
        <f t="shared" si="9"/>
        <v>318</v>
      </c>
      <c r="F35" s="1363"/>
      <c r="G35" s="875" t="e">
        <f>#N/A</f>
        <v>#N/A</v>
      </c>
      <c r="H35" s="878">
        <f t="shared" si="10"/>
        <v>498</v>
      </c>
      <c r="I35" s="1363"/>
      <c r="J35" s="875" t="e">
        <f>#N/A</f>
        <v>#N/A</v>
      </c>
      <c r="K35" s="878">
        <f t="shared" si="11"/>
        <v>678</v>
      </c>
      <c r="L35" s="1363"/>
      <c r="M35" s="876" t="e">
        <f>#N/A</f>
        <v>#N/A</v>
      </c>
      <c r="Z35" s="855">
        <v>9</v>
      </c>
    </row>
    <row r="36" spans="1:30">
      <c r="A36" s="880"/>
      <c r="B36" s="874">
        <f t="shared" si="8"/>
        <v>144</v>
      </c>
      <c r="C36" s="1363"/>
      <c r="D36" s="875" t="e">
        <f>#N/A</f>
        <v>#N/A</v>
      </c>
      <c r="E36" s="878">
        <f t="shared" si="9"/>
        <v>324</v>
      </c>
      <c r="F36" s="1363"/>
      <c r="G36" s="875" t="e">
        <f>#N/A</f>
        <v>#N/A</v>
      </c>
      <c r="H36" s="878">
        <f t="shared" si="10"/>
        <v>504</v>
      </c>
      <c r="I36" s="1363"/>
      <c r="J36" s="875" t="e">
        <f>#N/A</f>
        <v>#N/A</v>
      </c>
      <c r="K36" s="878">
        <f t="shared" si="11"/>
        <v>684</v>
      </c>
      <c r="L36" s="1363"/>
      <c r="M36" s="876" t="e">
        <f>#N/A</f>
        <v>#N/A</v>
      </c>
      <c r="Z36" s="855">
        <v>10</v>
      </c>
    </row>
    <row r="37" spans="1:30">
      <c r="A37" s="880">
        <f>A23+1</f>
        <v>11</v>
      </c>
      <c r="B37" s="874">
        <f t="shared" si="8"/>
        <v>150</v>
      </c>
      <c r="C37" s="1363"/>
      <c r="D37" s="875" t="e">
        <f>#N/A</f>
        <v>#N/A</v>
      </c>
      <c r="E37" s="878">
        <f t="shared" si="9"/>
        <v>330</v>
      </c>
      <c r="F37" s="1363"/>
      <c r="G37" s="875" t="e">
        <f>#N/A</f>
        <v>#N/A</v>
      </c>
      <c r="H37" s="878">
        <f t="shared" si="10"/>
        <v>510</v>
      </c>
      <c r="I37" s="1363"/>
      <c r="J37" s="875" t="e">
        <f>#N/A</f>
        <v>#N/A</v>
      </c>
      <c r="K37" s="878">
        <f t="shared" si="11"/>
        <v>690</v>
      </c>
      <c r="L37" s="1363"/>
      <c r="M37" s="876" t="e">
        <f>#N/A</f>
        <v>#N/A</v>
      </c>
      <c r="Z37" s="855">
        <v>11</v>
      </c>
    </row>
    <row r="38" spans="1:30">
      <c r="A38" s="880"/>
      <c r="B38" s="874">
        <f t="shared" si="8"/>
        <v>156</v>
      </c>
      <c r="C38" s="1363"/>
      <c r="D38" s="875" t="e">
        <f>#N/A</f>
        <v>#N/A</v>
      </c>
      <c r="E38" s="878">
        <f t="shared" si="9"/>
        <v>336</v>
      </c>
      <c r="F38" s="1363"/>
      <c r="G38" s="875" t="e">
        <f>#N/A</f>
        <v>#N/A</v>
      </c>
      <c r="H38" s="878">
        <f t="shared" si="10"/>
        <v>516</v>
      </c>
      <c r="I38" s="1363"/>
      <c r="J38" s="875" t="e">
        <f>#N/A</f>
        <v>#N/A</v>
      </c>
      <c r="K38" s="878">
        <f t="shared" si="11"/>
        <v>696</v>
      </c>
      <c r="L38" s="1363"/>
      <c r="M38" s="876" t="e">
        <f>#N/A</f>
        <v>#N/A</v>
      </c>
      <c r="Z38" s="855">
        <v>12</v>
      </c>
      <c r="AD38" s="856"/>
    </row>
    <row r="39" spans="1:30">
      <c r="A39" s="880">
        <f>A25+1</f>
        <v>9</v>
      </c>
      <c r="B39" s="874">
        <f t="shared" si="8"/>
        <v>162</v>
      </c>
      <c r="C39" s="1363"/>
      <c r="D39" s="875" t="e">
        <f>#N/A</f>
        <v>#N/A</v>
      </c>
      <c r="E39" s="878">
        <f t="shared" si="9"/>
        <v>342</v>
      </c>
      <c r="F39" s="1363"/>
      <c r="G39" s="875" t="e">
        <f>#N/A</f>
        <v>#N/A</v>
      </c>
      <c r="H39" s="878">
        <f t="shared" si="10"/>
        <v>522</v>
      </c>
      <c r="I39" s="1363"/>
      <c r="J39" s="875" t="e">
        <f>#N/A</f>
        <v>#N/A</v>
      </c>
      <c r="K39" s="878">
        <f t="shared" si="11"/>
        <v>702</v>
      </c>
      <c r="L39" s="1363"/>
      <c r="M39" s="876" t="e">
        <f>#N/A</f>
        <v>#N/A</v>
      </c>
      <c r="Z39" s="855">
        <v>13</v>
      </c>
      <c r="AD39" s="856"/>
    </row>
    <row r="40" spans="1:30">
      <c r="A40" s="880"/>
      <c r="B40" s="874">
        <f t="shared" si="8"/>
        <v>168</v>
      </c>
      <c r="C40" s="1363"/>
      <c r="D40" s="875" t="e">
        <f>#N/A</f>
        <v>#N/A</v>
      </c>
      <c r="E40" s="878">
        <f t="shared" si="9"/>
        <v>348</v>
      </c>
      <c r="F40" s="1363"/>
      <c r="G40" s="875" t="e">
        <f>#N/A</f>
        <v>#N/A</v>
      </c>
      <c r="H40" s="878">
        <f t="shared" si="10"/>
        <v>528</v>
      </c>
      <c r="I40" s="1363"/>
      <c r="J40" s="875" t="e">
        <f>#N/A</f>
        <v>#N/A</v>
      </c>
      <c r="K40" s="878">
        <f t="shared" si="11"/>
        <v>708</v>
      </c>
      <c r="L40" s="1363"/>
      <c r="M40" s="876" t="e">
        <f>#N/A</f>
        <v>#N/A</v>
      </c>
      <c r="Z40" s="855">
        <v>14</v>
      </c>
      <c r="AD40" s="856"/>
    </row>
    <row r="41" spans="1:30">
      <c r="B41" s="890">
        <f t="shared" si="8"/>
        <v>174</v>
      </c>
      <c r="C41" s="1363"/>
      <c r="D41" s="891" t="e">
        <f>#N/A</f>
        <v>#N/A</v>
      </c>
      <c r="E41" s="892">
        <f t="shared" si="9"/>
        <v>354</v>
      </c>
      <c r="F41" s="1363"/>
      <c r="G41" s="891" t="e">
        <f>#N/A</f>
        <v>#N/A</v>
      </c>
      <c r="H41" s="892">
        <f t="shared" si="10"/>
        <v>534</v>
      </c>
      <c r="I41" s="1363"/>
      <c r="J41" s="891" t="e">
        <f>#N/A</f>
        <v>#N/A</v>
      </c>
      <c r="K41" s="892">
        <f t="shared" si="11"/>
        <v>714</v>
      </c>
      <c r="L41" s="1363"/>
      <c r="M41" s="893" t="e">
        <f>#N/A</f>
        <v>#N/A</v>
      </c>
      <c r="Z41" s="855">
        <v>15</v>
      </c>
      <c r="AD41" s="856"/>
    </row>
    <row r="42" spans="1:30">
      <c r="B42" s="1364" t="s">
        <v>1682</v>
      </c>
      <c r="C42" s="1364"/>
      <c r="D42" s="1364" t="s">
        <v>1538</v>
      </c>
      <c r="E42" s="1364"/>
      <c r="F42" s="1364" t="s">
        <v>1359</v>
      </c>
      <c r="G42" s="1364"/>
      <c r="H42" s="1364" t="s">
        <v>1751</v>
      </c>
      <c r="I42" s="1364"/>
      <c r="J42" s="1364"/>
      <c r="K42" s="1364"/>
      <c r="L42" s="1364"/>
      <c r="M42" s="1364"/>
      <c r="N42" s="1364"/>
      <c r="O42" s="1364"/>
      <c r="P42" s="1364"/>
      <c r="Q42" s="1364"/>
    </row>
    <row r="43" spans="1:30">
      <c r="B43" s="1364" t="s">
        <v>1613</v>
      </c>
      <c r="C43" s="1364"/>
      <c r="D43" s="1364" t="s">
        <v>1446</v>
      </c>
      <c r="E43" s="1364"/>
      <c r="F43" s="1364" t="s">
        <v>1810</v>
      </c>
      <c r="G43" s="1364"/>
      <c r="H43" s="1364" t="s">
        <v>564</v>
      </c>
      <c r="I43" s="1364"/>
      <c r="O43" s="856"/>
    </row>
    <row r="45" spans="1:30">
      <c r="B45" s="1361" t="s">
        <v>4173</v>
      </c>
      <c r="C45" s="1361"/>
      <c r="D45" s="1361"/>
      <c r="E45" s="1361"/>
      <c r="F45" s="1361"/>
      <c r="G45" s="1361"/>
      <c r="H45" s="1361"/>
      <c r="I45" s="1361"/>
      <c r="J45" s="1361"/>
      <c r="K45" s="1361"/>
      <c r="L45" s="1361"/>
      <c r="M45" s="1361"/>
    </row>
    <row r="46" spans="1:30">
      <c r="B46" s="1362" t="str">
        <f>"Yama:"&amp;CHOOSE(MOD(B47/240*8/6+$I$1+7,8)+1,"Sun","Mars","Jupiter","Mercury","Venus","Saturn","Moon","Rahu")</f>
        <v>Yama:Mars</v>
      </c>
      <c r="C46" s="1362"/>
      <c r="D46" s="1362"/>
      <c r="E46" s="1362" t="str">
        <f>"Yama:"&amp;CHOOSE(MOD(E47/240*8/6+$I$1+7,8)+1,"Sun","Mars","Jupiter","Mercury","Venus","Saturn","Moon","Rahu")</f>
        <v>Yama:Jupiter</v>
      </c>
      <c r="F46" s="1362"/>
      <c r="G46" s="1362"/>
      <c r="H46" s="1362" t="str">
        <f>"Yama:"&amp;CHOOSE(MOD(H47/240*8/6+$I$1+7,8)+1,"Sun","Mars","Jupiter","Mercury","Venus","Saturn","Moon","Rahu")</f>
        <v>Yama:Mercury</v>
      </c>
      <c r="I46" s="1362"/>
      <c r="J46" s="1362"/>
      <c r="K46" s="1362" t="str">
        <f>"Yama:"&amp;CHOOSE(MOD(K47/240*8/6+$I$1+7,8)+1,"Sun","Mars","Jupiter","Mercury","Venus","Saturn","Moon","Rahu")</f>
        <v>Yama:Venus</v>
      </c>
      <c r="L46" s="1362"/>
      <c r="M46" s="1362"/>
    </row>
    <row r="47" spans="1:30">
      <c r="B47" s="894">
        <f>K41+6</f>
        <v>720</v>
      </c>
      <c r="C47" s="1363" t="str">
        <f>"Kala: "&amp;CHOOSE(MOD(B47/120*8/6+$I$1+7+4,8)+1,"Sun","Mars","Jupiter","Mercury","Venus","Saturn","Moon","Rahu")&amp; " Upgraha: " &amp; CHOOSE(MOD(B47/6/120*8+PanchangaVaara+7+4,8)+1,"Kaala","-","Mrityu","Ardhaprahara","YamaGhanta","--","Gulika","--")</f>
        <v>Kala: Mars Upgraha: Mrityu</v>
      </c>
      <c r="D47" s="875" t="e">
        <f>#N/A</f>
        <v>#N/A</v>
      </c>
      <c r="E47" s="875">
        <f>B76+6</f>
        <v>900</v>
      </c>
      <c r="F47" s="1363" t="str">
        <f>"Kala: "&amp;CHOOSE(MOD(E47/120*8/6+$I$1+7+4,8)+1,"Sun","Mars","Jupiter","Mercury","Venus","Saturn","Moon","Rahu")&amp; " Upgraha: " &amp; CHOOSE(MOD(E47/6/120*8+PanchangaVaara+7+4,8)+1,"Kaala","-","Mrityu","Ardhaprahara","YamaGhanta","--","Gulika","--")</f>
        <v>Kala: Mercury Upgraha: YamaGhanta</v>
      </c>
      <c r="G47" s="875" t="e">
        <f>#N/A</f>
        <v>#N/A</v>
      </c>
      <c r="H47" s="875">
        <f>E76+6</f>
        <v>1080</v>
      </c>
      <c r="I47" s="1363" t="str">
        <f>"Kala: "&amp;CHOOSE(MOD(H47/120*8/6+$I$1+7+4,8)+1,"Sun","Mars","Jupiter","Mercury","Venus","Saturn","Moon","Rahu")&amp; " Upgraha: " &amp; CHOOSE(MOD(H47/6/120*8+PanchangaVaara+7+4,8)+1,"Kaala","-","Mrityu","Ardhaprahara","YamaGhanta","--","Gulika","--")</f>
        <v>Kala: Saturn Upgraha: Gulika</v>
      </c>
      <c r="J47" s="875" t="e">
        <f>#N/A</f>
        <v>#N/A</v>
      </c>
      <c r="K47" s="875">
        <f>H76+6</f>
        <v>1260</v>
      </c>
      <c r="L47" s="1363" t="str">
        <f>"Kala: "&amp;CHOOSE(MOD(K47/120*8/6+$I$1+7+4,8)+1,"Sun","Mars","Jupiter","Mercury","Venus","Saturn","Moon","Rahu")&amp; " Upgraha: " &amp; CHOOSE(MOD(K47/6/120*8+PanchangaVaara+7+4,8)+1,"Kaala","-","Mrityu","Ardhaprahara","YamaGhanta","--","Gulika","--")</f>
        <v>Kala: Rahu Upgraha: Kaala</v>
      </c>
      <c r="M47" s="876" t="e">
        <f>#N/A</f>
        <v>#N/A</v>
      </c>
    </row>
    <row r="48" spans="1:30">
      <c r="B48" s="895">
        <f t="shared" ref="B48:B76" si="12">B47+6</f>
        <v>726</v>
      </c>
      <c r="C48" s="1363"/>
      <c r="D48" s="875" t="e">
        <f>#N/A</f>
        <v>#N/A</v>
      </c>
      <c r="E48" s="855">
        <f t="shared" ref="E48:E76" si="13">E47+6</f>
        <v>906</v>
      </c>
      <c r="F48" s="1363"/>
      <c r="G48" s="875" t="e">
        <f>#N/A</f>
        <v>#N/A</v>
      </c>
      <c r="H48" s="855">
        <f t="shared" ref="H48:H76" si="14">H47+6</f>
        <v>1086</v>
      </c>
      <c r="I48" s="1363"/>
      <c r="J48" s="875" t="e">
        <f>#N/A</f>
        <v>#N/A</v>
      </c>
      <c r="K48" s="855">
        <f t="shared" ref="K48:K76" si="15">K47+6</f>
        <v>1266</v>
      </c>
      <c r="L48" s="1363"/>
      <c r="M48" s="876" t="e">
        <f>#N/A</f>
        <v>#N/A</v>
      </c>
    </row>
    <row r="49" spans="2:13">
      <c r="B49" s="895">
        <f t="shared" si="12"/>
        <v>732</v>
      </c>
      <c r="C49" s="1363"/>
      <c r="D49" s="875" t="e">
        <f>#N/A</f>
        <v>#N/A</v>
      </c>
      <c r="E49" s="855">
        <f t="shared" si="13"/>
        <v>912</v>
      </c>
      <c r="F49" s="1363"/>
      <c r="G49" s="875" t="e">
        <f>#N/A</f>
        <v>#N/A</v>
      </c>
      <c r="H49" s="855">
        <f t="shared" si="14"/>
        <v>1092</v>
      </c>
      <c r="I49" s="1363"/>
      <c r="J49" s="875" t="e">
        <f>#N/A</f>
        <v>#N/A</v>
      </c>
      <c r="K49" s="855">
        <f t="shared" si="15"/>
        <v>1272</v>
      </c>
      <c r="L49" s="1363"/>
      <c r="M49" s="876" t="e">
        <f>#N/A</f>
        <v>#N/A</v>
      </c>
    </row>
    <row r="50" spans="2:13">
      <c r="B50" s="895">
        <f t="shared" si="12"/>
        <v>738</v>
      </c>
      <c r="C50" s="1363"/>
      <c r="D50" s="875" t="e">
        <f>#N/A</f>
        <v>#N/A</v>
      </c>
      <c r="E50" s="855">
        <f t="shared" si="13"/>
        <v>918</v>
      </c>
      <c r="F50" s="1363"/>
      <c r="G50" s="875" t="e">
        <f>#N/A</f>
        <v>#N/A</v>
      </c>
      <c r="H50" s="855">
        <f t="shared" si="14"/>
        <v>1098</v>
      </c>
      <c r="I50" s="1363"/>
      <c r="J50" s="875" t="e">
        <f>#N/A</f>
        <v>#N/A</v>
      </c>
      <c r="K50" s="855">
        <f t="shared" si="15"/>
        <v>1278</v>
      </c>
      <c r="L50" s="1363"/>
      <c r="M50" s="876" t="e">
        <f>#N/A</f>
        <v>#N/A</v>
      </c>
    </row>
    <row r="51" spans="2:13">
      <c r="B51" s="895">
        <f t="shared" si="12"/>
        <v>744</v>
      </c>
      <c r="C51" s="1363"/>
      <c r="D51" s="875" t="e">
        <f>#N/A</f>
        <v>#N/A</v>
      </c>
      <c r="E51" s="855">
        <f t="shared" si="13"/>
        <v>924</v>
      </c>
      <c r="F51" s="1363"/>
      <c r="G51" s="875" t="e">
        <f>#N/A</f>
        <v>#N/A</v>
      </c>
      <c r="H51" s="855">
        <f t="shared" si="14"/>
        <v>1104</v>
      </c>
      <c r="I51" s="1363"/>
      <c r="J51" s="875" t="e">
        <f>#N/A</f>
        <v>#N/A</v>
      </c>
      <c r="K51" s="855">
        <f t="shared" si="15"/>
        <v>1284</v>
      </c>
      <c r="L51" s="1363"/>
      <c r="M51" s="876" t="e">
        <f>#N/A</f>
        <v>#N/A</v>
      </c>
    </row>
    <row r="52" spans="2:13">
      <c r="B52" s="895">
        <f t="shared" si="12"/>
        <v>750</v>
      </c>
      <c r="C52" s="1363"/>
      <c r="D52" s="875" t="e">
        <f>#N/A</f>
        <v>#N/A</v>
      </c>
      <c r="E52" s="855">
        <f t="shared" si="13"/>
        <v>930</v>
      </c>
      <c r="F52" s="1363"/>
      <c r="G52" s="875" t="e">
        <f>#N/A</f>
        <v>#N/A</v>
      </c>
      <c r="H52" s="855">
        <f t="shared" si="14"/>
        <v>1110</v>
      </c>
      <c r="I52" s="1363"/>
      <c r="J52" s="875" t="e">
        <f>#N/A</f>
        <v>#N/A</v>
      </c>
      <c r="K52" s="855">
        <f t="shared" si="15"/>
        <v>1290</v>
      </c>
      <c r="L52" s="1363"/>
      <c r="M52" s="876" t="e">
        <f>#N/A</f>
        <v>#N/A</v>
      </c>
    </row>
    <row r="53" spans="2:13">
      <c r="B53" s="895">
        <f t="shared" si="12"/>
        <v>756</v>
      </c>
      <c r="C53" s="1363"/>
      <c r="D53" s="875" t="e">
        <f>#N/A</f>
        <v>#N/A</v>
      </c>
      <c r="E53" s="855">
        <f t="shared" si="13"/>
        <v>936</v>
      </c>
      <c r="F53" s="1363"/>
      <c r="G53" s="875" t="e">
        <f>#N/A</f>
        <v>#N/A</v>
      </c>
      <c r="H53" s="855">
        <f t="shared" si="14"/>
        <v>1116</v>
      </c>
      <c r="I53" s="1363"/>
      <c r="J53" s="875" t="e">
        <f>#N/A</f>
        <v>#N/A</v>
      </c>
      <c r="K53" s="855">
        <f t="shared" si="15"/>
        <v>1296</v>
      </c>
      <c r="L53" s="1363"/>
      <c r="M53" s="876" t="e">
        <f>#N/A</f>
        <v>#N/A</v>
      </c>
    </row>
    <row r="54" spans="2:13">
      <c r="B54" s="895">
        <f t="shared" si="12"/>
        <v>762</v>
      </c>
      <c r="C54" s="1363"/>
      <c r="D54" s="875" t="e">
        <f>#N/A</f>
        <v>#N/A</v>
      </c>
      <c r="E54" s="855">
        <f t="shared" si="13"/>
        <v>942</v>
      </c>
      <c r="F54" s="1363"/>
      <c r="G54" s="875" t="e">
        <f>#N/A</f>
        <v>#N/A</v>
      </c>
      <c r="H54" s="855">
        <f t="shared" si="14"/>
        <v>1122</v>
      </c>
      <c r="I54" s="1363"/>
      <c r="J54" s="875" t="e">
        <f>#N/A</f>
        <v>#N/A</v>
      </c>
      <c r="K54" s="855">
        <f t="shared" si="15"/>
        <v>1302</v>
      </c>
      <c r="L54" s="1363"/>
      <c r="M54" s="876" t="e">
        <f>#N/A</f>
        <v>#N/A</v>
      </c>
    </row>
    <row r="55" spans="2:13">
      <c r="B55" s="895">
        <f t="shared" si="12"/>
        <v>768</v>
      </c>
      <c r="C55" s="1363"/>
      <c r="D55" s="875" t="e">
        <f>#N/A</f>
        <v>#N/A</v>
      </c>
      <c r="E55" s="855">
        <f t="shared" si="13"/>
        <v>948</v>
      </c>
      <c r="F55" s="1363"/>
      <c r="G55" s="875" t="e">
        <f>#N/A</f>
        <v>#N/A</v>
      </c>
      <c r="H55" s="855">
        <f t="shared" si="14"/>
        <v>1128</v>
      </c>
      <c r="I55" s="1363"/>
      <c r="J55" s="875" t="e">
        <f>#N/A</f>
        <v>#N/A</v>
      </c>
      <c r="K55" s="855">
        <f t="shared" si="15"/>
        <v>1308</v>
      </c>
      <c r="L55" s="1363"/>
      <c r="M55" s="876" t="e">
        <f>#N/A</f>
        <v>#N/A</v>
      </c>
    </row>
    <row r="56" spans="2:13">
      <c r="B56" s="895">
        <f t="shared" si="12"/>
        <v>774</v>
      </c>
      <c r="C56" s="1363"/>
      <c r="D56" s="875" t="e">
        <f>#N/A</f>
        <v>#N/A</v>
      </c>
      <c r="E56" s="855">
        <f t="shared" si="13"/>
        <v>954</v>
      </c>
      <c r="F56" s="1363"/>
      <c r="G56" s="875" t="e">
        <f>#N/A</f>
        <v>#N/A</v>
      </c>
      <c r="H56" s="855">
        <f t="shared" si="14"/>
        <v>1134</v>
      </c>
      <c r="I56" s="1363"/>
      <c r="J56" s="875" t="e">
        <f>#N/A</f>
        <v>#N/A</v>
      </c>
      <c r="K56" s="855">
        <f t="shared" si="15"/>
        <v>1314</v>
      </c>
      <c r="L56" s="1363"/>
      <c r="M56" s="876" t="e">
        <f>#N/A</f>
        <v>#N/A</v>
      </c>
    </row>
    <row r="57" spans="2:13">
      <c r="B57" s="895">
        <f t="shared" si="12"/>
        <v>780</v>
      </c>
      <c r="C57" s="1363"/>
      <c r="D57" s="875" t="e">
        <f>#N/A</f>
        <v>#N/A</v>
      </c>
      <c r="E57" s="855">
        <f t="shared" si="13"/>
        <v>960</v>
      </c>
      <c r="F57" s="1363"/>
      <c r="G57" s="875" t="e">
        <f>#N/A</f>
        <v>#N/A</v>
      </c>
      <c r="H57" s="855">
        <f t="shared" si="14"/>
        <v>1140</v>
      </c>
      <c r="I57" s="1363"/>
      <c r="J57" s="875" t="e">
        <f>#N/A</f>
        <v>#N/A</v>
      </c>
      <c r="K57" s="855">
        <f t="shared" si="15"/>
        <v>1320</v>
      </c>
      <c r="L57" s="1363"/>
      <c r="M57" s="876" t="e">
        <f>#N/A</f>
        <v>#N/A</v>
      </c>
    </row>
    <row r="58" spans="2:13">
      <c r="B58" s="895">
        <f t="shared" si="12"/>
        <v>786</v>
      </c>
      <c r="C58" s="1363"/>
      <c r="D58" s="875" t="e">
        <f>#N/A</f>
        <v>#N/A</v>
      </c>
      <c r="E58" s="855">
        <f t="shared" si="13"/>
        <v>966</v>
      </c>
      <c r="F58" s="1363"/>
      <c r="G58" s="875" t="e">
        <f>#N/A</f>
        <v>#N/A</v>
      </c>
      <c r="H58" s="855">
        <f t="shared" si="14"/>
        <v>1146</v>
      </c>
      <c r="I58" s="1363"/>
      <c r="J58" s="875" t="e">
        <f>#N/A</f>
        <v>#N/A</v>
      </c>
      <c r="K58" s="855">
        <f t="shared" si="15"/>
        <v>1326</v>
      </c>
      <c r="L58" s="1363"/>
      <c r="M58" s="876" t="e">
        <f>#N/A</f>
        <v>#N/A</v>
      </c>
    </row>
    <row r="59" spans="2:13">
      <c r="B59" s="895">
        <f t="shared" si="12"/>
        <v>792</v>
      </c>
      <c r="C59" s="1363"/>
      <c r="D59" s="875" t="e">
        <f>#N/A</f>
        <v>#N/A</v>
      </c>
      <c r="E59" s="855">
        <f t="shared" si="13"/>
        <v>972</v>
      </c>
      <c r="F59" s="1363"/>
      <c r="G59" s="875" t="e">
        <f>#N/A</f>
        <v>#N/A</v>
      </c>
      <c r="H59" s="855">
        <f t="shared" si="14"/>
        <v>1152</v>
      </c>
      <c r="I59" s="1363"/>
      <c r="J59" s="875" t="e">
        <f>#N/A</f>
        <v>#N/A</v>
      </c>
      <c r="K59" s="855">
        <f t="shared" si="15"/>
        <v>1332</v>
      </c>
      <c r="L59" s="1363"/>
      <c r="M59" s="876" t="e">
        <f>#N/A</f>
        <v>#N/A</v>
      </c>
    </row>
    <row r="60" spans="2:13">
      <c r="B60" s="895">
        <f t="shared" si="12"/>
        <v>798</v>
      </c>
      <c r="C60" s="1363"/>
      <c r="D60" s="875" t="e">
        <f>#N/A</f>
        <v>#N/A</v>
      </c>
      <c r="E60" s="855">
        <f t="shared" si="13"/>
        <v>978</v>
      </c>
      <c r="F60" s="1363"/>
      <c r="G60" s="875" t="e">
        <f>#N/A</f>
        <v>#N/A</v>
      </c>
      <c r="H60" s="855">
        <f t="shared" si="14"/>
        <v>1158</v>
      </c>
      <c r="I60" s="1363"/>
      <c r="J60" s="875" t="e">
        <f>#N/A</f>
        <v>#N/A</v>
      </c>
      <c r="K60" s="855">
        <f t="shared" si="15"/>
        <v>1338</v>
      </c>
      <c r="L60" s="1363"/>
      <c r="M60" s="876" t="e">
        <f>#N/A</f>
        <v>#N/A</v>
      </c>
    </row>
    <row r="61" spans="2:13">
      <c r="B61" s="895">
        <f t="shared" si="12"/>
        <v>804</v>
      </c>
      <c r="C61" s="1363"/>
      <c r="D61" s="882" t="e">
        <f>#N/A</f>
        <v>#N/A</v>
      </c>
      <c r="E61" s="855">
        <f t="shared" si="13"/>
        <v>984</v>
      </c>
      <c r="F61" s="1363"/>
      <c r="G61" s="882" t="e">
        <f>#N/A</f>
        <v>#N/A</v>
      </c>
      <c r="H61" s="855">
        <f t="shared" si="14"/>
        <v>1164</v>
      </c>
      <c r="I61" s="1363"/>
      <c r="J61" s="882" t="e">
        <f>#N/A</f>
        <v>#N/A</v>
      </c>
      <c r="K61" s="855">
        <f t="shared" si="15"/>
        <v>1344</v>
      </c>
      <c r="L61" s="1363"/>
      <c r="M61" s="884" t="e">
        <f>#N/A</f>
        <v>#N/A</v>
      </c>
    </row>
    <row r="62" spans="2:13">
      <c r="B62" s="896">
        <f t="shared" si="12"/>
        <v>810</v>
      </c>
      <c r="C62" s="1363" t="str">
        <f>"Kala: "&amp;CHOOSE(MOD(B62/120*8/6+$I$1+7+4,8)+1,"Sun","Mars","Jupiter","Mercury","Venus","Saturn","Moon","Rahu")&amp; " Upgraha: " &amp; CHOOSE(MOD(B62/6/120*8+PanchangaVaara+7+4,8)+1,"Kaala","-","Mrityu","Ardhaprahara","YamaGhanta","--","Gulika","--")</f>
        <v>Kala: Jupiter Upgraha: Ardhaprahara</v>
      </c>
      <c r="D62" s="887" t="e">
        <f>#N/A</f>
        <v>#N/A</v>
      </c>
      <c r="E62" s="897">
        <f t="shared" si="13"/>
        <v>990</v>
      </c>
      <c r="F62" s="1363" t="str">
        <f>"Kala: "&amp;CHOOSE(MOD(E62/120*8/6+$I$1+7+4,8)+1,"Sun","Mars","Jupiter","Mercury","Venus","Saturn","Moon","Rahu")&amp; " Upgraha: " &amp; CHOOSE(MOD(E62/6/120*8+PanchangaVaara+7+4,8)+1,"Kaala","-","Mrityu","Ardhaprahara","YamaGhanta","--","Gulika","--")</f>
        <v>Kala: Venus Upgraha: --</v>
      </c>
      <c r="G62" s="887" t="e">
        <f>#N/A</f>
        <v>#N/A</v>
      </c>
      <c r="H62" s="897">
        <f t="shared" si="14"/>
        <v>1170</v>
      </c>
      <c r="I62" s="1363" t="str">
        <f>"Kala: "&amp;CHOOSE(MOD(H62/120*8/6+$I$1+7+4,8)+1,"Sun","Mars","Jupiter","Mercury","Venus","Saturn","Moon","Rahu")&amp; " Upgraha: " &amp; CHOOSE(MOD(H62/6/120*8+PanchangaVaara+7+4,8)+1,"Kaala","-","Mrityu","Ardhaprahara","YamaGhanta","--","Gulika","--")</f>
        <v>Kala: Moon Upgraha: --</v>
      </c>
      <c r="J62" s="887" t="e">
        <f>#N/A</f>
        <v>#N/A</v>
      </c>
      <c r="K62" s="897">
        <f t="shared" si="15"/>
        <v>1350</v>
      </c>
      <c r="L62" s="1363" t="str">
        <f>"Kala: "&amp;CHOOSE(MOD(K62/120*8/6+$I$1+7+4,8)+1,"Sun","Mars","Jupiter","Mercury","Venus","Saturn","Moon","Rahu")&amp; " Upgraha: " &amp; CHOOSE(MOD(K62/6/120*8+PanchangaVaara+7+4,8)+1,"Kaala","-","Mrityu","Ardhaprahara","YamaGhanta","--","Gulika","--")</f>
        <v>Kala: Sun Upgraha: -</v>
      </c>
      <c r="M62" s="889" t="e">
        <f>#N/A</f>
        <v>#N/A</v>
      </c>
    </row>
    <row r="63" spans="2:13">
      <c r="B63" s="895">
        <f t="shared" si="12"/>
        <v>816</v>
      </c>
      <c r="C63" s="1363"/>
      <c r="D63" s="875" t="e">
        <f>#N/A</f>
        <v>#N/A</v>
      </c>
      <c r="E63" s="855">
        <f t="shared" si="13"/>
        <v>996</v>
      </c>
      <c r="F63" s="1363"/>
      <c r="G63" s="875" t="e">
        <f>#N/A</f>
        <v>#N/A</v>
      </c>
      <c r="H63" s="855">
        <f t="shared" si="14"/>
        <v>1176</v>
      </c>
      <c r="I63" s="1363"/>
      <c r="J63" s="875" t="e">
        <f>#N/A</f>
        <v>#N/A</v>
      </c>
      <c r="K63" s="855">
        <f t="shared" si="15"/>
        <v>1356</v>
      </c>
      <c r="L63" s="1363"/>
      <c r="M63" s="876" t="e">
        <f>#N/A</f>
        <v>#N/A</v>
      </c>
    </row>
    <row r="64" spans="2:13">
      <c r="B64" s="895">
        <f t="shared" si="12"/>
        <v>822</v>
      </c>
      <c r="C64" s="1363"/>
      <c r="D64" s="875" t="e">
        <f>#N/A</f>
        <v>#N/A</v>
      </c>
      <c r="E64" s="855">
        <f t="shared" si="13"/>
        <v>1002</v>
      </c>
      <c r="F64" s="1363"/>
      <c r="G64" s="875" t="e">
        <f>#N/A</f>
        <v>#N/A</v>
      </c>
      <c r="H64" s="855">
        <f t="shared" si="14"/>
        <v>1182</v>
      </c>
      <c r="I64" s="1363"/>
      <c r="J64" s="875" t="e">
        <f>#N/A</f>
        <v>#N/A</v>
      </c>
      <c r="K64" s="855">
        <f t="shared" si="15"/>
        <v>1362</v>
      </c>
      <c r="L64" s="1363"/>
      <c r="M64" s="876" t="e">
        <f>#N/A</f>
        <v>#N/A</v>
      </c>
    </row>
    <row r="65" spans="2:13">
      <c r="B65" s="895">
        <f t="shared" si="12"/>
        <v>828</v>
      </c>
      <c r="C65" s="1363"/>
      <c r="D65" s="875" t="e">
        <f>#N/A</f>
        <v>#N/A</v>
      </c>
      <c r="E65" s="855">
        <f t="shared" si="13"/>
        <v>1008</v>
      </c>
      <c r="F65" s="1363"/>
      <c r="G65" s="875" t="e">
        <f>#N/A</f>
        <v>#N/A</v>
      </c>
      <c r="H65" s="855">
        <f t="shared" si="14"/>
        <v>1188</v>
      </c>
      <c r="I65" s="1363"/>
      <c r="J65" s="875" t="e">
        <f>#N/A</f>
        <v>#N/A</v>
      </c>
      <c r="K65" s="855">
        <f t="shared" si="15"/>
        <v>1368</v>
      </c>
      <c r="L65" s="1363"/>
      <c r="M65" s="876" t="e">
        <f>#N/A</f>
        <v>#N/A</v>
      </c>
    </row>
    <row r="66" spans="2:13">
      <c r="B66" s="895">
        <f t="shared" si="12"/>
        <v>834</v>
      </c>
      <c r="C66" s="1363"/>
      <c r="D66" s="875" t="e">
        <f>#N/A</f>
        <v>#N/A</v>
      </c>
      <c r="E66" s="855">
        <f t="shared" si="13"/>
        <v>1014</v>
      </c>
      <c r="F66" s="1363"/>
      <c r="G66" s="875" t="e">
        <f>#N/A</f>
        <v>#N/A</v>
      </c>
      <c r="H66" s="855">
        <f t="shared" si="14"/>
        <v>1194</v>
      </c>
      <c r="I66" s="1363"/>
      <c r="J66" s="875" t="e">
        <f>#N/A</f>
        <v>#N/A</v>
      </c>
      <c r="K66" s="855">
        <f t="shared" si="15"/>
        <v>1374</v>
      </c>
      <c r="L66" s="1363"/>
      <c r="M66" s="876" t="e">
        <f>#N/A</f>
        <v>#N/A</v>
      </c>
    </row>
    <row r="67" spans="2:13">
      <c r="B67" s="895">
        <f t="shared" si="12"/>
        <v>840</v>
      </c>
      <c r="C67" s="1363"/>
      <c r="D67" s="875" t="e">
        <f>#N/A</f>
        <v>#N/A</v>
      </c>
      <c r="E67" s="855">
        <f t="shared" si="13"/>
        <v>1020</v>
      </c>
      <c r="F67" s="1363"/>
      <c r="G67" s="875" t="e">
        <f>#N/A</f>
        <v>#N/A</v>
      </c>
      <c r="H67" s="855">
        <f t="shared" si="14"/>
        <v>1200</v>
      </c>
      <c r="I67" s="1363"/>
      <c r="J67" s="875" t="e">
        <f>#N/A</f>
        <v>#N/A</v>
      </c>
      <c r="K67" s="855">
        <f t="shared" si="15"/>
        <v>1380</v>
      </c>
      <c r="L67" s="1363"/>
      <c r="M67" s="876" t="e">
        <f>#N/A</f>
        <v>#N/A</v>
      </c>
    </row>
    <row r="68" spans="2:13">
      <c r="B68" s="895">
        <f t="shared" si="12"/>
        <v>846</v>
      </c>
      <c r="C68" s="1363"/>
      <c r="D68" s="875" t="e">
        <f>#N/A</f>
        <v>#N/A</v>
      </c>
      <c r="E68" s="855">
        <f t="shared" si="13"/>
        <v>1026</v>
      </c>
      <c r="F68" s="1363"/>
      <c r="G68" s="875" t="e">
        <f>#N/A</f>
        <v>#N/A</v>
      </c>
      <c r="H68" s="855">
        <f t="shared" si="14"/>
        <v>1206</v>
      </c>
      <c r="I68" s="1363"/>
      <c r="J68" s="875" t="e">
        <f>#N/A</f>
        <v>#N/A</v>
      </c>
      <c r="K68" s="855">
        <f t="shared" si="15"/>
        <v>1386</v>
      </c>
      <c r="L68" s="1363"/>
      <c r="M68" s="876" t="e">
        <f>#N/A</f>
        <v>#N/A</v>
      </c>
    </row>
    <row r="69" spans="2:13">
      <c r="B69" s="895">
        <f t="shared" si="12"/>
        <v>852</v>
      </c>
      <c r="C69" s="1363"/>
      <c r="D69" s="875" t="e">
        <f>#N/A</f>
        <v>#N/A</v>
      </c>
      <c r="E69" s="855">
        <f t="shared" si="13"/>
        <v>1032</v>
      </c>
      <c r="F69" s="1363"/>
      <c r="G69" s="875" t="e">
        <f>#N/A</f>
        <v>#N/A</v>
      </c>
      <c r="H69" s="855">
        <f t="shared" si="14"/>
        <v>1212</v>
      </c>
      <c r="I69" s="1363"/>
      <c r="J69" s="875" t="e">
        <f>#N/A</f>
        <v>#N/A</v>
      </c>
      <c r="K69" s="855">
        <f t="shared" si="15"/>
        <v>1392</v>
      </c>
      <c r="L69" s="1363"/>
      <c r="M69" s="876" t="e">
        <f>#N/A</f>
        <v>#N/A</v>
      </c>
    </row>
    <row r="70" spans="2:13">
      <c r="B70" s="895">
        <f t="shared" si="12"/>
        <v>858</v>
      </c>
      <c r="C70" s="1363"/>
      <c r="D70" s="875" t="e">
        <f>#N/A</f>
        <v>#N/A</v>
      </c>
      <c r="E70" s="855">
        <f t="shared" si="13"/>
        <v>1038</v>
      </c>
      <c r="F70" s="1363"/>
      <c r="G70" s="875" t="e">
        <f>#N/A</f>
        <v>#N/A</v>
      </c>
      <c r="H70" s="855">
        <f t="shared" si="14"/>
        <v>1218</v>
      </c>
      <c r="I70" s="1363"/>
      <c r="J70" s="875" t="e">
        <f>#N/A</f>
        <v>#N/A</v>
      </c>
      <c r="K70" s="855">
        <f t="shared" si="15"/>
        <v>1398</v>
      </c>
      <c r="L70" s="1363"/>
      <c r="M70" s="876" t="e">
        <f>#N/A</f>
        <v>#N/A</v>
      </c>
    </row>
    <row r="71" spans="2:13">
      <c r="B71" s="895">
        <f t="shared" si="12"/>
        <v>864</v>
      </c>
      <c r="C71" s="1363"/>
      <c r="D71" s="875" t="e">
        <f>#N/A</f>
        <v>#N/A</v>
      </c>
      <c r="E71" s="855">
        <f t="shared" si="13"/>
        <v>1044</v>
      </c>
      <c r="F71" s="1363"/>
      <c r="G71" s="875" t="e">
        <f>#N/A</f>
        <v>#N/A</v>
      </c>
      <c r="H71" s="855">
        <f t="shared" si="14"/>
        <v>1224</v>
      </c>
      <c r="I71" s="1363"/>
      <c r="J71" s="875" t="e">
        <f>#N/A</f>
        <v>#N/A</v>
      </c>
      <c r="K71" s="855">
        <f t="shared" si="15"/>
        <v>1404</v>
      </c>
      <c r="L71" s="1363"/>
      <c r="M71" s="876" t="e">
        <f>#N/A</f>
        <v>#N/A</v>
      </c>
    </row>
    <row r="72" spans="2:13">
      <c r="B72" s="895">
        <f t="shared" si="12"/>
        <v>870</v>
      </c>
      <c r="C72" s="1363"/>
      <c r="D72" s="875" t="e">
        <f>#N/A</f>
        <v>#N/A</v>
      </c>
      <c r="E72" s="855">
        <f t="shared" si="13"/>
        <v>1050</v>
      </c>
      <c r="F72" s="1363"/>
      <c r="G72" s="875" t="e">
        <f>#N/A</f>
        <v>#N/A</v>
      </c>
      <c r="H72" s="855">
        <f t="shared" si="14"/>
        <v>1230</v>
      </c>
      <c r="I72" s="1363"/>
      <c r="J72" s="875" t="e">
        <f>#N/A</f>
        <v>#N/A</v>
      </c>
      <c r="K72" s="855">
        <f t="shared" si="15"/>
        <v>1410</v>
      </c>
      <c r="L72" s="1363"/>
      <c r="M72" s="876" t="e">
        <f>#N/A</f>
        <v>#N/A</v>
      </c>
    </row>
    <row r="73" spans="2:13">
      <c r="B73" s="895">
        <f t="shared" si="12"/>
        <v>876</v>
      </c>
      <c r="C73" s="1363"/>
      <c r="D73" s="875" t="e">
        <f>#N/A</f>
        <v>#N/A</v>
      </c>
      <c r="E73" s="855">
        <f t="shared" si="13"/>
        <v>1056</v>
      </c>
      <c r="F73" s="1363"/>
      <c r="G73" s="875" t="e">
        <f>#N/A</f>
        <v>#N/A</v>
      </c>
      <c r="H73" s="855">
        <f t="shared" si="14"/>
        <v>1236</v>
      </c>
      <c r="I73" s="1363"/>
      <c r="J73" s="875" t="e">
        <f>#N/A</f>
        <v>#N/A</v>
      </c>
      <c r="K73" s="855">
        <f t="shared" si="15"/>
        <v>1416</v>
      </c>
      <c r="L73" s="1363"/>
      <c r="M73" s="876" t="e">
        <f>#N/A</f>
        <v>#N/A</v>
      </c>
    </row>
    <row r="74" spans="2:13">
      <c r="B74" s="895">
        <f t="shared" si="12"/>
        <v>882</v>
      </c>
      <c r="C74" s="1363"/>
      <c r="D74" s="875" t="e">
        <f>#N/A</f>
        <v>#N/A</v>
      </c>
      <c r="E74" s="855">
        <f t="shared" si="13"/>
        <v>1062</v>
      </c>
      <c r="F74" s="1363"/>
      <c r="G74" s="875" t="e">
        <f>#N/A</f>
        <v>#N/A</v>
      </c>
      <c r="H74" s="855">
        <f t="shared" si="14"/>
        <v>1242</v>
      </c>
      <c r="I74" s="1363"/>
      <c r="J74" s="875" t="e">
        <f>#N/A</f>
        <v>#N/A</v>
      </c>
      <c r="K74" s="855">
        <f t="shared" si="15"/>
        <v>1422</v>
      </c>
      <c r="L74" s="1363"/>
      <c r="M74" s="876" t="e">
        <f>#N/A</f>
        <v>#N/A</v>
      </c>
    </row>
    <row r="75" spans="2:13">
      <c r="B75" s="895">
        <f t="shared" si="12"/>
        <v>888</v>
      </c>
      <c r="C75" s="1363"/>
      <c r="D75" s="875" t="e">
        <f>#N/A</f>
        <v>#N/A</v>
      </c>
      <c r="E75" s="855">
        <f t="shared" si="13"/>
        <v>1068</v>
      </c>
      <c r="F75" s="1363"/>
      <c r="G75" s="875" t="e">
        <f>#N/A</f>
        <v>#N/A</v>
      </c>
      <c r="H75" s="855">
        <f t="shared" si="14"/>
        <v>1248</v>
      </c>
      <c r="I75" s="1363"/>
      <c r="J75" s="875" t="e">
        <f>#N/A</f>
        <v>#N/A</v>
      </c>
      <c r="K75" s="855">
        <f t="shared" si="15"/>
        <v>1428</v>
      </c>
      <c r="L75" s="1363"/>
      <c r="M75" s="876" t="e">
        <f>#N/A</f>
        <v>#N/A</v>
      </c>
    </row>
    <row r="76" spans="2:13">
      <c r="B76" s="898">
        <f t="shared" si="12"/>
        <v>894</v>
      </c>
      <c r="C76" s="1363"/>
      <c r="D76" s="891" t="e">
        <f>#N/A</f>
        <v>#N/A</v>
      </c>
      <c r="E76" s="899">
        <f t="shared" si="13"/>
        <v>1074</v>
      </c>
      <c r="F76" s="1363"/>
      <c r="G76" s="891" t="e">
        <f>#N/A</f>
        <v>#N/A</v>
      </c>
      <c r="H76" s="899">
        <f t="shared" si="14"/>
        <v>1254</v>
      </c>
      <c r="I76" s="1363"/>
      <c r="J76" s="891" t="e">
        <f>#N/A</f>
        <v>#N/A</v>
      </c>
      <c r="K76" s="899">
        <f t="shared" si="15"/>
        <v>1434</v>
      </c>
      <c r="L76" s="1363"/>
      <c r="M76" s="893" t="e">
        <f>#N/A</f>
        <v>#N/A</v>
      </c>
    </row>
  </sheetData>
  <mergeCells count="53">
    <mergeCell ref="C47:C61"/>
    <mergeCell ref="F47:F61"/>
    <mergeCell ref="I47:I61"/>
    <mergeCell ref="L47:L61"/>
    <mergeCell ref="C62:C76"/>
    <mergeCell ref="F62:F76"/>
    <mergeCell ref="I62:I76"/>
    <mergeCell ref="L62:L76"/>
    <mergeCell ref="B45:M45"/>
    <mergeCell ref="B46:D46"/>
    <mergeCell ref="E46:G46"/>
    <mergeCell ref="H46:J46"/>
    <mergeCell ref="K46:M46"/>
    <mergeCell ref="N42:O42"/>
    <mergeCell ref="P42:Q42"/>
    <mergeCell ref="B43:C43"/>
    <mergeCell ref="D43:E43"/>
    <mergeCell ref="F43:G43"/>
    <mergeCell ref="H43:I43"/>
    <mergeCell ref="C27:C41"/>
    <mergeCell ref="F27:F41"/>
    <mergeCell ref="I27:I41"/>
    <mergeCell ref="L27:L41"/>
    <mergeCell ref="B42:C42"/>
    <mergeCell ref="D42:E42"/>
    <mergeCell ref="F42:G42"/>
    <mergeCell ref="H42:I42"/>
    <mergeCell ref="J42:K42"/>
    <mergeCell ref="L42:M42"/>
    <mergeCell ref="B11:D11"/>
    <mergeCell ref="E11:G11"/>
    <mergeCell ref="H11:J11"/>
    <mergeCell ref="K11:M11"/>
    <mergeCell ref="C12:C26"/>
    <mergeCell ref="F12:F26"/>
    <mergeCell ref="I12:I26"/>
    <mergeCell ref="L12:L26"/>
    <mergeCell ref="A5:C5"/>
    <mergeCell ref="E5:F5"/>
    <mergeCell ref="A6:C6"/>
    <mergeCell ref="A7:C7"/>
    <mergeCell ref="B10:M10"/>
    <mergeCell ref="A2:C2"/>
    <mergeCell ref="G2:H2"/>
    <mergeCell ref="A3:C3"/>
    <mergeCell ref="G3:H3"/>
    <mergeCell ref="A4:C4"/>
    <mergeCell ref="G4:H4"/>
    <mergeCell ref="A1:C1"/>
    <mergeCell ref="G1:H1"/>
    <mergeCell ref="L1:N1"/>
    <mergeCell ref="O1:Q1"/>
    <mergeCell ref="R1:S1"/>
  </mergeCells>
  <conditionalFormatting sqref="B12:E41 B47:M76 F12 F27:F41 G12:M41">
    <cfRule type="cellIs" dxfId="5" priority="2" operator="equal">
      <formula>0</formula>
    </cfRule>
    <cfRule type="cellIs" dxfId="4" priority="3" operator="equal">
      <formula>0</formula>
    </cfRule>
    <cfRule type="cellIs" dxfId="3" priority="4" operator="equal">
      <formula>0</formula>
    </cfRule>
    <cfRule type="cellIs" dxfId="2" priority="5" operator="equal">
      <formula>0</formula>
    </cfRule>
    <cfRule type="cellIs" dxfId="1" priority="6" operator="equal">
      <formula>0</formula>
    </cfRule>
  </conditionalFormatting>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S367"/>
  <sheetViews>
    <sheetView topLeftCell="A16" zoomScaleNormal="100" workbookViewId="0">
      <pane ySplit="29640"/>
      <selection activeCell="F25" sqref="F25"/>
      <selection pane="bottomLeft"/>
    </sheetView>
  </sheetViews>
  <sheetFormatPr defaultColWidth="7.140625" defaultRowHeight="15"/>
  <cols>
    <col min="1" max="1" width="9.140625" customWidth="1"/>
    <col min="2" max="2" width="8.140625" customWidth="1"/>
    <col min="3" max="3" width="12.85546875" customWidth="1"/>
    <col min="4" max="4" width="10.140625" customWidth="1"/>
    <col min="5" max="5" width="11.7109375" customWidth="1"/>
    <col min="6" max="7" width="21.42578125" customWidth="1"/>
    <col min="8" max="8" width="18.28515625" customWidth="1"/>
    <col min="9" max="9" width="10.140625" customWidth="1"/>
    <col min="10" max="10" width="18.5703125" customWidth="1"/>
    <col min="11" max="11" width="10" customWidth="1"/>
    <col min="12" max="12" width="15.7109375" customWidth="1"/>
    <col min="13" max="13" width="10.140625" customWidth="1"/>
    <col min="14" max="14" width="9.7109375" customWidth="1"/>
    <col min="15" max="15" width="11.140625" customWidth="1"/>
    <col min="16" max="16" width="13.7109375" customWidth="1"/>
    <col min="17" max="17" width="10.5703125" customWidth="1"/>
    <col min="18" max="18" width="10.140625" customWidth="1"/>
    <col min="19" max="19" width="19.42578125" customWidth="1"/>
  </cols>
  <sheetData>
    <row r="2" spans="1:19">
      <c r="B2" t="s">
        <v>4174</v>
      </c>
      <c r="C2" t="s">
        <v>4175</v>
      </c>
      <c r="D2" t="s">
        <v>4176</v>
      </c>
      <c r="E2" t="s">
        <v>4177</v>
      </c>
      <c r="F2" t="s">
        <v>366</v>
      </c>
    </row>
    <row r="3" spans="1:19">
      <c r="A3">
        <v>1</v>
      </c>
      <c r="B3" t="s">
        <v>896</v>
      </c>
      <c r="C3" t="s">
        <v>689</v>
      </c>
      <c r="E3" s="334">
        <v>1</v>
      </c>
      <c r="F3" s="334" t="s">
        <v>4178</v>
      </c>
      <c r="G3" s="334" t="s">
        <v>4179</v>
      </c>
      <c r="H3" t="s">
        <v>689</v>
      </c>
      <c r="I3" t="s">
        <v>693</v>
      </c>
      <c r="J3" t="s">
        <v>695</v>
      </c>
      <c r="K3" t="s">
        <v>703</v>
      </c>
      <c r="L3" t="s">
        <v>701</v>
      </c>
      <c r="M3" t="s">
        <v>711</v>
      </c>
      <c r="N3" t="s">
        <v>710</v>
      </c>
      <c r="O3" t="s">
        <v>709</v>
      </c>
      <c r="P3" t="s">
        <v>708</v>
      </c>
      <c r="Q3" t="s">
        <v>706</v>
      </c>
      <c r="R3" t="s">
        <v>699</v>
      </c>
      <c r="S3" t="s">
        <v>694</v>
      </c>
    </row>
    <row r="4" spans="1:19">
      <c r="A4">
        <v>2</v>
      </c>
      <c r="B4" t="s">
        <v>908</v>
      </c>
      <c r="C4" t="s">
        <v>693</v>
      </c>
      <c r="E4" s="334">
        <v>1</v>
      </c>
      <c r="F4" s="334" t="s">
        <v>4180</v>
      </c>
      <c r="G4" s="334">
        <v>6</v>
      </c>
      <c r="H4" t="s">
        <v>693</v>
      </c>
      <c r="I4" t="s">
        <v>708</v>
      </c>
      <c r="J4" t="s">
        <v>703</v>
      </c>
      <c r="K4" t="s">
        <v>699</v>
      </c>
      <c r="L4" t="s">
        <v>711</v>
      </c>
      <c r="M4" t="s">
        <v>689</v>
      </c>
      <c r="N4" t="s">
        <v>709</v>
      </c>
      <c r="O4" t="s">
        <v>695</v>
      </c>
      <c r="P4" t="s">
        <v>706</v>
      </c>
      <c r="Q4" t="s">
        <v>701</v>
      </c>
      <c r="R4" t="s">
        <v>694</v>
      </c>
      <c r="S4" t="s">
        <v>710</v>
      </c>
    </row>
    <row r="5" spans="1:19">
      <c r="A5">
        <v>3</v>
      </c>
      <c r="B5" t="s">
        <v>920</v>
      </c>
      <c r="C5" t="s">
        <v>695</v>
      </c>
      <c r="E5" s="334">
        <v>1</v>
      </c>
      <c r="F5" s="334" t="s">
        <v>4180</v>
      </c>
      <c r="G5" s="334" t="s">
        <v>4181</v>
      </c>
      <c r="H5" t="s">
        <v>695</v>
      </c>
      <c r="I5" t="s">
        <v>699</v>
      </c>
      <c r="J5" t="s">
        <v>710</v>
      </c>
      <c r="K5" t="s">
        <v>711</v>
      </c>
      <c r="L5" t="s">
        <v>693</v>
      </c>
      <c r="M5" t="s">
        <v>706</v>
      </c>
      <c r="N5" t="s">
        <v>708</v>
      </c>
      <c r="O5" t="s">
        <v>701</v>
      </c>
      <c r="P5" t="s">
        <v>689</v>
      </c>
      <c r="Q5" t="s">
        <v>694</v>
      </c>
      <c r="R5" t="s">
        <v>709</v>
      </c>
      <c r="S5" t="s">
        <v>703</v>
      </c>
    </row>
    <row r="6" spans="1:19">
      <c r="A6">
        <v>4</v>
      </c>
      <c r="B6" t="s">
        <v>931</v>
      </c>
      <c r="C6" t="s">
        <v>703</v>
      </c>
      <c r="E6" s="334">
        <v>-1</v>
      </c>
      <c r="F6" s="334" t="s">
        <v>4180</v>
      </c>
      <c r="G6" s="334" t="s">
        <v>4179</v>
      </c>
      <c r="H6" t="s">
        <v>703</v>
      </c>
      <c r="I6" t="s">
        <v>695</v>
      </c>
      <c r="J6" t="s">
        <v>693</v>
      </c>
      <c r="K6" t="s">
        <v>689</v>
      </c>
      <c r="L6" t="s">
        <v>694</v>
      </c>
      <c r="M6" t="s">
        <v>699</v>
      </c>
      <c r="N6" t="s">
        <v>706</v>
      </c>
      <c r="O6" t="s">
        <v>708</v>
      </c>
      <c r="P6" t="s">
        <v>709</v>
      </c>
      <c r="Q6" t="s">
        <v>710</v>
      </c>
      <c r="R6" t="s">
        <v>711</v>
      </c>
      <c r="S6" t="s">
        <v>701</v>
      </c>
    </row>
    <row r="7" spans="1:19">
      <c r="A7">
        <v>5</v>
      </c>
      <c r="B7" t="s">
        <v>943</v>
      </c>
      <c r="C7" t="s">
        <v>701</v>
      </c>
      <c r="E7" s="334">
        <v>-1</v>
      </c>
      <c r="F7" s="334" t="s">
        <v>4178</v>
      </c>
      <c r="G7" s="334">
        <v>6</v>
      </c>
      <c r="H7" t="s">
        <v>701</v>
      </c>
      <c r="I7" t="s">
        <v>706</v>
      </c>
      <c r="J7" t="s">
        <v>695</v>
      </c>
      <c r="K7" t="s">
        <v>709</v>
      </c>
      <c r="L7" t="s">
        <v>689</v>
      </c>
      <c r="M7" t="s">
        <v>711</v>
      </c>
      <c r="N7" t="s">
        <v>699</v>
      </c>
      <c r="O7" t="s">
        <v>703</v>
      </c>
      <c r="P7" t="s">
        <v>708</v>
      </c>
      <c r="Q7" t="s">
        <v>693</v>
      </c>
      <c r="R7" t="s">
        <v>710</v>
      </c>
      <c r="S7" t="s">
        <v>694</v>
      </c>
    </row>
    <row r="8" spans="1:19">
      <c r="A8">
        <v>6</v>
      </c>
      <c r="B8" t="s">
        <v>951</v>
      </c>
      <c r="C8" t="s">
        <v>711</v>
      </c>
      <c r="E8" s="334">
        <v>-1</v>
      </c>
      <c r="F8" s="334" t="s">
        <v>4178</v>
      </c>
      <c r="G8" s="334" t="s">
        <v>4181</v>
      </c>
      <c r="H8" t="s">
        <v>711</v>
      </c>
      <c r="I8" t="s">
        <v>706</v>
      </c>
      <c r="J8" t="s">
        <v>693</v>
      </c>
      <c r="K8" t="s">
        <v>695</v>
      </c>
      <c r="L8" t="s">
        <v>710</v>
      </c>
      <c r="M8" t="s">
        <v>699</v>
      </c>
      <c r="N8" t="s">
        <v>694</v>
      </c>
      <c r="O8" t="s">
        <v>703</v>
      </c>
      <c r="P8" t="s">
        <v>709</v>
      </c>
      <c r="Q8" t="s">
        <v>708</v>
      </c>
      <c r="R8" t="s">
        <v>689</v>
      </c>
      <c r="S8" t="s">
        <v>701</v>
      </c>
    </row>
    <row r="9" spans="1:19">
      <c r="A9">
        <v>7</v>
      </c>
      <c r="B9" t="s">
        <v>961</v>
      </c>
      <c r="C9" t="s">
        <v>710</v>
      </c>
      <c r="E9" s="334">
        <v>1</v>
      </c>
      <c r="F9" s="334" t="s">
        <v>4178</v>
      </c>
      <c r="G9" s="334" t="s">
        <v>4179</v>
      </c>
      <c r="H9" t="s">
        <v>710</v>
      </c>
      <c r="I9" t="s">
        <v>709</v>
      </c>
      <c r="J9" t="s">
        <v>708</v>
      </c>
      <c r="K9" t="s">
        <v>706</v>
      </c>
      <c r="L9" t="s">
        <v>699</v>
      </c>
      <c r="M9" t="s">
        <v>694</v>
      </c>
      <c r="N9" t="s">
        <v>689</v>
      </c>
      <c r="O9" t="s">
        <v>693</v>
      </c>
      <c r="P9" t="s">
        <v>695</v>
      </c>
      <c r="Q9" t="s">
        <v>703</v>
      </c>
      <c r="R9" t="s">
        <v>701</v>
      </c>
      <c r="S9" t="s">
        <v>711</v>
      </c>
    </row>
    <row r="10" spans="1:19">
      <c r="A10">
        <v>8</v>
      </c>
      <c r="B10" t="s">
        <v>969</v>
      </c>
      <c r="C10" t="s">
        <v>709</v>
      </c>
      <c r="E10" s="334">
        <v>1</v>
      </c>
      <c r="F10" s="334" t="s">
        <v>4180</v>
      </c>
      <c r="G10" s="334">
        <v>6</v>
      </c>
      <c r="H10" t="s">
        <v>709</v>
      </c>
      <c r="I10" t="s">
        <v>695</v>
      </c>
      <c r="J10" t="s">
        <v>706</v>
      </c>
      <c r="K10" t="s">
        <v>701</v>
      </c>
      <c r="L10" t="s">
        <v>694</v>
      </c>
      <c r="M10" t="s">
        <v>710</v>
      </c>
      <c r="N10" t="s">
        <v>693</v>
      </c>
      <c r="O10" t="s">
        <v>708</v>
      </c>
      <c r="P10" t="s">
        <v>703</v>
      </c>
      <c r="Q10" t="s">
        <v>699</v>
      </c>
      <c r="R10" t="s">
        <v>711</v>
      </c>
      <c r="S10" t="s">
        <v>689</v>
      </c>
    </row>
    <row r="11" spans="1:19">
      <c r="A11">
        <v>9</v>
      </c>
      <c r="B11" t="s">
        <v>3168</v>
      </c>
      <c r="C11" t="s">
        <v>708</v>
      </c>
      <c r="E11" s="334">
        <v>1</v>
      </c>
      <c r="F11" s="334" t="s">
        <v>4180</v>
      </c>
      <c r="G11" s="334" t="s">
        <v>4181</v>
      </c>
      <c r="H11" t="s">
        <v>708</v>
      </c>
      <c r="I11" t="s">
        <v>701</v>
      </c>
      <c r="J11" t="s">
        <v>689</v>
      </c>
      <c r="K11" t="s">
        <v>694</v>
      </c>
      <c r="L11" t="s">
        <v>709</v>
      </c>
      <c r="M11" t="s">
        <v>703</v>
      </c>
      <c r="N11" t="s">
        <v>695</v>
      </c>
      <c r="O11" t="s">
        <v>699</v>
      </c>
      <c r="P11" t="s">
        <v>710</v>
      </c>
      <c r="Q11" t="s">
        <v>711</v>
      </c>
      <c r="R11" t="s">
        <v>693</v>
      </c>
      <c r="S11" t="s">
        <v>706</v>
      </c>
    </row>
    <row r="12" spans="1:19">
      <c r="A12">
        <v>10</v>
      </c>
      <c r="B12" t="s">
        <v>987</v>
      </c>
      <c r="C12" t="s">
        <v>706</v>
      </c>
      <c r="E12" s="334">
        <v>-1</v>
      </c>
      <c r="F12" s="334" t="s">
        <v>4180</v>
      </c>
      <c r="G12" s="334" t="s">
        <v>4179</v>
      </c>
      <c r="H12" t="s">
        <v>706</v>
      </c>
      <c r="I12" t="s">
        <v>708</v>
      </c>
      <c r="J12" t="s">
        <v>709</v>
      </c>
      <c r="K12" t="s">
        <v>710</v>
      </c>
      <c r="L12" t="s">
        <v>711</v>
      </c>
      <c r="M12" t="s">
        <v>701</v>
      </c>
      <c r="N12" t="s">
        <v>703</v>
      </c>
      <c r="O12" t="s">
        <v>695</v>
      </c>
      <c r="P12" t="s">
        <v>693</v>
      </c>
      <c r="Q12" t="s">
        <v>689</v>
      </c>
      <c r="R12" t="s">
        <v>694</v>
      </c>
      <c r="S12" t="s">
        <v>699</v>
      </c>
    </row>
    <row r="13" spans="1:19">
      <c r="A13">
        <v>11</v>
      </c>
      <c r="B13" t="s">
        <v>997</v>
      </c>
      <c r="C13" t="s">
        <v>699</v>
      </c>
      <c r="E13" s="334">
        <v>-1</v>
      </c>
      <c r="F13" s="334" t="s">
        <v>4178</v>
      </c>
      <c r="G13" s="334">
        <v>6</v>
      </c>
      <c r="H13" t="s">
        <v>699</v>
      </c>
      <c r="I13" t="s">
        <v>703</v>
      </c>
      <c r="J13" t="s">
        <v>708</v>
      </c>
      <c r="K13" t="s">
        <v>693</v>
      </c>
      <c r="L13" t="s">
        <v>710</v>
      </c>
      <c r="M13" t="s">
        <v>694</v>
      </c>
      <c r="N13" t="s">
        <v>701</v>
      </c>
      <c r="O13" t="s">
        <v>706</v>
      </c>
      <c r="P13" t="s">
        <v>695</v>
      </c>
      <c r="Q13" t="s">
        <v>709</v>
      </c>
      <c r="R13" t="s">
        <v>689</v>
      </c>
      <c r="S13" t="s">
        <v>711</v>
      </c>
    </row>
    <row r="14" spans="1:19">
      <c r="A14">
        <v>12</v>
      </c>
      <c r="B14" t="s">
        <v>1006</v>
      </c>
      <c r="C14" t="s">
        <v>694</v>
      </c>
      <c r="E14" s="334">
        <v>-1</v>
      </c>
      <c r="F14" s="334" t="s">
        <v>4178</v>
      </c>
      <c r="G14" s="334" t="s">
        <v>4181</v>
      </c>
      <c r="H14" t="s">
        <v>694</v>
      </c>
      <c r="I14" t="s">
        <v>703</v>
      </c>
      <c r="J14" t="s">
        <v>709</v>
      </c>
      <c r="K14" t="s">
        <v>708</v>
      </c>
      <c r="L14" t="s">
        <v>689</v>
      </c>
      <c r="M14" t="s">
        <v>701</v>
      </c>
      <c r="N14" t="s">
        <v>711</v>
      </c>
      <c r="O14" t="s">
        <v>706</v>
      </c>
      <c r="P14" t="s">
        <v>693</v>
      </c>
      <c r="Q14" t="s">
        <v>695</v>
      </c>
      <c r="R14" t="s">
        <v>710</v>
      </c>
      <c r="S14" t="s">
        <v>699</v>
      </c>
    </row>
    <row r="16" spans="1:19" ht="14.25" customHeight="1">
      <c r="B16" t="s">
        <v>4182</v>
      </c>
      <c r="C16" s="900">
        <f>DoB</f>
        <v>26133.384143518517</v>
      </c>
      <c r="D16" s="104">
        <f>DaysInYear</f>
        <v>365.25487268518202</v>
      </c>
      <c r="L16" s="29"/>
    </row>
    <row r="17" spans="1:17">
      <c r="A17" s="901"/>
      <c r="L17" s="29"/>
    </row>
    <row r="18" spans="1:17">
      <c r="A18" s="902" t="s">
        <v>4183</v>
      </c>
      <c r="B18" s="903">
        <v>1</v>
      </c>
      <c r="C18" s="903">
        <v>3</v>
      </c>
      <c r="D18" s="903">
        <v>4</v>
      </c>
      <c r="E18" s="903">
        <v>7</v>
      </c>
      <c r="F18" s="903">
        <v>9</v>
      </c>
      <c r="G18" s="903">
        <v>10</v>
      </c>
      <c r="H18" s="903">
        <v>12</v>
      </c>
      <c r="I18" s="903">
        <v>16</v>
      </c>
      <c r="J18" s="903">
        <v>20</v>
      </c>
      <c r="K18" s="903">
        <v>24</v>
      </c>
      <c r="L18" s="903">
        <v>27</v>
      </c>
      <c r="M18" s="903">
        <v>30</v>
      </c>
      <c r="N18" s="903">
        <v>40</v>
      </c>
      <c r="O18" s="903">
        <v>45</v>
      </c>
      <c r="P18" s="903">
        <v>60</v>
      </c>
      <c r="Q18" s="904" t="s">
        <v>4184</v>
      </c>
    </row>
    <row r="19" spans="1:17">
      <c r="A19" s="905" t="s">
        <v>157</v>
      </c>
      <c r="B19" s="906" t="str">
        <f>Basics!C7</f>
        <v>Le</v>
      </c>
      <c r="C19" s="907" t="str">
        <f>Basics!H58</f>
        <v>Sg</v>
      </c>
      <c r="D19" s="907" t="str">
        <f>Basics!J58</f>
        <v>Aq</v>
      </c>
      <c r="E19" s="907" t="str">
        <f>Basics!L58</f>
        <v>Sc</v>
      </c>
      <c r="F19" s="907" t="str">
        <f>Basics!N58</f>
        <v>Vi</v>
      </c>
      <c r="G19" s="907" t="str">
        <f>Basics!P58</f>
        <v>Ta</v>
      </c>
      <c r="H19" s="907" t="str">
        <f>Basics!R58</f>
        <v>Aq</v>
      </c>
      <c r="I19" s="908" t="s">
        <v>694</v>
      </c>
      <c r="J19" s="908" t="s">
        <v>711</v>
      </c>
      <c r="K19" s="908" t="s">
        <v>701</v>
      </c>
      <c r="L19" s="908"/>
      <c r="M19" s="908"/>
      <c r="N19" s="908"/>
      <c r="O19" s="908"/>
      <c r="P19" s="908"/>
      <c r="Q19" s="909" t="s">
        <v>701</v>
      </c>
    </row>
    <row r="20" spans="1:17">
      <c r="A20" s="905" t="s">
        <v>158</v>
      </c>
      <c r="B20" s="906" t="str">
        <f>Basics!C8</f>
        <v>Cn</v>
      </c>
      <c r="C20" s="907" t="str">
        <f>Basics!H59</f>
        <v>Cn</v>
      </c>
      <c r="D20" s="907" t="str">
        <f>Basics!J59</f>
        <v>Cn</v>
      </c>
      <c r="E20" s="907" t="str">
        <f>Basics!L59</f>
        <v>Cp</v>
      </c>
      <c r="F20" s="907" t="str">
        <f>Basics!N59</f>
        <v>Cn</v>
      </c>
      <c r="G20" s="907" t="str">
        <f>Basics!P59</f>
        <v>Li</v>
      </c>
      <c r="H20" s="907" t="str">
        <f>Basics!R59</f>
        <v>Cn</v>
      </c>
      <c r="I20" s="908" t="s">
        <v>710</v>
      </c>
      <c r="J20" s="908" t="s">
        <v>693</v>
      </c>
      <c r="K20" s="908" t="s">
        <v>699</v>
      </c>
      <c r="L20" s="908"/>
      <c r="M20" s="908"/>
      <c r="N20" s="908"/>
      <c r="O20" s="908"/>
      <c r="P20" s="908"/>
      <c r="Q20" s="909" t="s">
        <v>703</v>
      </c>
    </row>
    <row r="21" spans="1:17">
      <c r="A21" s="905" t="s">
        <v>159</v>
      </c>
      <c r="B21" s="906" t="str">
        <f>Basics!C9</f>
        <v>Ta</v>
      </c>
      <c r="C21" s="907" t="str">
        <f>Basics!H60</f>
        <v>Cp</v>
      </c>
      <c r="D21" s="907" t="str">
        <f>Basics!J60</f>
        <v>Aq</v>
      </c>
      <c r="E21" s="907" t="str">
        <f>Basics!L60</f>
        <v>Ar</v>
      </c>
      <c r="F21" s="907" t="str">
        <f>Basics!N60</f>
        <v>Cn</v>
      </c>
      <c r="G21" s="907" t="str">
        <f>Basics!P60</f>
        <v>Cn</v>
      </c>
      <c r="H21" s="907" t="str">
        <f>Basics!R60</f>
        <v>Aq</v>
      </c>
      <c r="I21" s="908" t="s">
        <v>701</v>
      </c>
      <c r="J21" s="908" t="s">
        <v>694</v>
      </c>
      <c r="K21" s="908" t="s">
        <v>709</v>
      </c>
      <c r="L21" s="908"/>
      <c r="M21" s="908"/>
      <c r="N21" s="908"/>
      <c r="O21" s="908"/>
      <c r="P21" s="908"/>
      <c r="Q21" s="909" t="s">
        <v>710</v>
      </c>
    </row>
    <row r="22" spans="1:17">
      <c r="A22" s="905" t="s">
        <v>160</v>
      </c>
      <c r="B22" s="906" t="str">
        <f>Basics!C10</f>
        <v>Cp</v>
      </c>
      <c r="C22" s="907" t="str">
        <f>Basics!H61</f>
        <v>Vi</v>
      </c>
      <c r="D22" s="907" t="str">
        <f>Basics!J61</f>
        <v>Li</v>
      </c>
      <c r="E22" s="907" t="str">
        <f>Basics!L61</f>
        <v>Cp</v>
      </c>
      <c r="F22" s="907" t="str">
        <f>Basics!N61</f>
        <v>Vi</v>
      </c>
      <c r="G22" s="907" t="str">
        <f>Basics!P61</f>
        <v>Cp</v>
      </c>
      <c r="H22" s="907" t="str">
        <f>Basics!R61</f>
        <v>Sg</v>
      </c>
      <c r="I22" s="908" t="s">
        <v>695</v>
      </c>
      <c r="J22" s="908" t="s">
        <v>710</v>
      </c>
      <c r="K22" s="908" t="s">
        <v>703</v>
      </c>
      <c r="L22" s="908"/>
      <c r="M22" s="908"/>
      <c r="N22" s="908"/>
      <c r="O22" s="908"/>
      <c r="P22" s="908"/>
      <c r="Q22" s="909" t="s">
        <v>699</v>
      </c>
    </row>
    <row r="23" spans="1:17">
      <c r="A23" s="905" t="s">
        <v>161</v>
      </c>
      <c r="B23" s="906" t="str">
        <f>Basics!C11</f>
        <v>Cn</v>
      </c>
      <c r="C23" s="907" t="str">
        <f>Basics!H62</f>
        <v>Pi</v>
      </c>
      <c r="D23" s="907" t="str">
        <f>Basics!J62</f>
        <v>Ar</v>
      </c>
      <c r="E23" s="907" t="str">
        <f>Basics!L62</f>
        <v>Cn</v>
      </c>
      <c r="F23" s="907" t="str">
        <f>Basics!N62</f>
        <v>Pi</v>
      </c>
      <c r="G23" s="907" t="str">
        <f>Basics!P62</f>
        <v>Cn</v>
      </c>
      <c r="H23" s="907" t="str">
        <f>Basics!R62</f>
        <v>Ta</v>
      </c>
      <c r="I23" s="908" t="s">
        <v>695</v>
      </c>
      <c r="J23" s="908" t="s">
        <v>710</v>
      </c>
      <c r="K23" s="908" t="s">
        <v>699</v>
      </c>
      <c r="L23" s="908"/>
      <c r="M23" s="908"/>
      <c r="N23" s="908"/>
      <c r="O23" s="908"/>
      <c r="P23" s="908"/>
      <c r="Q23" s="909" t="s">
        <v>701</v>
      </c>
    </row>
    <row r="24" spans="1:17">
      <c r="A24" s="905" t="s">
        <v>162</v>
      </c>
      <c r="B24" s="906" t="str">
        <f>Basics!C12</f>
        <v>Sc</v>
      </c>
      <c r="C24" s="907" t="str">
        <f>Basics!H63</f>
        <v>Sc</v>
      </c>
      <c r="D24" s="907" t="str">
        <f>Basics!J63</f>
        <v>Sc</v>
      </c>
      <c r="E24" s="907" t="str">
        <f>Basics!L63</f>
        <v>Ta</v>
      </c>
      <c r="F24" s="907" t="str">
        <f>Basics!N63</f>
        <v>Cn</v>
      </c>
      <c r="G24" s="907" t="str">
        <f>Basics!P63</f>
        <v>Cn</v>
      </c>
      <c r="H24" s="907" t="str">
        <f>Basics!R63</f>
        <v>Sg</v>
      </c>
      <c r="I24" s="908" t="s">
        <v>711</v>
      </c>
      <c r="J24" s="908" t="s">
        <v>699</v>
      </c>
      <c r="K24" s="908" t="s">
        <v>695</v>
      </c>
      <c r="L24" s="908"/>
      <c r="M24" s="908"/>
      <c r="N24" s="908"/>
      <c r="O24" s="908"/>
      <c r="P24" s="908"/>
      <c r="Q24" s="909" t="s">
        <v>689</v>
      </c>
    </row>
    <row r="25" spans="1:17">
      <c r="A25" s="905" t="s">
        <v>163</v>
      </c>
      <c r="B25" s="906" t="str">
        <f>Basics!C13</f>
        <v>Ge</v>
      </c>
      <c r="C25" s="907" t="str">
        <f>Basics!H64</f>
        <v>Aq</v>
      </c>
      <c r="D25" s="907" t="str">
        <f>Basics!J64</f>
        <v>Sg</v>
      </c>
      <c r="E25" s="907" t="str">
        <f>Basics!L64</f>
        <v>Sc</v>
      </c>
      <c r="F25" s="907" t="str">
        <f>Basics!N64</f>
        <v>Ar</v>
      </c>
      <c r="G25" s="907" t="str">
        <f>Basics!P64</f>
        <v>Vi</v>
      </c>
      <c r="H25" s="907" t="str">
        <f>Basics!R64</f>
        <v>Aq</v>
      </c>
      <c r="I25" s="908" t="s">
        <v>709</v>
      </c>
      <c r="J25" s="908" t="s">
        <v>710</v>
      </c>
      <c r="K25" s="908" t="s">
        <v>706</v>
      </c>
      <c r="L25" s="908"/>
      <c r="M25" s="908"/>
      <c r="N25" s="908"/>
      <c r="O25" s="908"/>
      <c r="P25" s="908"/>
      <c r="Q25" s="909" t="s">
        <v>695</v>
      </c>
    </row>
    <row r="26" spans="1:17">
      <c r="A26" s="905" t="s">
        <v>164</v>
      </c>
      <c r="B26" s="906" t="str">
        <f>Basics!C14</f>
        <v>Ta</v>
      </c>
      <c r="C26" s="907" t="str">
        <f>Basics!H65</f>
        <v>Ta</v>
      </c>
      <c r="D26" s="907" t="str">
        <f>Basics!J65</f>
        <v>Le</v>
      </c>
      <c r="E26" s="907" t="str">
        <f>Basics!L65</f>
        <v>Cp</v>
      </c>
      <c r="F26" s="907" t="str">
        <f>Basics!N65</f>
        <v>Pi</v>
      </c>
      <c r="G26" s="907" t="str">
        <f>Basics!P65</f>
        <v>Pi</v>
      </c>
      <c r="H26" s="907" t="str">
        <f>Basics!R65</f>
        <v>Le</v>
      </c>
      <c r="I26" s="908" t="s">
        <v>706</v>
      </c>
      <c r="J26" s="908" t="s">
        <v>695</v>
      </c>
      <c r="K26" s="908" t="s">
        <v>708</v>
      </c>
      <c r="L26" s="908"/>
      <c r="M26" s="908"/>
      <c r="N26" s="908"/>
      <c r="O26" s="908"/>
      <c r="P26" s="908"/>
      <c r="Q26" s="909" t="s">
        <v>693</v>
      </c>
    </row>
    <row r="27" spans="1:17">
      <c r="A27" s="905" t="s">
        <v>165</v>
      </c>
      <c r="B27" s="906" t="str">
        <f>Basics!C15</f>
        <v>Cp</v>
      </c>
      <c r="C27" s="907" t="str">
        <f>Basics!H66</f>
        <v>Vi</v>
      </c>
      <c r="D27" s="907" t="str">
        <f>Basics!J66</f>
        <v>Cn</v>
      </c>
      <c r="E27" s="907" t="str">
        <f>Basics!L66</f>
        <v>Sg</v>
      </c>
      <c r="F27" s="907" t="str">
        <f>Basics!N66</f>
        <v>Cn</v>
      </c>
      <c r="G27" s="907" t="str">
        <f>Basics!P66</f>
        <v>Sc</v>
      </c>
      <c r="H27" s="907" t="str">
        <f>Basics!R66</f>
        <v>Vi</v>
      </c>
      <c r="I27" s="908" t="s">
        <v>694</v>
      </c>
      <c r="J27" s="908" t="s">
        <v>695</v>
      </c>
      <c r="K27" s="908" t="s">
        <v>694</v>
      </c>
      <c r="L27" s="908"/>
      <c r="M27" s="908"/>
      <c r="N27" s="908"/>
      <c r="O27" s="908"/>
      <c r="P27" s="908"/>
      <c r="Q27" s="909" t="s">
        <v>699</v>
      </c>
    </row>
    <row r="28" spans="1:17">
      <c r="A28" s="905" t="s">
        <v>166</v>
      </c>
      <c r="B28" s="906" t="str">
        <f>Basics!C16</f>
        <v>Cn</v>
      </c>
      <c r="C28" s="907" t="str">
        <f>Basics!H67</f>
        <v>Pi</v>
      </c>
      <c r="D28" s="907" t="str">
        <f>Basics!J67</f>
        <v>Cp</v>
      </c>
      <c r="E28" s="907" t="str">
        <f>Basics!L67</f>
        <v>Ge</v>
      </c>
      <c r="F28" s="907" t="str">
        <f>Basics!N67</f>
        <v>Cp</v>
      </c>
      <c r="G28" s="907" t="str">
        <f>Basics!P67</f>
        <v>Ta</v>
      </c>
      <c r="H28" s="907" t="str">
        <f>Basics!R67</f>
        <v>Pi</v>
      </c>
      <c r="I28" s="908" t="s">
        <v>694</v>
      </c>
      <c r="J28" s="908" t="s">
        <v>695</v>
      </c>
      <c r="K28" s="908" t="s">
        <v>711</v>
      </c>
      <c r="L28" s="908"/>
      <c r="M28" s="908"/>
      <c r="N28" s="908"/>
      <c r="O28" s="908"/>
      <c r="P28" s="908"/>
      <c r="Q28" s="909" t="s">
        <v>701</v>
      </c>
    </row>
    <row r="29" spans="1:17">
      <c r="A29" s="905" t="s">
        <v>4185</v>
      </c>
      <c r="B29" s="908" t="s">
        <v>165</v>
      </c>
      <c r="C29" s="908" t="s">
        <v>164</v>
      </c>
      <c r="D29" s="908" t="s">
        <v>164</v>
      </c>
      <c r="E29" s="908" t="s">
        <v>164</v>
      </c>
      <c r="F29" s="908" t="s">
        <v>165</v>
      </c>
      <c r="G29" s="908" t="s">
        <v>165</v>
      </c>
      <c r="H29" s="908" t="s">
        <v>164</v>
      </c>
      <c r="I29" s="908" t="s">
        <v>164</v>
      </c>
      <c r="J29" s="908" t="s">
        <v>165</v>
      </c>
      <c r="K29" s="908" t="s">
        <v>164</v>
      </c>
      <c r="L29" s="908" t="s">
        <v>164</v>
      </c>
      <c r="M29" s="908" t="s">
        <v>164</v>
      </c>
      <c r="N29" s="908" t="s">
        <v>164</v>
      </c>
      <c r="O29" s="908" t="s">
        <v>164</v>
      </c>
      <c r="P29" s="908" t="s">
        <v>164</v>
      </c>
      <c r="Q29" s="909" t="s">
        <v>164</v>
      </c>
    </row>
    <row r="30" spans="1:17">
      <c r="A30" s="910" t="s">
        <v>4186</v>
      </c>
      <c r="B30" s="911" t="s">
        <v>166</v>
      </c>
      <c r="C30" s="911" t="s">
        <v>160</v>
      </c>
      <c r="D30" s="911" t="s">
        <v>160</v>
      </c>
      <c r="E30" s="911" t="s">
        <v>160</v>
      </c>
      <c r="F30" s="911" t="s">
        <v>160</v>
      </c>
      <c r="G30" s="911" t="s">
        <v>160</v>
      </c>
      <c r="H30" s="911" t="s">
        <v>160</v>
      </c>
      <c r="I30" s="911" t="s">
        <v>160</v>
      </c>
      <c r="J30" s="911" t="s">
        <v>160</v>
      </c>
      <c r="K30" s="911" t="s">
        <v>160</v>
      </c>
      <c r="L30" s="911" t="s">
        <v>160</v>
      </c>
      <c r="M30" s="911" t="s">
        <v>160</v>
      </c>
      <c r="N30" s="911" t="s">
        <v>160</v>
      </c>
      <c r="O30" s="911" t="s">
        <v>160</v>
      </c>
      <c r="P30" s="911" t="s">
        <v>160</v>
      </c>
      <c r="Q30" s="912" t="s">
        <v>160</v>
      </c>
    </row>
    <row r="31" spans="1:17">
      <c r="L31" s="29"/>
    </row>
    <row r="32" spans="1:17" ht="12.2" customHeight="1">
      <c r="A32" s="1365" t="s">
        <v>4187</v>
      </c>
      <c r="B32" s="1365"/>
      <c r="C32" s="1365"/>
      <c r="D32" s="1365"/>
      <c r="E32" s="1365"/>
      <c r="F32" s="1365"/>
      <c r="G32" s="1365"/>
      <c r="H32" s="1365"/>
      <c r="L32" s="29"/>
    </row>
    <row r="33" spans="1:19">
      <c r="L33" s="29"/>
    </row>
    <row r="34" spans="1:19">
      <c r="A34" s="913" t="s">
        <v>4188</v>
      </c>
      <c r="B34" s="914"/>
      <c r="C34" s="914"/>
      <c r="D34" s="914"/>
      <c r="E34" s="914"/>
      <c r="F34" s="914"/>
      <c r="G34" s="914"/>
      <c r="H34" s="914"/>
      <c r="I34" s="914"/>
      <c r="J34" s="914"/>
      <c r="K34" s="914"/>
      <c r="L34" s="915"/>
      <c r="M34" s="914"/>
      <c r="N34" s="914"/>
      <c r="O34" s="914"/>
      <c r="P34" s="914"/>
      <c r="Q34" s="914"/>
      <c r="R34" s="914"/>
      <c r="S34" s="914"/>
    </row>
    <row r="35" spans="1:19" s="194" customFormat="1">
      <c r="A35" s="1366" t="s">
        <v>4189</v>
      </c>
      <c r="B35" s="1366"/>
      <c r="C35" s="916">
        <v>9</v>
      </c>
      <c r="D35" s="917">
        <f>MATCH(C35,$18:$18,1)</f>
        <v>6</v>
      </c>
      <c r="H35" s="194" t="s">
        <v>4190</v>
      </c>
      <c r="I35" s="918" t="s">
        <v>4191</v>
      </c>
      <c r="N35" s="918"/>
    </row>
    <row r="36" spans="1:19" s="194" customFormat="1">
      <c r="A36" s="1366" t="s">
        <v>4192</v>
      </c>
      <c r="B36" s="1366"/>
      <c r="C36" s="919" t="s">
        <v>1006</v>
      </c>
      <c r="D36" s="920"/>
      <c r="E36" s="194" t="s">
        <v>4193</v>
      </c>
      <c r="F36" s="921" t="b">
        <f>FALSE()</f>
        <v>0</v>
      </c>
      <c r="G36" s="334"/>
      <c r="H36" s="922" t="b">
        <f>TRUE()</f>
        <v>1</v>
      </c>
      <c r="I36" s="923">
        <f>IF(F36,1-Basics!H8/30,Basics!H8/30)</f>
        <v>7.9973425925925934E-2</v>
      </c>
      <c r="J36" s="918"/>
      <c r="P36" s="918"/>
    </row>
    <row r="37" spans="1:19" s="194" customFormat="1">
      <c r="C37" s="918"/>
      <c r="E37" s="918"/>
      <c r="H37" s="918"/>
      <c r="I37" s="918"/>
      <c r="J37" s="918"/>
    </row>
    <row r="38" spans="1:19" s="194" customFormat="1" ht="45">
      <c r="A38" s="924" t="s">
        <v>4060</v>
      </c>
      <c r="B38" s="924" t="s">
        <v>807</v>
      </c>
      <c r="C38" s="924" t="s">
        <v>4194</v>
      </c>
      <c r="D38" s="924" t="s">
        <v>4195</v>
      </c>
      <c r="E38" s="924" t="s">
        <v>4196</v>
      </c>
      <c r="F38" s="924" t="s">
        <v>730</v>
      </c>
      <c r="G38" s="924" t="s">
        <v>805</v>
      </c>
      <c r="H38" s="924" t="s">
        <v>4197</v>
      </c>
      <c r="I38" s="918"/>
      <c r="J38" s="918"/>
    </row>
    <row r="39" spans="1:19" s="194" customFormat="1">
      <c r="A39" s="194" t="str">
        <f>VLOOKUP(C36,NDasaSeq,7,0)</f>
        <v>Pi</v>
      </c>
      <c r="B39" s="194">
        <f>VLOOKUP(A39,NDasaC,3,0)</f>
        <v>-1</v>
      </c>
      <c r="C39" s="925" t="e">
        <f>IF(MATCH(VLOOKUP(IF((A39="Aq"),VLOOKUP("AqLord",DivCharts,D35,0),IF((A39="Sc"),VLOOKUP("ScLord",DivCharts,D35,0),VLOOKUP(A39,RsInfo,9,0))),DivCharts,D35,0),RsTbl,0)=MATCH(VLOOKUP(IF((A39="Aq"),VLOOKUP("AqLord",DivCharts,D35,0),IF((A39="Sc"),VLOOKUP("ScLord",DivCharts,D35,0),VLOOKUP(A39,RsInfo,9,0))),PlanetData,8,0),RsTbl,0),1,IF(MATCH(VLOOKUP(IF((A39="Aq"),VLOOKUP("AqLord",DivCharts,D35,0),IF((A39="Sc"),VLOOKUP("ScLord",DivCharts,D35,0),VLOOKUP(A39,RsInfo,9,0))),DivCharts,D35,0),RsTbl,0)=MOD(MATCH(VLOOKUP(IF((A39="Aq"),VLOOKUP("AqLord",DivCharts,D35,0),IF((A39="Sc"),VLOOKUP("ScLord",DivCharts,D35,0),VLOOKUP(A39,RsInfo,9,0))),PlanetData,8,0),RsTbl,0)+6,12),-1,0))</f>
        <v>#N/A</v>
      </c>
      <c r="D39" s="925">
        <f>MOD((MATCH(VLOOKUP(IF((A39="Aq"),VLOOKUP("AqLord",DivCharts,D35,0),IF((A39="Sc"),VLOOKUP("ScLord",DivCharts,D35,0),VLOOKUP(A39,RsInfo,9,0))),DivCharts,D35,0),RsTbl,0)*B39)-(B39*MATCH(A39,RsTbl,0))+12,12)</f>
        <v>8</v>
      </c>
      <c r="E39" s="194" t="e">
        <f>ABS(IF(ISNA(MATCH((D39+C39),,0)),(D39+C39),12)+IF(F36,0,-12))*IF(H36,I36,1)</f>
        <v>#N/A</v>
      </c>
      <c r="F39" s="926">
        <f>NDDoB</f>
        <v>26133.384143518517</v>
      </c>
      <c r="G39" s="926" t="e">
        <f>F39+E39*NDDaysInYEar</f>
        <v>#N/A</v>
      </c>
      <c r="H39" s="927" t="str">
        <f>A39</f>
        <v>Pi</v>
      </c>
      <c r="I39" s="220" t="str">
        <f>INDEX(SignSym,MOD(B39+MATCH(H39,SignSym,0)-1,12)+1)</f>
        <v>Aq</v>
      </c>
      <c r="J39" s="220" t="str">
        <f>INDEX(SignSym,MOD(B39+MATCH(I39,SignSym,0)-1,12)+1)</f>
        <v>Cp</v>
      </c>
      <c r="K39" s="144" t="str">
        <f>INDEX(SignSym,MOD(B39+MATCH(J39,SignSym,0)-1,12)+1)</f>
        <v>Sg</v>
      </c>
      <c r="L39" s="219" t="str">
        <f>INDEX(SignSym,MOD(B39+MATCH(K39,SignSym,0)-1,12)+1)</f>
        <v>Sc</v>
      </c>
      <c r="M39" s="220" t="str">
        <f>INDEX(SignSym,MOD(B39+MATCH(L39,SignSym,0)-1,12)+1)</f>
        <v>Li</v>
      </c>
      <c r="N39" s="220" t="str">
        <f>INDEX(SignSym,MOD(B39+MATCH(M39,SignSym,0)-1,12)+1)</f>
        <v>Vi</v>
      </c>
      <c r="O39" s="144" t="str">
        <f>INDEX(SignSym,MOD(B39+MATCH(N39,SignSym,0)-1,12)+1)</f>
        <v>Le</v>
      </c>
      <c r="P39" s="219" t="str">
        <f>INDEX(SignSym,MOD(B39+MATCH(O39,SignSym,0)-1,12)+1)</f>
        <v>Cn</v>
      </c>
      <c r="Q39" s="220" t="str">
        <f>INDEX(SignSym,MOD(B39+MATCH(P39,SignSym,0)-1,12)+1)</f>
        <v>Ge</v>
      </c>
      <c r="R39" s="220" t="str">
        <f>INDEX(SignSym,MOD(B39+MATCH(Q39,SignSym,0)-1,12)+1)</f>
        <v>Ta</v>
      </c>
      <c r="S39" s="144" t="str">
        <f>INDEX(SignSym,MOD(B39+MATCH(R39,SignSym,0)-1,12)+1)</f>
        <v>Ar</v>
      </c>
    </row>
    <row r="40" spans="1:19" s="194" customFormat="1">
      <c r="C40" s="925"/>
      <c r="D40" s="925"/>
      <c r="F40" s="926"/>
      <c r="G40" s="926"/>
      <c r="H40" s="928">
        <f>F39</f>
        <v>26133.384143518517</v>
      </c>
      <c r="I40" s="929" t="e">
        <f>H40+(E39*NDDaysInYEar/12)</f>
        <v>#N/A</v>
      </c>
      <c r="J40" s="929" t="e">
        <f>I40+(E39*NDDaysInYEar/12)</f>
        <v>#N/A</v>
      </c>
      <c r="K40" s="930" t="e">
        <f>J40+(E39*NDDaysInYEar/12)</f>
        <v>#N/A</v>
      </c>
      <c r="L40" s="928" t="e">
        <f>K40+(E39*NDDaysInYEar/12)</f>
        <v>#N/A</v>
      </c>
      <c r="M40" s="929" t="e">
        <f>L40+(E39*NDDaysInYEar/12)</f>
        <v>#N/A</v>
      </c>
      <c r="N40" s="929" t="e">
        <f>M40+(E39*NDDaysInYEar/12)</f>
        <v>#N/A</v>
      </c>
      <c r="O40" s="930" t="e">
        <f>N40+(E39*NDDaysInYEar/12)</f>
        <v>#N/A</v>
      </c>
      <c r="P40" s="928" t="e">
        <f>O40+(E39*NDDaysInYEar/12)</f>
        <v>#N/A</v>
      </c>
      <c r="Q40" s="929" t="e">
        <f>P40+(E39*NDDaysInYEar/12)</f>
        <v>#N/A</v>
      </c>
      <c r="R40" s="929" t="e">
        <f>Q40+(E39*NDDaysInYEar/12)</f>
        <v>#N/A</v>
      </c>
      <c r="S40" s="930" t="e">
        <f>R40+(E39*NDDaysInYEar/12)</f>
        <v>#N/A</v>
      </c>
    </row>
    <row r="41" spans="1:19" s="194" customFormat="1">
      <c r="A41" s="194" t="str">
        <f>VLOOKUP(C36,NDasaSeq,8,0)</f>
        <v>Cn</v>
      </c>
      <c r="B41" s="194">
        <f>VLOOKUP(A41,NDasaC,3,0)</f>
        <v>-1</v>
      </c>
      <c r="C41" s="925" t="e">
        <f>IF(MATCH(VLOOKUP(IF((A41="Aq"),VLOOKUP("AqLord",DivCharts,D35,0),IF((A41="Sc"),VLOOKUP("ScLord",DivCharts,D35,0),VLOOKUP(A41,RsInfo,9,0))),DivCharts,D35,0),RsTbl,0)=MATCH(VLOOKUP(IF((A41="Aq"),VLOOKUP("AqLord",DivCharts,D35,0),IF((A41="Sc"),VLOOKUP("ScLord",DivCharts,D35,0),VLOOKUP(A41,RsInfo,9,0))),PlanetData,8,0),RsTbl,0),1,IF(MATCH(VLOOKUP(IF((A41="Aq"),VLOOKUP("AqLord",DivCharts,D35,0),IF((A41="Sc"),VLOOKUP("ScLord",DivCharts,D35,0),VLOOKUP(A41,RsInfo,9,0))),DivCharts,D35,0),RsTbl,0)=MOD(MATCH(VLOOKUP(IF((A41="Aq"),VLOOKUP("AqLord",DivCharts,D35,0),IF((A41="Sc"),VLOOKUP("ScLord",DivCharts,D35,0),VLOOKUP(A41,RsInfo,9,0))),PlanetData,8,0),RsTbl,0)+6,12),-1,0))</f>
        <v>#N/A</v>
      </c>
      <c r="D41" s="925">
        <f>MOD((MATCH(VLOOKUP(IF((A41="Aq"),VLOOKUP("AqLord",DivCharts,D35,0),IF((A41="Sc"),VLOOKUP("ScLord",DivCharts,D35,0),VLOOKUP(A41,RsInfo,9,0))),DivCharts,D35,0),RsTbl,0)*B41)-(B41*MATCH(A41,RsTbl,0))+12,12)</f>
        <v>0</v>
      </c>
      <c r="E41" s="194" t="e">
        <f>ABS(IF(ISNA(MATCH((D41+C41),,0)),(D41+C41),12)+IF(F36,0,-12))</f>
        <v>#N/A</v>
      </c>
      <c r="F41" s="926" t="e">
        <f>G39</f>
        <v>#N/A</v>
      </c>
      <c r="G41" s="926" t="e">
        <f>F41+E41*NDDaysInYEar</f>
        <v>#N/A</v>
      </c>
      <c r="H41" s="927" t="str">
        <f>A41</f>
        <v>Cn</v>
      </c>
      <c r="I41" s="220" t="str">
        <f>INDEX(SignSym,MOD(B41+MATCH(H41,SignSym,0)-1,12)+1)</f>
        <v>Ge</v>
      </c>
      <c r="J41" s="220" t="str">
        <f>INDEX(SignSym,MOD(B41+MATCH(I41,SignSym,0)-1,12)+1)</f>
        <v>Ta</v>
      </c>
      <c r="K41" s="144" t="str">
        <f>INDEX(SignSym,MOD(B41+MATCH(J41,SignSym,0)-1,12)+1)</f>
        <v>Ar</v>
      </c>
      <c r="L41" s="219" t="str">
        <f>INDEX(SignSym,MOD(B41+MATCH(K41,SignSym,0)-1,12)+1)</f>
        <v>Pi</v>
      </c>
      <c r="M41" s="220" t="str">
        <f>INDEX(SignSym,MOD(B41+MATCH(L41,SignSym,0)-1,12)+1)</f>
        <v>Aq</v>
      </c>
      <c r="N41" s="220" t="str">
        <f>INDEX(SignSym,MOD(B41+MATCH(M41,SignSym,0)-1,12)+1)</f>
        <v>Cp</v>
      </c>
      <c r="O41" s="144" t="str">
        <f>INDEX(SignSym,MOD(B41+MATCH(N41,SignSym,0)-1,12)+1)</f>
        <v>Sg</v>
      </c>
      <c r="P41" s="219" t="str">
        <f>INDEX(SignSym,MOD(B41+MATCH(O41,SignSym,0)-1,12)+1)</f>
        <v>Sc</v>
      </c>
      <c r="Q41" s="220" t="str">
        <f>INDEX(SignSym,MOD(B41+MATCH(P41,SignSym,0)-1,12)+1)</f>
        <v>Li</v>
      </c>
      <c r="R41" s="220" t="str">
        <f>INDEX(SignSym,MOD(B41+MATCH(Q41,SignSym,0)-1,12)+1)</f>
        <v>Vi</v>
      </c>
      <c r="S41" s="144" t="str">
        <f>INDEX(SignSym,MOD(B41+MATCH(R41,SignSym,0)-1,12)+1)</f>
        <v>Le</v>
      </c>
    </row>
    <row r="42" spans="1:19" s="194" customFormat="1">
      <c r="C42" s="925"/>
      <c r="D42" s="925"/>
      <c r="F42" s="926"/>
      <c r="G42" s="926"/>
      <c r="H42" s="928" t="e">
        <f>F41</f>
        <v>#N/A</v>
      </c>
      <c r="I42" s="929" t="e">
        <f>H42+(E41*NDDaysInYEar/12)</f>
        <v>#N/A</v>
      </c>
      <c r="J42" s="929" t="e">
        <f>I42+(E41*NDDaysInYEar/12)</f>
        <v>#N/A</v>
      </c>
      <c r="K42" s="930" t="e">
        <f>J42+(E41*NDDaysInYEar/12)</f>
        <v>#N/A</v>
      </c>
      <c r="L42" s="928" t="e">
        <f>K42+(E41*NDDaysInYEar/12)</f>
        <v>#N/A</v>
      </c>
      <c r="M42" s="929" t="e">
        <f>L42+(E41*NDDaysInYEar/12)</f>
        <v>#N/A</v>
      </c>
      <c r="N42" s="929" t="e">
        <f>M42+(E41*NDDaysInYEar/12)</f>
        <v>#N/A</v>
      </c>
      <c r="O42" s="930" t="e">
        <f>N42+(E41*NDDaysInYEar/12)</f>
        <v>#N/A</v>
      </c>
      <c r="P42" s="928" t="e">
        <f>O42+(E41*NDDaysInYEar/12)</f>
        <v>#N/A</v>
      </c>
      <c r="Q42" s="929" t="e">
        <f>P42+(E41*NDDaysInYEar/12)</f>
        <v>#N/A</v>
      </c>
      <c r="R42" s="929" t="e">
        <f>Q42+(E41*NDDaysInYEar/12)</f>
        <v>#N/A</v>
      </c>
      <c r="S42" s="930" t="e">
        <f>R42+(E41*NDDaysInYEar/12)</f>
        <v>#N/A</v>
      </c>
    </row>
    <row r="43" spans="1:19" s="194" customFormat="1">
      <c r="A43" s="194" t="str">
        <f>VLOOKUP(C36,NDasaSeq,9,0)</f>
        <v>Sc</v>
      </c>
      <c r="B43" s="194">
        <f>VLOOKUP(A43,NDasaC,3,0)</f>
        <v>1</v>
      </c>
      <c r="C43" s="925" t="e">
        <f>IF(MATCH(VLOOKUP(IF((A43="Aq"),VLOOKUP("AqLord",DivCharts,D35,0),IF((A43="Sc"),VLOOKUP("ScLord",DivCharts,D35,0),VLOOKUP(A43,RsInfo,9,0))),DivCharts,D35,0),RsTbl,0)=MATCH(VLOOKUP(IF((A43="Aq"),VLOOKUP("AqLord",DivCharts,D35,0),IF((A43="Sc"),VLOOKUP("ScLord",DivCharts,D35,0),VLOOKUP(A43,RsInfo,9,0))),PlanetData,8,0),RsTbl,0),1,IF(MATCH(VLOOKUP(IF((A43="Aq"),VLOOKUP("AqLord",DivCharts,D35,0),IF((A43="Sc"),VLOOKUP("ScLord",DivCharts,D35,0),VLOOKUP(A43,RsInfo,9,0))),DivCharts,D35,0),RsTbl,0)=MOD(MATCH(VLOOKUP(IF((A43="Aq"),VLOOKUP("AqLord",DivCharts,D35,0),IF((A43="Sc"),VLOOKUP("ScLord",DivCharts,D35,0),VLOOKUP(A43,RsInfo,9,0))),PlanetData,8,0),RsTbl,0)+6,12),-1,0))</f>
        <v>#N/A</v>
      </c>
      <c r="D43" s="925">
        <f>MOD((MATCH(VLOOKUP(IF((A43="Aq"),VLOOKUP("AqLord",DivCharts,D35,0),IF((A43="Sc"),VLOOKUP("ScLord",DivCharts,D35,0),VLOOKUP(A43,RsInfo,9,0))),DivCharts,D35,0),RsTbl,0)*B43)-(B43*MATCH(A43,RsTbl,0))+12,12)</f>
        <v>10</v>
      </c>
      <c r="E43" s="194" t="e">
        <f>ABS(IF(ISNA(MATCH((D43+C43),,0)),(D43+C43),12)+IF(F36,0,-12))</f>
        <v>#N/A</v>
      </c>
      <c r="F43" s="926" t="e">
        <f>G41</f>
        <v>#N/A</v>
      </c>
      <c r="G43" s="926" t="e">
        <f>F43+E43*NDDaysInYEar</f>
        <v>#N/A</v>
      </c>
      <c r="H43" s="927" t="str">
        <f>A43</f>
        <v>Sc</v>
      </c>
      <c r="I43" s="220" t="str">
        <f>INDEX(SignSym,MOD(B43+MATCH(H43,SignSym,0)-1,12)+1)</f>
        <v>Sg</v>
      </c>
      <c r="J43" s="220" t="str">
        <f>INDEX(SignSym,MOD(B43+MATCH(I43,SignSym,0)-1,12)+1)</f>
        <v>Cp</v>
      </c>
      <c r="K43" s="144" t="str">
        <f>INDEX(SignSym,MOD(B43+MATCH(J43,SignSym,0)-1,12)+1)</f>
        <v>Aq</v>
      </c>
      <c r="L43" s="219" t="str">
        <f>INDEX(SignSym,MOD(B43+MATCH(K43,SignSym,0)-1,12)+1)</f>
        <v>Pi</v>
      </c>
      <c r="M43" s="220" t="str">
        <f>INDEX(SignSym,MOD(B43+MATCH(L43,SignSym,0)-1,12)+1)</f>
        <v>Ar</v>
      </c>
      <c r="N43" s="220" t="str">
        <f>INDEX(SignSym,MOD(B43+MATCH(M43,SignSym,0)-1,12)+1)</f>
        <v>Ta</v>
      </c>
      <c r="O43" s="144" t="str">
        <f>INDEX(SignSym,MOD(B43+MATCH(N43,SignSym,0)-1,12)+1)</f>
        <v>Ge</v>
      </c>
      <c r="P43" s="219" t="str">
        <f>INDEX(SignSym,MOD(B43+MATCH(O43,SignSym,0)-1,12)+1)</f>
        <v>Cn</v>
      </c>
      <c r="Q43" s="220" t="str">
        <f>INDEX(SignSym,MOD(B43+MATCH(P43,SignSym,0)-1,12)+1)</f>
        <v>Le</v>
      </c>
      <c r="R43" s="220" t="str">
        <f>INDEX(SignSym,MOD(B43+MATCH(Q43,SignSym,0)-1,12)+1)</f>
        <v>Vi</v>
      </c>
      <c r="S43" s="144" t="str">
        <f>INDEX(SignSym,MOD(B43+MATCH(R43,SignSym,0)-1,12)+1)</f>
        <v>Li</v>
      </c>
    </row>
    <row r="44" spans="1:19" s="194" customFormat="1">
      <c r="C44" s="925"/>
      <c r="D44" s="925"/>
      <c r="F44" s="926"/>
      <c r="G44" s="926"/>
      <c r="H44" s="928" t="e">
        <f>F43</f>
        <v>#N/A</v>
      </c>
      <c r="I44" s="929" t="e">
        <f>H44+(E43*NDDaysInYEar/12)</f>
        <v>#N/A</v>
      </c>
      <c r="J44" s="929" t="e">
        <f>I44+(E43*NDDaysInYEar/12)</f>
        <v>#N/A</v>
      </c>
      <c r="K44" s="930" t="e">
        <f>J44+(E43*NDDaysInYEar/12)</f>
        <v>#N/A</v>
      </c>
      <c r="L44" s="928" t="e">
        <f>K44+(E43*NDDaysInYEar/12)</f>
        <v>#N/A</v>
      </c>
      <c r="M44" s="929" t="e">
        <f>L44+(E43*NDDaysInYEar/12)</f>
        <v>#N/A</v>
      </c>
      <c r="N44" s="929" t="e">
        <f>M44+(E43*NDDaysInYEar/12)</f>
        <v>#N/A</v>
      </c>
      <c r="O44" s="930" t="e">
        <f>N44+(E43*NDDaysInYEar/12)</f>
        <v>#N/A</v>
      </c>
      <c r="P44" s="928" t="e">
        <f>O44+(E43*NDDaysInYEar/12)</f>
        <v>#N/A</v>
      </c>
      <c r="Q44" s="929" t="e">
        <f>P44+(E43*NDDaysInYEar/12)</f>
        <v>#N/A</v>
      </c>
      <c r="R44" s="929" t="e">
        <f>Q44+(E43*NDDaysInYEar/12)</f>
        <v>#N/A</v>
      </c>
      <c r="S44" s="930" t="e">
        <f>R44+(E43*NDDaysInYEar/12)</f>
        <v>#N/A</v>
      </c>
    </row>
    <row r="45" spans="1:19" s="194" customFormat="1">
      <c r="A45" s="194" t="str">
        <f>VLOOKUP(C36,NDasaSeq,10,0)</f>
        <v>Sg</v>
      </c>
      <c r="B45" s="194">
        <f>VLOOKUP(A45,NDasaC,3,0)</f>
        <v>1</v>
      </c>
      <c r="C45" s="925" t="e">
        <f>IF(MATCH(VLOOKUP(IF((A45="Aq"),VLOOKUP("AqLord",DivCharts,D35,0),IF((A45="Sc"),VLOOKUP("ScLord",DivCharts,D35,0),VLOOKUP(A45,RsInfo,9,0))),DivCharts,D35,0),RsTbl,0)=MATCH(VLOOKUP(IF((A45="Aq"),VLOOKUP("AqLord",DivCharts,D35,0),IF((A45="Sc"),VLOOKUP("ScLord",DivCharts,D35,0),VLOOKUP(A45,RsInfo,9,0))),PlanetData,8,0),RsTbl,0),1,IF(MATCH(VLOOKUP(IF((A45="Aq"),VLOOKUP("AqLord",DivCharts,D35,0),IF((A45="Sc"),VLOOKUP("ScLord",DivCharts,D35,0),VLOOKUP(A45,RsInfo,9,0))),DivCharts,D35,0),RsTbl,0)=MOD(MATCH(VLOOKUP(IF((A45="Aq"),VLOOKUP("AqLord",DivCharts,D35,0),IF((A45="Sc"),VLOOKUP("ScLord",DivCharts,D35,0),VLOOKUP(A45,RsInfo,9,0))),PlanetData,8,0),RsTbl,0)+6,12),-1,0))</f>
        <v>#N/A</v>
      </c>
      <c r="D45" s="925">
        <f>MOD((MATCH(VLOOKUP(IF((A45="Aq"),VLOOKUP("AqLord",DivCharts,D35,0),IF((A45="Sc"),VLOOKUP("ScLord",DivCharts,D35,0),VLOOKUP(A45,RsInfo,9,0))),DivCharts,D35,0),RsTbl,0)*B45)-(B45*MATCH(A45,RsTbl,0))+12,12)</f>
        <v>7</v>
      </c>
      <c r="E45" s="194" t="e">
        <f>ABS(IF(ISNA(MATCH((D45+C45),,0)),(D45+C45),12)+IF(F36,0,-12))</f>
        <v>#N/A</v>
      </c>
      <c r="F45" s="926" t="e">
        <f>G43</f>
        <v>#N/A</v>
      </c>
      <c r="G45" s="926" t="e">
        <f>F45+E45*NDDaysInYEar</f>
        <v>#N/A</v>
      </c>
      <c r="H45" s="927" t="str">
        <f>A45</f>
        <v>Sg</v>
      </c>
      <c r="I45" s="220" t="str">
        <f>INDEX(SignSym,MOD(B45+MATCH(H45,SignSym,0)-1,12)+1)</f>
        <v>Cp</v>
      </c>
      <c r="J45" s="220" t="str">
        <f>INDEX(SignSym,MOD(B45+MATCH(I45,SignSym,0)-1,12)+1)</f>
        <v>Aq</v>
      </c>
      <c r="K45" s="144" t="str">
        <f>INDEX(SignSym,MOD(B45+MATCH(J45,SignSym,0)-1,12)+1)</f>
        <v>Pi</v>
      </c>
      <c r="L45" s="219" t="str">
        <f>INDEX(SignSym,MOD(B45+MATCH(K45,SignSym,0)-1,12)+1)</f>
        <v>Ar</v>
      </c>
      <c r="M45" s="220" t="str">
        <f>INDEX(SignSym,MOD(B45+MATCH(L45,SignSym,0)-1,12)+1)</f>
        <v>Ta</v>
      </c>
      <c r="N45" s="220" t="str">
        <f>INDEX(SignSym,MOD(B45+MATCH(M45,SignSym,0)-1,12)+1)</f>
        <v>Ge</v>
      </c>
      <c r="O45" s="144" t="str">
        <f>INDEX(SignSym,MOD(B45+MATCH(N45,SignSym,0)-1,12)+1)</f>
        <v>Cn</v>
      </c>
      <c r="P45" s="219" t="str">
        <f>INDEX(SignSym,MOD(B45+MATCH(O45,SignSym,0)-1,12)+1)</f>
        <v>Le</v>
      </c>
      <c r="Q45" s="220" t="str">
        <f>INDEX(SignSym,MOD(B45+MATCH(P45,SignSym,0)-1,12)+1)</f>
        <v>Vi</v>
      </c>
      <c r="R45" s="220" t="str">
        <f>INDEX(SignSym,MOD(B45+MATCH(Q45,SignSym,0)-1,12)+1)</f>
        <v>Li</v>
      </c>
      <c r="S45" s="144" t="str">
        <f>INDEX(SignSym,MOD(B45+MATCH(R45,SignSym,0)-1,12)+1)</f>
        <v>Sc</v>
      </c>
    </row>
    <row r="46" spans="1:19" s="194" customFormat="1">
      <c r="C46" s="925"/>
      <c r="D46" s="925"/>
      <c r="F46" s="926"/>
      <c r="G46" s="926"/>
      <c r="H46" s="928" t="e">
        <f>F45</f>
        <v>#N/A</v>
      </c>
      <c r="I46" s="929" t="e">
        <f>H46+(E45*NDDaysInYEar/12)</f>
        <v>#N/A</v>
      </c>
      <c r="J46" s="929" t="e">
        <f>I46+(E45*NDDaysInYEar/12)</f>
        <v>#N/A</v>
      </c>
      <c r="K46" s="930" t="e">
        <f>J46+(E45*NDDaysInYEar/12)</f>
        <v>#N/A</v>
      </c>
      <c r="L46" s="928" t="e">
        <f>K46+(E45*NDDaysInYEar/12)</f>
        <v>#N/A</v>
      </c>
      <c r="M46" s="929" t="e">
        <f>L46+(E45*NDDaysInYEar/12)</f>
        <v>#N/A</v>
      </c>
      <c r="N46" s="929" t="e">
        <f>M46+(E45*NDDaysInYEar/12)</f>
        <v>#N/A</v>
      </c>
      <c r="O46" s="930" t="e">
        <f>N46+(E45*NDDaysInYEar/12)</f>
        <v>#N/A</v>
      </c>
      <c r="P46" s="928" t="e">
        <f>O46+(E45*NDDaysInYEar/12)</f>
        <v>#N/A</v>
      </c>
      <c r="Q46" s="929" t="e">
        <f>P46+(E45*NDDaysInYEar/12)</f>
        <v>#N/A</v>
      </c>
      <c r="R46" s="929" t="e">
        <f>Q46+(E45*NDDaysInYEar/12)</f>
        <v>#N/A</v>
      </c>
      <c r="S46" s="930" t="e">
        <f>R46+(E45*NDDaysInYEar/12)</f>
        <v>#N/A</v>
      </c>
    </row>
    <row r="47" spans="1:19" s="194" customFormat="1">
      <c r="A47" s="194" t="str">
        <f>VLOOKUP(C36,NDasaSeq,11,0)</f>
        <v>Ar</v>
      </c>
      <c r="B47" s="194">
        <f>VLOOKUP(A47,NDasaC,3,0)</f>
        <v>1</v>
      </c>
      <c r="C47" s="925" t="e">
        <f>IF(MATCH(VLOOKUP(IF((A47="Aq"),VLOOKUP("AqLord",DivCharts,D35,0),IF((A47="Sc"),VLOOKUP("ScLord",DivCharts,D35,0),VLOOKUP(A47,RsInfo,9,0))),DivCharts,D35,0),RsTbl,0)=MATCH(VLOOKUP(IF((A47="Aq"),VLOOKUP("AqLord",DivCharts,D35,0),IF((A47="Sc"),VLOOKUP("ScLord",DivCharts,D35,0),VLOOKUP(A47,RsInfo,9,0))),PlanetData,8,0),RsTbl,0),1,IF(MATCH(VLOOKUP(IF((A47="Aq"),VLOOKUP("AqLord",DivCharts,D35,0),IF((A47="Sc"),VLOOKUP("ScLord",DivCharts,D35,0),VLOOKUP(A47,RsInfo,9,0))),DivCharts,D35,0),RsTbl,0)=MOD(MATCH(VLOOKUP(IF((A47="Aq"),VLOOKUP("AqLord",DivCharts,D35,0),IF((A47="Sc"),VLOOKUP("ScLord",DivCharts,D35,0),VLOOKUP(A47,RsInfo,9,0))),PlanetData,8,0),RsTbl,0)+6,12),-1,0))</f>
        <v>#N/A</v>
      </c>
      <c r="D47" s="925">
        <f>MOD((MATCH(VLOOKUP(IF((A47="Aq"),VLOOKUP("AqLord",DivCharts,D35,0),IF((A47="Sc"),VLOOKUP("ScLord",DivCharts,D35,0),VLOOKUP(A47,RsInfo,9,0))),DivCharts,D35,0),RsTbl,0)*B47)-(B47*MATCH(A47,RsTbl,0))+12,12)</f>
        <v>5</v>
      </c>
      <c r="E47" s="194" t="e">
        <f>ABS(IF(ISNA(MATCH((D47+C47),,0)),(D47+C47),12)+IF(F36,0,-12))</f>
        <v>#N/A</v>
      </c>
      <c r="F47" s="926" t="e">
        <f>G45</f>
        <v>#N/A</v>
      </c>
      <c r="G47" s="926" t="e">
        <f>F47+E47*NDDaysInYEar</f>
        <v>#N/A</v>
      </c>
      <c r="H47" s="927" t="s">
        <v>689</v>
      </c>
      <c r="I47" s="220" t="str">
        <f>INDEX(SignSym,MOD(B47+MATCH(H47,SignSym,0)-1,12)+1)</f>
        <v>Ta</v>
      </c>
      <c r="J47" s="220" t="str">
        <f>INDEX(SignSym,MOD(B47+MATCH(I47,SignSym,0)-1,12)+1)</f>
        <v>Ge</v>
      </c>
      <c r="K47" s="144" t="str">
        <f>INDEX(SignSym,MOD(B47+MATCH(J47,SignSym,0)-1,12)+1)</f>
        <v>Cn</v>
      </c>
      <c r="L47" s="219" t="str">
        <f>INDEX(SignSym,MOD(B47+MATCH(K47,SignSym,0)-1,12)+1)</f>
        <v>Le</v>
      </c>
      <c r="M47" s="220" t="str">
        <f>INDEX(SignSym,MOD(B47+MATCH(L47,SignSym,0)-1,12)+1)</f>
        <v>Vi</v>
      </c>
      <c r="N47" s="220" t="str">
        <f>INDEX(SignSym,MOD(B47+MATCH(M47,SignSym,0)-1,12)+1)</f>
        <v>Li</v>
      </c>
      <c r="O47" s="144" t="str">
        <f>INDEX(SignSym,MOD(B47+MATCH(N47,SignSym,0)-1,12)+1)</f>
        <v>Sc</v>
      </c>
      <c r="P47" s="219" t="str">
        <f>INDEX(SignSym,MOD(B47+MATCH(O47,SignSym,0)-1,12)+1)</f>
        <v>Sg</v>
      </c>
      <c r="Q47" s="220" t="str">
        <f>INDEX(SignSym,MOD(B47+MATCH(P47,SignSym,0)-1,12)+1)</f>
        <v>Cp</v>
      </c>
      <c r="R47" s="220" t="str">
        <f>INDEX(SignSym,MOD(B47+MATCH(Q47,SignSym,0)-1,12)+1)</f>
        <v>Aq</v>
      </c>
      <c r="S47" s="144" t="str">
        <f>INDEX(SignSym,MOD(B47+MATCH(R47,SignSym,0)-1,12)+1)</f>
        <v>Pi</v>
      </c>
    </row>
    <row r="48" spans="1:19" s="194" customFormat="1">
      <c r="C48" s="925"/>
      <c r="D48" s="925"/>
      <c r="F48" s="926"/>
      <c r="G48" s="926"/>
      <c r="H48" s="928" t="e">
        <f>F47</f>
        <v>#N/A</v>
      </c>
      <c r="I48" s="929" t="e">
        <f>H48+(E47*NDDaysInYEar/12)</f>
        <v>#N/A</v>
      </c>
      <c r="J48" s="929" t="e">
        <f>I48+(E47*NDDaysInYEar/12)</f>
        <v>#N/A</v>
      </c>
      <c r="K48" s="930" t="e">
        <f>J48+(E47*NDDaysInYEar/12)</f>
        <v>#N/A</v>
      </c>
      <c r="L48" s="928" t="e">
        <f>K48+(E47*NDDaysInYEar/12)</f>
        <v>#N/A</v>
      </c>
      <c r="M48" s="929" t="e">
        <f>L48+(E47*NDDaysInYEar/12)</f>
        <v>#N/A</v>
      </c>
      <c r="N48" s="929" t="e">
        <f>M48+(E47*NDDaysInYEar/12)</f>
        <v>#N/A</v>
      </c>
      <c r="O48" s="930" t="e">
        <f>N48+(E47*NDDaysInYEar/12)</f>
        <v>#N/A</v>
      </c>
      <c r="P48" s="928" t="e">
        <f>O48+(E47*NDDaysInYEar/12)</f>
        <v>#N/A</v>
      </c>
      <c r="Q48" s="929" t="e">
        <f>P48+(E47*NDDaysInYEar/12)</f>
        <v>#N/A</v>
      </c>
      <c r="R48" s="929" t="e">
        <f>Q48+(E47*NDDaysInYEar/12)</f>
        <v>#N/A</v>
      </c>
      <c r="S48" s="930" t="e">
        <f>R48+(E47*NDDaysInYEar/12)</f>
        <v>#N/A</v>
      </c>
    </row>
    <row r="49" spans="1:19" s="194" customFormat="1">
      <c r="A49" s="194" t="str">
        <f>VLOOKUP(C36,NDasaSeq,12,0)</f>
        <v>Le</v>
      </c>
      <c r="B49" s="194">
        <f>VLOOKUP(A49,NDasaC,3,0)</f>
        <v>-1</v>
      </c>
      <c r="C49" s="925" t="e">
        <f>IF(MATCH(VLOOKUP(IF((A49="Aq"),VLOOKUP("AqLord",DivCharts,D35,0),IF((A49="Sc"),VLOOKUP("ScLord",DivCharts,D35,0),VLOOKUP(A49,RsInfo,9,0))),DivCharts,D35,0),RsTbl,0)=MATCH(VLOOKUP(IF((A49="Aq"),VLOOKUP("AqLord",DivCharts,D35,0),IF((A49="Sc"),VLOOKUP("ScLord",DivCharts,D35,0),VLOOKUP(A49,RsInfo,9,0))),PlanetData,8,0),RsTbl,0),1,IF(MATCH(VLOOKUP(IF((A49="Aq"),VLOOKUP("AqLord",DivCharts,D35,0),IF((A49="Sc"),VLOOKUP("ScLord",DivCharts,D35,0),VLOOKUP(A49,RsInfo,9,0))),DivCharts,D35,0),RsTbl,0)=MOD(MATCH(VLOOKUP(IF((A49="Aq"),VLOOKUP("AqLord",DivCharts,D35,0),IF((A49="Sc"),VLOOKUP("ScLord",DivCharts,D35,0),VLOOKUP(A49,RsInfo,9,0))),PlanetData,8,0),RsTbl,0)+6,12),-1,0))</f>
        <v>#N/A</v>
      </c>
      <c r="D49" s="925">
        <f>MOD((MATCH(VLOOKUP(IF((A49="Aq"),VLOOKUP("AqLord",DivCharts,D35,0),IF((A49="Sc"),VLOOKUP("ScLord",DivCharts,D35,0),VLOOKUP(A49,RsInfo,9,0))),DivCharts,D35,0),RsTbl,0)*B49)-(B49*MATCH(A49,RsTbl,0))+12,12)</f>
        <v>1</v>
      </c>
      <c r="E49" s="194" t="e">
        <f>ABS(IF(ISNA(MATCH((D49+C49),,0)),(D49+C49),12)+IF(F36,0,-12))</f>
        <v>#N/A</v>
      </c>
      <c r="F49" s="926" t="e">
        <f>G47</f>
        <v>#N/A</v>
      </c>
      <c r="G49" s="926" t="e">
        <f>F49+E49*NDDaysInYEar</f>
        <v>#N/A</v>
      </c>
      <c r="H49" s="927" t="s">
        <v>703</v>
      </c>
      <c r="I49" s="220" t="str">
        <f>INDEX(SignSym,MOD(B49+MATCH(H49,SignSym,0)-1,12)+1)</f>
        <v>Ge</v>
      </c>
      <c r="J49" s="220" t="str">
        <f>INDEX(SignSym,MOD(B49+MATCH(I49,SignSym,0)-1,12)+1)</f>
        <v>Ta</v>
      </c>
      <c r="K49" s="144" t="str">
        <f>INDEX(SignSym,MOD(B49+MATCH(J49,SignSym,0)-1,12)+1)</f>
        <v>Ar</v>
      </c>
      <c r="L49" s="219" t="str">
        <f>INDEX(SignSym,MOD(B49+MATCH(K49,SignSym,0)-1,12)+1)</f>
        <v>Pi</v>
      </c>
      <c r="M49" s="220" t="str">
        <f>INDEX(SignSym,MOD(B49+MATCH(L49,SignSym,0)-1,12)+1)</f>
        <v>Aq</v>
      </c>
      <c r="N49" s="220" t="str">
        <f>INDEX(SignSym,MOD(B49+MATCH(M49,SignSym,0)-1,12)+1)</f>
        <v>Cp</v>
      </c>
      <c r="O49" s="144" t="str">
        <f>INDEX(SignSym,MOD(B49+MATCH(N49,SignSym,0)-1,12)+1)</f>
        <v>Sg</v>
      </c>
      <c r="P49" s="219" t="str">
        <f>INDEX(SignSym,MOD(B49+MATCH(O49,SignSym,0)-1,12)+1)</f>
        <v>Sc</v>
      </c>
      <c r="Q49" s="220" t="str">
        <f>INDEX(SignSym,MOD(B49+MATCH(P49,SignSym,0)-1,12)+1)</f>
        <v>Li</v>
      </c>
      <c r="R49" s="220" t="str">
        <f>INDEX(SignSym,MOD(B49+MATCH(Q49,SignSym,0)-1,12)+1)</f>
        <v>Vi</v>
      </c>
      <c r="S49" s="144" t="str">
        <f>INDEX(SignSym,MOD(B49+MATCH(R49,SignSym,0)-1,12)+1)</f>
        <v>Le</v>
      </c>
    </row>
    <row r="50" spans="1:19" s="194" customFormat="1">
      <c r="C50" s="925"/>
      <c r="D50" s="925"/>
      <c r="F50" s="926"/>
      <c r="G50" s="926"/>
      <c r="H50" s="928" t="e">
        <f>F49</f>
        <v>#N/A</v>
      </c>
      <c r="I50" s="929" t="e">
        <f>H50+(E49*NDDaysInYEar/12)</f>
        <v>#N/A</v>
      </c>
      <c r="J50" s="929" t="e">
        <f>I50+(E49*NDDaysInYEar/12)</f>
        <v>#N/A</v>
      </c>
      <c r="K50" s="930" t="e">
        <f>J50+(E49*NDDaysInYEar/12)</f>
        <v>#N/A</v>
      </c>
      <c r="L50" s="928" t="e">
        <f>K50+(E49*NDDaysInYEar/12)</f>
        <v>#N/A</v>
      </c>
      <c r="M50" s="929" t="e">
        <f>L50+(E49*NDDaysInYEar/12)</f>
        <v>#N/A</v>
      </c>
      <c r="N50" s="929" t="e">
        <f>M50+(E49*NDDaysInYEar/12)</f>
        <v>#N/A</v>
      </c>
      <c r="O50" s="930" t="e">
        <f>N50+(E49*NDDaysInYEar/12)</f>
        <v>#N/A</v>
      </c>
      <c r="P50" s="928" t="e">
        <f>O50+(E49*NDDaysInYEar/12)</f>
        <v>#N/A</v>
      </c>
      <c r="Q50" s="929" t="e">
        <f>P50+(E49*NDDaysInYEar/12)</f>
        <v>#N/A</v>
      </c>
      <c r="R50" s="929" t="e">
        <f>Q50+(E49*NDDaysInYEar/12)</f>
        <v>#N/A</v>
      </c>
      <c r="S50" s="930" t="e">
        <f>R50+(E49*NDDaysInYEar/12)</f>
        <v>#N/A</v>
      </c>
    </row>
    <row r="51" spans="1:19" s="194" customFormat="1">
      <c r="A51" s="194" t="str">
        <f>VLOOKUP(C36,NDasaSeq,13,0)</f>
        <v>Vi</v>
      </c>
      <c r="B51" s="194">
        <f>VLOOKUP(A51,NDasaC,3,0)</f>
        <v>-1</v>
      </c>
      <c r="C51" s="925" t="e">
        <f>IF(MATCH(VLOOKUP(IF((A51="Aq"),VLOOKUP("AqLord",DivCharts,D35,0),IF((A51="Sc"),VLOOKUP("ScLord",DivCharts,D35,0),VLOOKUP(A51,RsInfo,9,0))),DivCharts,D35,0),RsTbl,0)=MATCH(VLOOKUP(IF((A51="Aq"),VLOOKUP("AqLord",DivCharts,D35,0),IF((A51="Sc"),VLOOKUP("ScLord",DivCharts,D35,0),VLOOKUP(A51,RsInfo,9,0))),PlanetData,8,0),RsTbl,0),1,IF(MATCH(VLOOKUP(IF((A51="Aq"),VLOOKUP("AqLord",DivCharts,D35,0),IF((A51="Sc"),VLOOKUP("ScLord",DivCharts,D35,0),VLOOKUP(A51,RsInfo,9,0))),DivCharts,D35,0),RsTbl,0)=MOD(MATCH(VLOOKUP(IF((A51="Aq"),VLOOKUP("AqLord",DivCharts,D35,0),IF((A51="Sc"),VLOOKUP("ScLord",DivCharts,D35,0),VLOOKUP(A51,RsInfo,9,0))),PlanetData,8,0),RsTbl,0)+6,12),-1,0))</f>
        <v>#N/A</v>
      </c>
      <c r="D51" s="925">
        <f>MOD((MATCH(VLOOKUP(IF((A51="Aq"),VLOOKUP("AqLord",DivCharts,D35,0),IF((A51="Sc"),VLOOKUP("ScLord",DivCharts,D35,0),VLOOKUP(A51,RsInfo,9,0))),DivCharts,D35,0),RsTbl,0)*B51)-(B51*MATCH(A51,RsTbl,0))+12,12)</f>
        <v>6</v>
      </c>
      <c r="E51" s="194" t="e">
        <f>ABS(IF(ISNA(MATCH((D51+C51),,0)),(D51+C51),12)+IF(F36,0,-12))</f>
        <v>#N/A</v>
      </c>
      <c r="F51" s="926" t="e">
        <f>G49</f>
        <v>#N/A</v>
      </c>
      <c r="G51" s="926" t="e">
        <f>F51+E51*NDDaysInYEar</f>
        <v>#N/A</v>
      </c>
      <c r="H51" s="927" t="s">
        <v>699</v>
      </c>
      <c r="I51" s="220" t="str">
        <f>INDEX(SignSym,MOD(B51+MATCH(H51,SignSym,0)-1,12)+1)</f>
        <v>Cp</v>
      </c>
      <c r="J51" s="220" t="str">
        <f>INDEX(SignSym,MOD(B51+MATCH(I51,SignSym,0)-1,12)+1)</f>
        <v>Sg</v>
      </c>
      <c r="K51" s="144" t="str">
        <f>INDEX(SignSym,MOD(B51+MATCH(J51,SignSym,0)-1,12)+1)</f>
        <v>Sc</v>
      </c>
      <c r="L51" s="219" t="str">
        <f>INDEX(SignSym,MOD(B51+MATCH(K51,SignSym,0)-1,12)+1)</f>
        <v>Li</v>
      </c>
      <c r="M51" s="220" t="str">
        <f>INDEX(SignSym,MOD(B51+MATCH(L51,SignSym,0)-1,12)+1)</f>
        <v>Vi</v>
      </c>
      <c r="N51" s="220" t="str">
        <f>INDEX(SignSym,MOD(B51+MATCH(M51,SignSym,0)-1,12)+1)</f>
        <v>Le</v>
      </c>
      <c r="O51" s="144" t="str">
        <f>INDEX(SignSym,MOD(B51+MATCH(N51,SignSym,0)-1,12)+1)</f>
        <v>Cn</v>
      </c>
      <c r="P51" s="219" t="str">
        <f>INDEX(SignSym,MOD(B51+MATCH(O51,SignSym,0)-1,12)+1)</f>
        <v>Ge</v>
      </c>
      <c r="Q51" s="220" t="str">
        <f>INDEX(SignSym,MOD(B51+MATCH(P51,SignSym,0)-1,12)+1)</f>
        <v>Ta</v>
      </c>
      <c r="R51" s="220" t="str">
        <f>INDEX(SignSym,MOD(B51+MATCH(Q51,SignSym,0)-1,12)+1)</f>
        <v>Ar</v>
      </c>
      <c r="S51" s="144" t="str">
        <f>INDEX(SignSym,MOD(B51+MATCH(R51,SignSym,0)-1,12)+1)</f>
        <v>Pi</v>
      </c>
    </row>
    <row r="52" spans="1:19" s="194" customFormat="1">
      <c r="C52" s="925"/>
      <c r="D52" s="925"/>
      <c r="F52" s="926"/>
      <c r="G52" s="926"/>
      <c r="H52" s="928" t="e">
        <f>F51</f>
        <v>#N/A</v>
      </c>
      <c r="I52" s="929" t="e">
        <f>H52+(E51*NDDaysInYEar/12)</f>
        <v>#N/A</v>
      </c>
      <c r="J52" s="929" t="e">
        <f>I52+(E51*NDDaysInYEar/12)</f>
        <v>#N/A</v>
      </c>
      <c r="K52" s="930" t="e">
        <f>J52+(E51*NDDaysInYEar/12)</f>
        <v>#N/A</v>
      </c>
      <c r="L52" s="928" t="e">
        <f>K52+(E51*NDDaysInYEar/12)</f>
        <v>#N/A</v>
      </c>
      <c r="M52" s="929" t="e">
        <f>L52+(E51*NDDaysInYEar/12)</f>
        <v>#N/A</v>
      </c>
      <c r="N52" s="929" t="e">
        <f>M52+(E51*NDDaysInYEar/12)</f>
        <v>#N/A</v>
      </c>
      <c r="O52" s="930" t="e">
        <f>N52+(E51*NDDaysInYEar/12)</f>
        <v>#N/A</v>
      </c>
      <c r="P52" s="928" t="e">
        <f>O52+(E51*NDDaysInYEar/12)</f>
        <v>#N/A</v>
      </c>
      <c r="Q52" s="929" t="e">
        <f>P52+(E51*NDDaysInYEar/12)</f>
        <v>#N/A</v>
      </c>
      <c r="R52" s="929" t="e">
        <f>Q52+(E51*NDDaysInYEar/12)</f>
        <v>#N/A</v>
      </c>
      <c r="S52" s="930" t="e">
        <f>R52+(E51*NDDaysInYEar/12)</f>
        <v>#N/A</v>
      </c>
    </row>
    <row r="53" spans="1:19" s="194" customFormat="1">
      <c r="A53" s="194" t="str">
        <f>VLOOKUP(C36,NDasaSeq,14,0)</f>
        <v>Cp</v>
      </c>
      <c r="B53" s="194">
        <f>VLOOKUP(A53,NDasaC,3,0)</f>
        <v>-1</v>
      </c>
      <c r="C53" s="925" t="e">
        <f>IF(MATCH(VLOOKUP(IF((A53="Aq"),VLOOKUP("AqLord",DivCharts,D35,0),IF((A53="Sc"),VLOOKUP("ScLord",DivCharts,D35,0),VLOOKUP(A53,RsInfo,9,0))),DivCharts,D35,0),RsTbl,0)=MATCH(VLOOKUP(IF((A53="Aq"),VLOOKUP("AqLord",DivCharts,D35,0),IF((A53="Sc"),VLOOKUP("ScLord",DivCharts,D35,0),VLOOKUP(A53,RsInfo,9,0))),PlanetData,8,0),RsTbl,0),1,IF(MATCH(VLOOKUP(IF((A53="Aq"),VLOOKUP("AqLord",DivCharts,D35,0),IF((A53="Sc"),VLOOKUP("ScLord",DivCharts,D35,0),VLOOKUP(A53,RsInfo,9,0))),DivCharts,D35,0),RsTbl,0)=MOD(MATCH(VLOOKUP(IF((A53="Aq"),VLOOKUP("AqLord",DivCharts,D35,0),IF((A53="Sc"),VLOOKUP("ScLord",DivCharts,D35,0),VLOOKUP(A53,RsInfo,9,0))),PlanetData,8,0),RsTbl,0)+6,12),-1,0))</f>
        <v>#N/A</v>
      </c>
      <c r="D53" s="925">
        <f>MOD((MATCH(VLOOKUP(IF((A53="Aq"),VLOOKUP("AqLord",DivCharts,D35,0),IF((A53="Sc"),VLOOKUP("ScLord",DivCharts,D35,0),VLOOKUP(A53,RsInfo,9,0))),DivCharts,D35,0),RsTbl,0)*B53)-(B53*MATCH(A53,RsTbl,0))+12,12)</f>
        <v>10</v>
      </c>
      <c r="E53" s="194" t="e">
        <f>ABS(IF(ISNA(MATCH((D53+C53),,0)),(D53+C53),12)+IF(F36,0,-12))</f>
        <v>#N/A</v>
      </c>
      <c r="F53" s="926" t="e">
        <f>G51</f>
        <v>#N/A</v>
      </c>
      <c r="G53" s="926" t="e">
        <f>F53+E53*NDDaysInYEar</f>
        <v>#N/A</v>
      </c>
      <c r="H53" s="927" t="s">
        <v>693</v>
      </c>
      <c r="I53" s="220" t="str">
        <f>INDEX(SignSym,MOD(B53+MATCH(H53,SignSym,0)-1,12)+1)</f>
        <v>Ar</v>
      </c>
      <c r="J53" s="220" t="str">
        <f>INDEX(SignSym,MOD(B53+MATCH(I53,SignSym,0)-1,12)+1)</f>
        <v>Pi</v>
      </c>
      <c r="K53" s="144" t="str">
        <f>INDEX(SignSym,MOD(B53+MATCH(J53,SignSym,0)-1,12)+1)</f>
        <v>Aq</v>
      </c>
      <c r="L53" s="219" t="str">
        <f>INDEX(SignSym,MOD(B53+MATCH(K53,SignSym,0)-1,12)+1)</f>
        <v>Cp</v>
      </c>
      <c r="M53" s="220" t="str">
        <f>INDEX(SignSym,MOD(B53+MATCH(L53,SignSym,0)-1,12)+1)</f>
        <v>Sg</v>
      </c>
      <c r="N53" s="220" t="str">
        <f>INDEX(SignSym,MOD(B53+MATCH(M53,SignSym,0)-1,12)+1)</f>
        <v>Sc</v>
      </c>
      <c r="O53" s="144" t="str">
        <f>INDEX(SignSym,MOD(B53+MATCH(N53,SignSym,0)-1,12)+1)</f>
        <v>Li</v>
      </c>
      <c r="P53" s="219" t="str">
        <f>INDEX(SignSym,MOD(B53+MATCH(O53,SignSym,0)-1,12)+1)</f>
        <v>Vi</v>
      </c>
      <c r="Q53" s="220" t="str">
        <f>INDEX(SignSym,MOD(B53+MATCH(P53,SignSym,0)-1,12)+1)</f>
        <v>Le</v>
      </c>
      <c r="R53" s="220" t="str">
        <f>INDEX(SignSym,MOD(B53+MATCH(Q53,SignSym,0)-1,12)+1)</f>
        <v>Cn</v>
      </c>
      <c r="S53" s="144" t="str">
        <f>INDEX(SignSym,MOD(B53+MATCH(R53,SignSym,0)-1,12)+1)</f>
        <v>Ge</v>
      </c>
    </row>
    <row r="54" spans="1:19" s="194" customFormat="1">
      <c r="C54" s="925"/>
      <c r="D54" s="925"/>
      <c r="F54" s="926"/>
      <c r="G54" s="926"/>
      <c r="H54" s="928" t="e">
        <f>F53</f>
        <v>#N/A</v>
      </c>
      <c r="I54" s="929" t="e">
        <f>H54+(E53*NDDaysInYEar/12)</f>
        <v>#N/A</v>
      </c>
      <c r="J54" s="929" t="e">
        <f>I54+(E53*NDDaysInYEar/12)</f>
        <v>#N/A</v>
      </c>
      <c r="K54" s="930" t="e">
        <f>J54+(E53*NDDaysInYEar/12)</f>
        <v>#N/A</v>
      </c>
      <c r="L54" s="928" t="e">
        <f>K54+(E53*NDDaysInYEar/12)</f>
        <v>#N/A</v>
      </c>
      <c r="M54" s="929" t="e">
        <f>L54+(E53*NDDaysInYEar/12)</f>
        <v>#N/A</v>
      </c>
      <c r="N54" s="929" t="e">
        <f>M54+(E53*NDDaysInYEar/12)</f>
        <v>#N/A</v>
      </c>
      <c r="O54" s="930" t="e">
        <f>N54+(E53*NDDaysInYEar/12)</f>
        <v>#N/A</v>
      </c>
      <c r="P54" s="928" t="e">
        <f>O54+(E53*NDDaysInYEar/12)</f>
        <v>#N/A</v>
      </c>
      <c r="Q54" s="929" t="e">
        <f>P54+(E53*NDDaysInYEar/12)</f>
        <v>#N/A</v>
      </c>
      <c r="R54" s="929" t="e">
        <f>Q54+(E53*NDDaysInYEar/12)</f>
        <v>#N/A</v>
      </c>
      <c r="S54" s="930" t="e">
        <f>R54+(E53*NDDaysInYEar/12)</f>
        <v>#N/A</v>
      </c>
    </row>
    <row r="55" spans="1:19" s="194" customFormat="1">
      <c r="A55" s="194" t="str">
        <f>VLOOKUP(C36,NDasaSeq,15,0)</f>
        <v>Ta</v>
      </c>
      <c r="B55" s="194">
        <f>VLOOKUP(A55,NDasaC,3,0)</f>
        <v>1</v>
      </c>
      <c r="C55" s="925" t="e">
        <f>IF(MATCH(VLOOKUP(IF((A55="Aq"),VLOOKUP("AqLord",DivCharts,D35,0),IF((A55="Sc"),VLOOKUP("ScLord",DivCharts,D35,0),VLOOKUP(A55,RsInfo,9,0))),DivCharts,D35,0),RsTbl,0)=MATCH(VLOOKUP(IF((A55="Aq"),VLOOKUP("AqLord",DivCharts,D35,0),IF((A55="Sc"),VLOOKUP("ScLord",DivCharts,D35,0),VLOOKUP(A55,RsInfo,9,0))),PlanetData,8,0),RsTbl,0),1,IF(MATCH(VLOOKUP(IF((A55="Aq"),VLOOKUP("AqLord",DivCharts,D35,0),IF((A55="Sc"),VLOOKUP("ScLord",DivCharts,D35,0),VLOOKUP(A55,RsInfo,9,0))),DivCharts,D35,0),RsTbl,0)=MOD(MATCH(VLOOKUP(IF((A55="Aq"),VLOOKUP("AqLord",DivCharts,D35,0),IF((A55="Sc"),VLOOKUP("ScLord",DivCharts,D35,0),VLOOKUP(A55,RsInfo,9,0))),PlanetData,8,0),RsTbl,0)+6,12),-1,0))</f>
        <v>#N/A</v>
      </c>
      <c r="D55" s="925">
        <f>MOD((MATCH(VLOOKUP(IF((A55="Aq"),VLOOKUP("AqLord",DivCharts,D35,0),IF((A55="Sc"),VLOOKUP("ScLord",DivCharts,D35,0),VLOOKUP(A55,RsInfo,9,0))),DivCharts,D35,0),RsTbl,0)*B55)-(B55*MATCH(A55,RsTbl,0))+12,12)</f>
        <v>11</v>
      </c>
      <c r="E55" s="194" t="e">
        <f>ABS(IF(ISNA(MATCH((D55+C55),,0)),(D55+C55),12)+IF(F36,0,-12))</f>
        <v>#N/A</v>
      </c>
      <c r="F55" s="926" t="e">
        <f>G53</f>
        <v>#N/A</v>
      </c>
      <c r="G55" s="926" t="e">
        <f>F55+E55*NDDaysInYEar</f>
        <v>#N/A</v>
      </c>
      <c r="H55" s="927" t="str">
        <f>A55</f>
        <v>Ta</v>
      </c>
      <c r="I55" s="220" t="str">
        <f>INDEX(SignSym,MOD(B55+MATCH(H55,SignSym,0)-1,12)+1)</f>
        <v>Ge</v>
      </c>
      <c r="J55" s="220" t="str">
        <f>INDEX(SignSym,MOD(B55+MATCH(I55,SignSym,0)-1,12)+1)</f>
        <v>Cn</v>
      </c>
      <c r="K55" s="144" t="str">
        <f>INDEX(SignSym,MOD(B55+MATCH(J55,SignSym,0)-1,12)+1)</f>
        <v>Le</v>
      </c>
      <c r="L55" s="219" t="str">
        <f>INDEX(SignSym,MOD(B55+MATCH(K55,SignSym,0)-1,12)+1)</f>
        <v>Vi</v>
      </c>
      <c r="M55" s="220" t="str">
        <f>INDEX(SignSym,MOD(B55+MATCH(L55,SignSym,0)-1,12)+1)</f>
        <v>Li</v>
      </c>
      <c r="N55" s="220" t="str">
        <f>INDEX(SignSym,MOD(B55+MATCH(M55,SignSym,0)-1,12)+1)</f>
        <v>Sc</v>
      </c>
      <c r="O55" s="144" t="str">
        <f>INDEX(SignSym,MOD(B55+MATCH(N55,SignSym,0)-1,12)+1)</f>
        <v>Sg</v>
      </c>
      <c r="P55" s="219" t="str">
        <f>INDEX(SignSym,MOD(B55+MATCH(O55,SignSym,0)-1,12)+1)</f>
        <v>Cp</v>
      </c>
      <c r="Q55" s="220" t="str">
        <f>INDEX(SignSym,MOD(B55+MATCH(P55,SignSym,0)-1,12)+1)</f>
        <v>Aq</v>
      </c>
      <c r="R55" s="220" t="str">
        <f>INDEX(SignSym,MOD(B55+MATCH(Q55,SignSym,0)-1,12)+1)</f>
        <v>Pi</v>
      </c>
      <c r="S55" s="144" t="str">
        <f>INDEX(SignSym,MOD(B55+MATCH(R55,SignSym,0)-1,12)+1)</f>
        <v>Ar</v>
      </c>
    </row>
    <row r="56" spans="1:19" s="194" customFormat="1">
      <c r="C56" s="925"/>
      <c r="D56" s="925"/>
      <c r="F56" s="926"/>
      <c r="G56" s="926"/>
      <c r="H56" s="928" t="e">
        <f>F55</f>
        <v>#N/A</v>
      </c>
      <c r="I56" s="929" t="e">
        <f>H56+(E55*NDDaysInYEar/12)</f>
        <v>#N/A</v>
      </c>
      <c r="J56" s="929" t="e">
        <f>I56+(E55*NDDaysInYEar/12)</f>
        <v>#N/A</v>
      </c>
      <c r="K56" s="930" t="e">
        <f>J56+(E55*NDDaysInYEar/12)</f>
        <v>#N/A</v>
      </c>
      <c r="L56" s="928" t="e">
        <f>K56+(E55*NDDaysInYEar/12)</f>
        <v>#N/A</v>
      </c>
      <c r="M56" s="929" t="e">
        <f>L56+(E55*NDDaysInYEar/12)</f>
        <v>#N/A</v>
      </c>
      <c r="N56" s="929" t="e">
        <f>M56+(E55*NDDaysInYEar/12)</f>
        <v>#N/A</v>
      </c>
      <c r="O56" s="930" t="e">
        <f>N56+(E55*NDDaysInYEar/12)</f>
        <v>#N/A</v>
      </c>
      <c r="P56" s="928" t="e">
        <f>O56+(E55*NDDaysInYEar/12)</f>
        <v>#N/A</v>
      </c>
      <c r="Q56" s="929" t="e">
        <f>P56+(E55*NDDaysInYEar/12)</f>
        <v>#N/A</v>
      </c>
      <c r="R56" s="929" t="e">
        <f>Q56+(E55*NDDaysInYEar/12)</f>
        <v>#N/A</v>
      </c>
      <c r="S56" s="930" t="e">
        <f>R56+(E55*NDDaysInYEar/12)</f>
        <v>#N/A</v>
      </c>
    </row>
    <row r="57" spans="1:19" s="194" customFormat="1">
      <c r="A57" s="194" t="str">
        <f>VLOOKUP(C36,NDasaSeq,16,0)</f>
        <v>Ge</v>
      </c>
      <c r="B57" s="194">
        <f>VLOOKUP(A57,NDasaC,3,0)</f>
        <v>1</v>
      </c>
      <c r="C57" s="925" t="e">
        <f>IF(MATCH(VLOOKUP(IF((A57="Aq"),VLOOKUP("AqLord",DivCharts,D35,0),IF((A57="Sc"),VLOOKUP("ScLord",DivCharts,D35,0),VLOOKUP(A57,RsInfo,9,0))),DivCharts,D35,0),RsTbl,0)=MATCH(VLOOKUP(IF((A57="Aq"),VLOOKUP("AqLord",DivCharts,D35,0),IF((A57="Sc"),VLOOKUP("ScLord",DivCharts,D35,0),VLOOKUP(A57,RsInfo,9,0))),PlanetData,8,0),RsTbl,0),1,IF(MATCH(VLOOKUP(IF((A57="Aq"),VLOOKUP("AqLord",DivCharts,D35,0),IF((A57="Sc"),VLOOKUP("ScLord",DivCharts,D35,0),VLOOKUP(A57,RsInfo,9,0))),DivCharts,D35,0),RsTbl,0)=MOD(MATCH(VLOOKUP(IF((A57="Aq"),VLOOKUP("AqLord",DivCharts,D35,0),IF((A57="Sc"),VLOOKUP("ScLord",DivCharts,D35,0),VLOOKUP(A57,RsInfo,9,0))),PlanetData,8,0),RsTbl,0)+6,12),-1,0))</f>
        <v>#N/A</v>
      </c>
      <c r="D57" s="925">
        <f>MOD((MATCH(VLOOKUP(IF((A57="Aq"),VLOOKUP("AqLord",DivCharts,D35,0),IF((A57="Sc"),VLOOKUP("ScLord",DivCharts,D35,0),VLOOKUP(A57,RsInfo,9,0))),DivCharts,D35,0),RsTbl,0)*B57)-(B57*MATCH(A57,RsTbl,0))+12,12)</f>
        <v>9</v>
      </c>
      <c r="E57" s="194" t="e">
        <f>ABS(IF(ISNA(MATCH((D57+C57),,0)),(D57+C57),12)+IF(F36,0,-12))</f>
        <v>#N/A</v>
      </c>
      <c r="F57" s="926" t="e">
        <f>G55</f>
        <v>#N/A</v>
      </c>
      <c r="G57" s="926" t="e">
        <f>F57+E57*NDDaysInYEar</f>
        <v>#N/A</v>
      </c>
      <c r="H57" s="927" t="str">
        <f>A57</f>
        <v>Ge</v>
      </c>
      <c r="I57" s="220" t="str">
        <f>INDEX(SignSym,MOD(B57+MATCH(H57,SignSym,0)-1,12)+1)</f>
        <v>Cn</v>
      </c>
      <c r="J57" s="220" t="str">
        <f>INDEX(SignSym,MOD(B57+MATCH(I57,SignSym,0)-1,12)+1)</f>
        <v>Le</v>
      </c>
      <c r="K57" s="144" t="str">
        <f>INDEX(SignSym,MOD(B57+MATCH(J57,SignSym,0)-1,12)+1)</f>
        <v>Vi</v>
      </c>
      <c r="L57" s="219" t="str">
        <f>INDEX(SignSym,MOD(B57+MATCH(K57,SignSym,0)-1,12)+1)</f>
        <v>Li</v>
      </c>
      <c r="M57" s="220" t="str">
        <f>INDEX(SignSym,MOD(B57+MATCH(L57,SignSym,0)-1,12)+1)</f>
        <v>Sc</v>
      </c>
      <c r="N57" s="220" t="str">
        <f>INDEX(SignSym,MOD(B57+MATCH(M57,SignSym,0)-1,12)+1)</f>
        <v>Sg</v>
      </c>
      <c r="O57" s="144" t="str">
        <f>INDEX(SignSym,MOD(B57+MATCH(N57,SignSym,0)-1,12)+1)</f>
        <v>Cp</v>
      </c>
      <c r="P57" s="219" t="str">
        <f>INDEX(SignSym,MOD(B57+MATCH(O57,SignSym,0)-1,12)+1)</f>
        <v>Aq</v>
      </c>
      <c r="Q57" s="220" t="str">
        <f>INDEX(SignSym,MOD(B57+MATCH(P57,SignSym,0)-1,12)+1)</f>
        <v>Pi</v>
      </c>
      <c r="R57" s="220" t="str">
        <f>INDEX(SignSym,MOD(B57+MATCH(Q57,SignSym,0)-1,12)+1)</f>
        <v>Ar</v>
      </c>
      <c r="S57" s="144" t="str">
        <f>INDEX(SignSym,MOD(B57+MATCH(R57,SignSym,0)-1,12)+1)</f>
        <v>Ta</v>
      </c>
    </row>
    <row r="58" spans="1:19" s="194" customFormat="1">
      <c r="C58" s="925"/>
      <c r="D58" s="925"/>
      <c r="F58" s="926"/>
      <c r="G58" s="926"/>
      <c r="H58" s="928" t="e">
        <f>F57</f>
        <v>#N/A</v>
      </c>
      <c r="I58" s="929" t="e">
        <f>H58+(E57*NDDaysInYEar/12)</f>
        <v>#N/A</v>
      </c>
      <c r="J58" s="929" t="e">
        <f>I58+(E57*NDDaysInYEar/12)</f>
        <v>#N/A</v>
      </c>
      <c r="K58" s="930" t="e">
        <f>J58+(E57*NDDaysInYEar/12)</f>
        <v>#N/A</v>
      </c>
      <c r="L58" s="928" t="e">
        <f>K58+(E57*NDDaysInYEar/12)</f>
        <v>#N/A</v>
      </c>
      <c r="M58" s="929" t="e">
        <f>L58+(E57*NDDaysInYEar/12)</f>
        <v>#N/A</v>
      </c>
      <c r="N58" s="929" t="e">
        <f>M58+(E57*NDDaysInYEar/12)</f>
        <v>#N/A</v>
      </c>
      <c r="O58" s="930" t="e">
        <f>N58+(E57*NDDaysInYEar/12)</f>
        <v>#N/A</v>
      </c>
      <c r="P58" s="928" t="e">
        <f>O58+(E57*NDDaysInYEar/12)</f>
        <v>#N/A</v>
      </c>
      <c r="Q58" s="929" t="e">
        <f>P58+(E57*NDDaysInYEar/12)</f>
        <v>#N/A</v>
      </c>
      <c r="R58" s="929" t="e">
        <f>Q58+(E57*NDDaysInYEar/12)</f>
        <v>#N/A</v>
      </c>
      <c r="S58" s="930" t="e">
        <f>R58+(E57*NDDaysInYEar/12)</f>
        <v>#N/A</v>
      </c>
    </row>
    <row r="59" spans="1:19" s="194" customFormat="1">
      <c r="A59" s="194" t="str">
        <f>VLOOKUP(C36,NDasaSeq,17,0)</f>
        <v>Li</v>
      </c>
      <c r="B59" s="194">
        <f>VLOOKUP(A59,NDasaC,3,0)</f>
        <v>1</v>
      </c>
      <c r="C59" s="925" t="e">
        <f>IF(MATCH(VLOOKUP(IF((A59="Aq"),VLOOKUP("AqLord",DivCharts,D35,0),IF((A59="Sc"),VLOOKUP("ScLord",DivCharts,D35,0),VLOOKUP(A59,RsInfo,9,0))),DivCharts,D35,0),RsTbl,0)=MATCH(VLOOKUP(IF((A59="Aq"),VLOOKUP("AqLord",DivCharts,D35,0),IF((A59="Sc"),VLOOKUP("ScLord",DivCharts,D35,0),VLOOKUP(A59,RsInfo,9,0))),PlanetData,8,0),RsTbl,0),1,IF(MATCH(VLOOKUP(IF((A59="Aq"),VLOOKUP("AqLord",DivCharts,D35,0),IF((A59="Sc"),VLOOKUP("ScLord",DivCharts,D35,0),VLOOKUP(A59,RsInfo,9,0))),DivCharts,D35,0),RsTbl,0)=MOD(MATCH(VLOOKUP(IF((A59="Aq"),VLOOKUP("AqLord",DivCharts,D35,0),IF((A59="Sc"),VLOOKUP("ScLord",DivCharts,D35,0),VLOOKUP(A59,RsInfo,9,0))),PlanetData,8,0),RsTbl,0)+6,12),-1,0))</f>
        <v>#N/A</v>
      </c>
      <c r="D59" s="925">
        <f>MOD((MATCH(VLOOKUP(IF((A59="Aq"),VLOOKUP("AqLord",DivCharts,D35,0),IF((A59="Sc"),VLOOKUP("ScLord",DivCharts,D35,0),VLOOKUP(A59,RsInfo,9,0))),DivCharts,D35,0),RsTbl,0)*B59)-(B59*MATCH(A59,RsTbl,0))+12,12)</f>
        <v>6</v>
      </c>
      <c r="E59" s="194" t="e">
        <f>ABS(IF(ISNA(MATCH((D59+C59),,0)),(D59+C59),12)+IF(F36,0,-12))</f>
        <v>#N/A</v>
      </c>
      <c r="F59" s="926" t="e">
        <f>G57</f>
        <v>#N/A</v>
      </c>
      <c r="G59" s="926" t="e">
        <f>F59+E59*NDDaysInYEar</f>
        <v>#N/A</v>
      </c>
      <c r="H59" s="927" t="str">
        <f>A59</f>
        <v>Li</v>
      </c>
      <c r="I59" s="220" t="str">
        <f>INDEX(SignSym,MOD(B59+MATCH(H59,SignSym,0)-1,12)+1)</f>
        <v>Sc</v>
      </c>
      <c r="J59" s="220" t="str">
        <f>INDEX(SignSym,MOD(B59+MATCH(I59,SignSym,0)-1,12)+1)</f>
        <v>Sg</v>
      </c>
      <c r="K59" s="144" t="str">
        <f>INDEX(SignSym,MOD(B59+MATCH(J59,SignSym,0)-1,12)+1)</f>
        <v>Cp</v>
      </c>
      <c r="L59" s="219" t="str">
        <f>INDEX(SignSym,MOD(B59+MATCH(K59,SignSym,0)-1,12)+1)</f>
        <v>Aq</v>
      </c>
      <c r="M59" s="220" t="str">
        <f>INDEX(SignSym,MOD(B59+MATCH(L59,SignSym,0)-1,12)+1)</f>
        <v>Pi</v>
      </c>
      <c r="N59" s="220" t="str">
        <f>INDEX(SignSym,MOD(B59+MATCH(M59,SignSym,0)-1,12)+1)</f>
        <v>Ar</v>
      </c>
      <c r="O59" s="144" t="str">
        <f>INDEX(SignSym,MOD(B59+MATCH(N59,SignSym,0)-1,12)+1)</f>
        <v>Ta</v>
      </c>
      <c r="P59" s="219" t="str">
        <f>INDEX(SignSym,MOD(B59+MATCH(O59,SignSym,0)-1,12)+1)</f>
        <v>Ge</v>
      </c>
      <c r="Q59" s="220" t="str">
        <f>INDEX(SignSym,MOD(B59+MATCH(P59,SignSym,0)-1,12)+1)</f>
        <v>Cn</v>
      </c>
      <c r="R59" s="220" t="str">
        <f>INDEX(SignSym,MOD(B59+MATCH(Q59,SignSym,0)-1,12)+1)</f>
        <v>Le</v>
      </c>
      <c r="S59" s="144" t="str">
        <f>INDEX(SignSym,MOD(B59+MATCH(R59,SignSym,0)-1,12)+1)</f>
        <v>Vi</v>
      </c>
    </row>
    <row r="60" spans="1:19" s="194" customFormat="1">
      <c r="C60" s="925"/>
      <c r="D60" s="925"/>
      <c r="F60" s="926"/>
      <c r="G60" s="926"/>
      <c r="H60" s="928" t="e">
        <f>F59</f>
        <v>#N/A</v>
      </c>
      <c r="I60" s="929" t="e">
        <f>H60+(E59*NDDaysInYEar/12)</f>
        <v>#N/A</v>
      </c>
      <c r="J60" s="929" t="e">
        <f>I60+(E59*NDDaysInYEar/12)</f>
        <v>#N/A</v>
      </c>
      <c r="K60" s="930" t="e">
        <f>J60+(E59*NDDaysInYEar/12)</f>
        <v>#N/A</v>
      </c>
      <c r="L60" s="928" t="e">
        <f>K60+(E59*NDDaysInYEar/12)</f>
        <v>#N/A</v>
      </c>
      <c r="M60" s="929" t="e">
        <f>L60+(E59*NDDaysInYEar/12)</f>
        <v>#N/A</v>
      </c>
      <c r="N60" s="929" t="e">
        <f>M60+(E59*NDDaysInYEar/12)</f>
        <v>#N/A</v>
      </c>
      <c r="O60" s="930" t="e">
        <f>N60+(E59*NDDaysInYEar/12)</f>
        <v>#N/A</v>
      </c>
      <c r="P60" s="928" t="e">
        <f>O60+(E59*NDDaysInYEar/12)</f>
        <v>#N/A</v>
      </c>
      <c r="Q60" s="929" t="e">
        <f>P60+(E59*NDDaysInYEar/12)</f>
        <v>#N/A</v>
      </c>
      <c r="R60" s="929" t="e">
        <f>Q60+(E59*NDDaysInYEar/12)</f>
        <v>#N/A</v>
      </c>
      <c r="S60" s="930" t="e">
        <f>R60+(E59*NDDaysInYEar/12)</f>
        <v>#N/A</v>
      </c>
    </row>
    <row r="61" spans="1:19" s="194" customFormat="1">
      <c r="A61" s="194" t="str">
        <f>VLOOKUP(C36,NDasaSeq,18,0)</f>
        <v>Aq</v>
      </c>
      <c r="B61" s="194">
        <f>VLOOKUP(A61,NDasaC,3,0)</f>
        <v>-1</v>
      </c>
      <c r="C61" s="925" t="e">
        <f>IF(MATCH(VLOOKUP(IF((A61="Aq"),VLOOKUP("AqLord",DivCharts,D35,0),IF((A61="Sc"),VLOOKUP("ScLord",DivCharts,D35,0),VLOOKUP(A61,RsInfo,9,0))),DivCharts,D35,0),RsTbl,0)=MATCH(VLOOKUP(IF((A61="Aq"),VLOOKUP("AqLord",DivCharts,D35,0),IF((A61="Sc"),VLOOKUP("ScLord",DivCharts,D35,0),VLOOKUP(A61,RsInfo,9,0))),PlanetData,8,0),RsTbl,0),1,IF(MATCH(VLOOKUP(IF((A61="Aq"),VLOOKUP("AqLord",DivCharts,D35,0),IF((A61="Sc"),VLOOKUP("ScLord",DivCharts,D35,0),VLOOKUP(A61,RsInfo,9,0))),DivCharts,D35,0),RsTbl,0)=MOD(MATCH(VLOOKUP(IF((A61="Aq"),VLOOKUP("AqLord",DivCharts,D35,0),IF((A61="Sc"),VLOOKUP("ScLord",DivCharts,D35,0),VLOOKUP(A61,RsInfo,9,0))),PlanetData,8,0),RsTbl,0)+6,12),-1,0))</f>
        <v>#N/A</v>
      </c>
      <c r="D61" s="925">
        <f>MOD((MATCH(VLOOKUP(IF((A61="Aq"),VLOOKUP("AqLord",DivCharts,D35,0),IF((A61="Sc"),VLOOKUP("ScLord",DivCharts,D35,0),VLOOKUP(A61,RsInfo,9,0))),DivCharts,D35,0),RsTbl,0)*B61)-(B61*MATCH(A61,RsTbl,0))+12,12)</f>
        <v>7</v>
      </c>
      <c r="E61" s="194" t="e">
        <f>ABS(IF(ISNA(MATCH((D61+C61),,0)),(D61+C61),12)+IF(F36,0,-12))</f>
        <v>#N/A</v>
      </c>
      <c r="F61" s="926" t="e">
        <f>G59</f>
        <v>#N/A</v>
      </c>
      <c r="G61" s="926" t="e">
        <f>F61+E61*NDDaysInYEar</f>
        <v>#N/A</v>
      </c>
      <c r="H61" s="927" t="str">
        <f>A61</f>
        <v>Aq</v>
      </c>
      <c r="I61" s="220" t="str">
        <f>INDEX(SignSym,MOD(B61+MATCH(H61,SignSym,0)-1,12)+1)</f>
        <v>Cp</v>
      </c>
      <c r="J61" s="220" t="str">
        <f>INDEX(SignSym,MOD(B61+MATCH(I61,SignSym,0)-1,12)+1)</f>
        <v>Sg</v>
      </c>
      <c r="K61" s="144" t="str">
        <f>INDEX(SignSym,MOD(B61+MATCH(J61,SignSym,0)-1,12)+1)</f>
        <v>Sc</v>
      </c>
      <c r="L61" s="219" t="str">
        <f>INDEX(SignSym,MOD(B61+MATCH(K61,SignSym,0)-1,12)+1)</f>
        <v>Li</v>
      </c>
      <c r="M61" s="220" t="str">
        <f>INDEX(SignSym,MOD(B61+MATCH(L61,SignSym,0)-1,12)+1)</f>
        <v>Vi</v>
      </c>
      <c r="N61" s="220" t="str">
        <f>INDEX(SignSym,MOD(B61+MATCH(M61,SignSym,0)-1,12)+1)</f>
        <v>Le</v>
      </c>
      <c r="O61" s="144" t="str">
        <f>INDEX(SignSym,MOD(B61+MATCH(N61,SignSym,0)-1,12)+1)</f>
        <v>Cn</v>
      </c>
      <c r="P61" s="219" t="str">
        <f>INDEX(SignSym,MOD(B61+MATCH(O61,SignSym,0)-1,12)+1)</f>
        <v>Ge</v>
      </c>
      <c r="Q61" s="220" t="str">
        <f>INDEX(SignSym,MOD(B61+MATCH(P61,SignSym,0)-1,12)+1)</f>
        <v>Ta</v>
      </c>
      <c r="R61" s="220" t="str">
        <f>INDEX(SignSym,MOD(B61+MATCH(Q61,SignSym,0)-1,12)+1)</f>
        <v>Ar</v>
      </c>
      <c r="S61" s="144" t="str">
        <f>INDEX(SignSym,MOD(B61+MATCH(R61,SignSym,0)-1,12)+1)</f>
        <v>Pi</v>
      </c>
    </row>
    <row r="62" spans="1:19" s="194" customFormat="1">
      <c r="D62" s="925"/>
      <c r="F62" s="926"/>
      <c r="G62" s="926"/>
      <c r="H62" s="928" t="e">
        <f>F61</f>
        <v>#N/A</v>
      </c>
      <c r="I62" s="929" t="e">
        <f>H62+(E61*NDDaysInYEar/12)</f>
        <v>#N/A</v>
      </c>
      <c r="J62" s="929" t="e">
        <f>I62+(E61*NDDaysInYEar/12)</f>
        <v>#N/A</v>
      </c>
      <c r="K62" s="930" t="e">
        <f>J62+(E61*NDDaysInYEar/12)</f>
        <v>#N/A</v>
      </c>
      <c r="L62" s="928" t="e">
        <f>K62+(E61*NDDaysInYEar/12)</f>
        <v>#N/A</v>
      </c>
      <c r="M62" s="929" t="e">
        <f>L62+(E61*NDDaysInYEar/12)</f>
        <v>#N/A</v>
      </c>
      <c r="N62" s="929" t="e">
        <f>M62+(E61*NDDaysInYEar/12)</f>
        <v>#N/A</v>
      </c>
      <c r="O62" s="930" t="e">
        <f>N62+(E61*NDDaysInYEar/12)</f>
        <v>#N/A</v>
      </c>
      <c r="P62" s="928" t="e">
        <f>O62+(E61*NDDaysInYEar/12)</f>
        <v>#N/A</v>
      </c>
      <c r="Q62" s="929" t="e">
        <f>P62+(E61*NDDaysInYEar/12)</f>
        <v>#N/A</v>
      </c>
      <c r="R62" s="929" t="e">
        <f>Q62+(E61*NDDaysInYEar/12)</f>
        <v>#N/A</v>
      </c>
      <c r="S62" s="930" t="e">
        <f>R62+(E61*NDDaysInYEar/12)</f>
        <v>#N/A</v>
      </c>
    </row>
    <row r="63" spans="1:19" s="194" customFormat="1">
      <c r="A63" s="931"/>
      <c r="B63" s="931"/>
      <c r="C63" s="931"/>
      <c r="D63" s="931"/>
      <c r="E63" s="931"/>
      <c r="F63" s="931"/>
      <c r="G63" s="931"/>
      <c r="H63" s="931"/>
      <c r="I63" s="931"/>
      <c r="J63" s="931"/>
      <c r="K63" s="931"/>
      <c r="L63" s="931"/>
      <c r="M63" s="931"/>
      <c r="N63" s="931"/>
      <c r="O63" s="931"/>
      <c r="P63" s="931"/>
      <c r="Q63" s="931"/>
      <c r="R63" s="931"/>
      <c r="S63" s="931"/>
    </row>
    <row r="64" spans="1:19" s="194" customFormat="1" hidden="1">
      <c r="H64" s="932"/>
      <c r="I64" s="932"/>
      <c r="J64" s="932"/>
      <c r="K64" s="932"/>
      <c r="L64" s="932"/>
      <c r="M64" s="932"/>
      <c r="N64" s="932"/>
      <c r="O64" s="932"/>
      <c r="P64" s="932"/>
      <c r="Q64" s="932"/>
      <c r="R64" s="932"/>
      <c r="S64" s="932"/>
    </row>
    <row r="65" spans="1:19" s="194" customFormat="1"/>
    <row r="66" spans="1:19" s="214" customFormat="1" ht="12.75">
      <c r="A66" s="933" t="s">
        <v>4198</v>
      </c>
    </row>
    <row r="67" spans="1:19" s="194" customFormat="1" hidden="1">
      <c r="H67" s="932"/>
      <c r="I67" s="932"/>
      <c r="J67" s="932"/>
      <c r="K67" s="932"/>
      <c r="L67" s="932"/>
      <c r="M67" s="932"/>
      <c r="N67" s="932"/>
      <c r="O67" s="932"/>
      <c r="P67" s="932"/>
      <c r="Q67" s="932"/>
      <c r="R67" s="932"/>
      <c r="S67" s="932"/>
    </row>
    <row r="68" spans="1:19">
      <c r="L68" s="29"/>
    </row>
    <row r="69" spans="1:19">
      <c r="A69" s="913" t="s">
        <v>4188</v>
      </c>
      <c r="B69" s="914"/>
      <c r="C69" s="914"/>
      <c r="D69" s="914"/>
      <c r="E69" s="914"/>
      <c r="F69" s="914"/>
      <c r="G69" s="914"/>
      <c r="H69" s="914"/>
      <c r="I69" s="914"/>
      <c r="J69" s="914"/>
      <c r="K69" s="914"/>
      <c r="L69" s="915"/>
      <c r="M69" s="914"/>
      <c r="N69" s="914"/>
      <c r="O69" s="914"/>
      <c r="P69" s="914"/>
      <c r="Q69" s="914"/>
      <c r="R69" s="914"/>
      <c r="S69" s="914"/>
    </row>
    <row r="70" spans="1:19" s="194" customFormat="1">
      <c r="A70" s="1366" t="s">
        <v>4189</v>
      </c>
      <c r="B70" s="1366"/>
      <c r="C70" s="916">
        <v>9</v>
      </c>
      <c r="D70" s="917">
        <f>MATCH(C70,$18:$18,1)</f>
        <v>6</v>
      </c>
      <c r="I70" s="918"/>
      <c r="N70" s="918"/>
    </row>
    <row r="71" spans="1:19" s="194" customFormat="1">
      <c r="A71" s="1366" t="s">
        <v>4192</v>
      </c>
      <c r="B71" s="1366"/>
      <c r="C71" s="919" t="s">
        <v>1006</v>
      </c>
      <c r="D71" s="920"/>
      <c r="H71" s="918"/>
      <c r="I71" s="918"/>
      <c r="J71" s="918"/>
      <c r="P71" s="918"/>
    </row>
    <row r="72" spans="1:19" s="194" customFormat="1">
      <c r="C72" s="918"/>
      <c r="E72" s="918"/>
      <c r="H72" s="918"/>
      <c r="I72" s="918"/>
      <c r="J72" s="918"/>
    </row>
    <row r="73" spans="1:19" s="194" customFormat="1">
      <c r="A73" s="934" t="s">
        <v>4060</v>
      </c>
      <c r="B73" s="934" t="s">
        <v>807</v>
      </c>
      <c r="C73" s="934" t="s">
        <v>4194</v>
      </c>
      <c r="D73" s="934" t="s">
        <v>4195</v>
      </c>
      <c r="E73" s="934" t="s">
        <v>400</v>
      </c>
      <c r="F73" s="934" t="s">
        <v>730</v>
      </c>
      <c r="G73" s="934" t="s">
        <v>805</v>
      </c>
      <c r="H73" s="934" t="s">
        <v>4197</v>
      </c>
      <c r="I73" s="918"/>
      <c r="J73" s="918"/>
    </row>
    <row r="74" spans="1:19" s="194" customFormat="1">
      <c r="A74" s="194" t="str">
        <f>VLOOKUP(C71,NDasaSeq,7,0)</f>
        <v>Pi</v>
      </c>
      <c r="B74" s="194">
        <f>VLOOKUP(A74,NDasaC,3,0)</f>
        <v>-1</v>
      </c>
      <c r="C74" s="925" t="e">
        <f>IF(MATCH(VLOOKUP(IF((A74="Aq"),VLOOKUP("AqLord",DivCharts,D70,0),IF((A74="Sc"),VLOOKUP("ScLord",DivCharts,D70,0),VLOOKUP(A74,RsInfo,9,0))),DivCharts,D70,0),RsTbl,0)=MATCH(VLOOKUP(IF((A74="Aq"),VLOOKUP("AqLord",DivCharts,D70,0),IF((A74="Sc"),VLOOKUP("ScLord",DivCharts,D70,0),VLOOKUP(A74,RsInfo,9,0))),PlanetData,8,0),RsTbl,0),1,IF(MATCH(VLOOKUP(IF((A74="Aq"),VLOOKUP("AqLord",DivCharts,D70,0),IF((A74="Sc"),VLOOKUP("ScLord",DivCharts,D70,0),VLOOKUP(A74,RsInfo,9,0))),DivCharts,D70,0),RsTbl,0)=MOD(MATCH(VLOOKUP(IF((A74="Aq"),VLOOKUP("AqLord",DivCharts,D70,0),IF((A74="Sc"),VLOOKUP("ScLord",DivCharts,D70,0),VLOOKUP(A74,RsInfo,9,0))),PlanetData,8,0),RsTbl,0)+6,12),-1,0))</f>
        <v>#N/A</v>
      </c>
      <c r="D74" s="925">
        <f>MOD((MATCH(VLOOKUP(IF((A74="Aq"),VLOOKUP("AqLord",DivCharts,D70,0),IF((A74="Sc"),VLOOKUP("ScLord",DivCharts,D70,0),VLOOKUP(A74,RsInfo,9,0))),DivCharts,D70,0),RsTbl,0)*B74)-(B74*MATCH(A74,RsTbl,0))+12,12)</f>
        <v>8</v>
      </c>
      <c r="E74" s="194" t="e">
        <f>IF(ISNA(MATCH((D74+C74),,0)),(D74+C74),12)</f>
        <v>#N/A</v>
      </c>
      <c r="F74" s="932">
        <f>NDDoB</f>
        <v>26133.384143518517</v>
      </c>
      <c r="G74" s="932" t="e">
        <f>F74+E74*NDDaysInYEar</f>
        <v>#N/A</v>
      </c>
      <c r="H74" s="919" t="str">
        <f>A74</f>
        <v>Pi</v>
      </c>
      <c r="I74" s="194" t="str">
        <f>INDEX(SignSym,MOD(B74+MATCH(H74,SignSym,0)-1,12)+1)</f>
        <v>Aq</v>
      </c>
      <c r="J74" s="194" t="str">
        <f>INDEX(SignSym,MOD(B74+MATCH(I74,SignSym,0)-1,12)+1)</f>
        <v>Cp</v>
      </c>
      <c r="K74" s="194" t="str">
        <f>INDEX(SignSym,MOD(B74+MATCH(J74,SignSym,0)-1,12)+1)</f>
        <v>Sg</v>
      </c>
      <c r="L74" s="194" t="str">
        <f>INDEX(SignSym,MOD(B74+MATCH(K74,SignSym,0)-1,12)+1)</f>
        <v>Sc</v>
      </c>
      <c r="M74" s="194" t="str">
        <f>INDEX(SignSym,MOD(B74+MATCH(L74,SignSym,0)-1,12)+1)</f>
        <v>Li</v>
      </c>
      <c r="N74" s="194" t="str">
        <f>INDEX(SignSym,MOD(B74+MATCH(M74,SignSym,0)-1,12)+1)</f>
        <v>Vi</v>
      </c>
      <c r="O74" s="194" t="str">
        <f>INDEX(SignSym,MOD(B74+MATCH(N74,SignSym,0)-1,12)+1)</f>
        <v>Le</v>
      </c>
      <c r="P74" s="194" t="str">
        <f>INDEX(SignSym,MOD(B74+MATCH(O74,SignSym,0)-1,12)+1)</f>
        <v>Cn</v>
      </c>
      <c r="Q74" s="194" t="str">
        <f>INDEX(SignSym,MOD(B74+MATCH(P74,SignSym,0)-1,12)+1)</f>
        <v>Ge</v>
      </c>
      <c r="R74" s="194" t="str">
        <f>INDEX(SignSym,MOD(B74+MATCH(Q74,SignSym,0)-1,12)+1)</f>
        <v>Ta</v>
      </c>
      <c r="S74" s="194" t="str">
        <f>INDEX(SignSym,MOD(B74+MATCH(R74,SignSym,0)-1,12)+1)</f>
        <v>Ar</v>
      </c>
    </row>
    <row r="75" spans="1:19" s="194" customFormat="1" ht="12.75" hidden="1" customHeight="1">
      <c r="C75" s="925"/>
      <c r="D75" s="925"/>
      <c r="F75" s="932"/>
      <c r="G75" s="932"/>
      <c r="H75" s="932">
        <f>F74</f>
        <v>26133.384143518517</v>
      </c>
      <c r="I75" s="932" t="e">
        <f>H75+(E74*NDDaysInYEar/12)</f>
        <v>#N/A</v>
      </c>
      <c r="J75" s="932" t="e">
        <f>I75+(E74*NDDaysInYEar/12)</f>
        <v>#N/A</v>
      </c>
      <c r="K75" s="932" t="e">
        <f>J75+(E74*NDDaysInYEar/12)</f>
        <v>#N/A</v>
      </c>
      <c r="L75" s="932" t="e">
        <f>K75+(E74*NDDaysInYEar/12)</f>
        <v>#N/A</v>
      </c>
      <c r="M75" s="932" t="e">
        <f>L75+(E74*NDDaysInYEar/12)</f>
        <v>#N/A</v>
      </c>
      <c r="N75" s="932" t="e">
        <f>M75+(E74*NDDaysInYEar/12)</f>
        <v>#N/A</v>
      </c>
      <c r="O75" s="932" t="e">
        <f>N75+(E74*NDDaysInYEar/12)</f>
        <v>#N/A</v>
      </c>
      <c r="P75" s="932" t="e">
        <f>O75+(E74*NDDaysInYEar/12)</f>
        <v>#N/A</v>
      </c>
      <c r="Q75" s="932" t="e">
        <f>P75+(E74*NDDaysInYEar/12)</f>
        <v>#N/A</v>
      </c>
      <c r="R75" s="932" t="e">
        <f>Q75+(E74*NDDaysInYEar/12)</f>
        <v>#N/A</v>
      </c>
      <c r="S75" s="932" t="e">
        <f>R75+(E74*NDDaysInYEar/12)</f>
        <v>#N/A</v>
      </c>
    </row>
    <row r="76" spans="1:19" s="194" customFormat="1">
      <c r="A76" s="194" t="str">
        <f>VLOOKUP(C71,NDasaSeq,8,0)</f>
        <v>Cn</v>
      </c>
      <c r="B76" s="194">
        <f>VLOOKUP(A76,NDasaC,3,0)</f>
        <v>-1</v>
      </c>
      <c r="C76" s="925" t="e">
        <f>IF(MATCH(VLOOKUP(IF((A76="Aq"),VLOOKUP("AqLord",DivCharts,D70,0),IF((A76="Sc"),VLOOKUP("ScLord",DivCharts,D70,0),VLOOKUP(A76,RsInfo,9,0))),DivCharts,D70,0),RsTbl,0)=MATCH(VLOOKUP(IF((A76="Aq"),VLOOKUP("AqLord",DivCharts,D70,0),IF((A76="Sc"),VLOOKUP("ScLord",DivCharts,D70,0),VLOOKUP(A76,RsInfo,9,0))),PlanetData,8,0),RsTbl,0),1,IF(MATCH(VLOOKUP(IF((A76="Aq"),VLOOKUP("AqLord",DivCharts,D70,0),IF((A76="Sc"),VLOOKUP("ScLord",DivCharts,D70,0),VLOOKUP(A76,RsInfo,9,0))),DivCharts,D70,0),RsTbl,0)=MOD(MATCH(VLOOKUP(IF((A76="Aq"),VLOOKUP("AqLord",DivCharts,D70,0),IF((A76="Sc"),VLOOKUP("ScLord",DivCharts,D70,0),VLOOKUP(A76,RsInfo,9,0))),PlanetData,8,0),RsTbl,0)+6,12),-1,0))</f>
        <v>#N/A</v>
      </c>
      <c r="D76" s="925">
        <f>MOD((MATCH(VLOOKUP(IF((A76="Aq"),VLOOKUP("AqLord",DivCharts,D70,0),IF((A76="Sc"),VLOOKUP("ScLord",DivCharts,D70,0),VLOOKUP(A76,RsInfo,9,0))),DivCharts,D70,0),RsTbl,0)*B76)-(B76*MATCH(A76,RsTbl,0))+12,12)</f>
        <v>0</v>
      </c>
      <c r="E76" s="194" t="e">
        <f>IF(ISNA(MATCH((D76+C76),,0)),(D76+C76),12)</f>
        <v>#N/A</v>
      </c>
      <c r="F76" s="932" t="e">
        <f>G74</f>
        <v>#N/A</v>
      </c>
      <c r="G76" s="932" t="e">
        <f>F76+E76*NDDaysInYEar</f>
        <v>#N/A</v>
      </c>
      <c r="H76" s="919" t="str">
        <f>A76</f>
        <v>Cn</v>
      </c>
      <c r="I76" s="194" t="str">
        <f>INDEX(SignSym,MOD(B76+MATCH(H76,SignSym,0)-1,12)+1)</f>
        <v>Ge</v>
      </c>
      <c r="J76" s="194" t="str">
        <f>INDEX(SignSym,MOD(B76+MATCH(I76,SignSym,0)-1,12)+1)</f>
        <v>Ta</v>
      </c>
      <c r="K76" s="194" t="str">
        <f>INDEX(SignSym,MOD(B76+MATCH(J76,SignSym,0)-1,12)+1)</f>
        <v>Ar</v>
      </c>
      <c r="L76" s="194" t="str">
        <f>INDEX(SignSym,MOD(B76+MATCH(K76,SignSym,0)-1,12)+1)</f>
        <v>Pi</v>
      </c>
      <c r="M76" s="194" t="str">
        <f>INDEX(SignSym,MOD(B76+MATCH(L76,SignSym,0)-1,12)+1)</f>
        <v>Aq</v>
      </c>
      <c r="N76" s="194" t="str">
        <f>INDEX(SignSym,MOD(B76+MATCH(M76,SignSym,0)-1,12)+1)</f>
        <v>Cp</v>
      </c>
      <c r="O76" s="194" t="str">
        <f>INDEX(SignSym,MOD(B76+MATCH(N76,SignSym,0)-1,12)+1)</f>
        <v>Sg</v>
      </c>
      <c r="P76" s="194" t="str">
        <f>INDEX(SignSym,MOD(B76+MATCH(O76,SignSym,0)-1,12)+1)</f>
        <v>Sc</v>
      </c>
      <c r="Q76" s="194" t="str">
        <f>INDEX(SignSym,MOD(B76+MATCH(P76,SignSym,0)-1,12)+1)</f>
        <v>Li</v>
      </c>
      <c r="R76" s="194" t="str">
        <f>INDEX(SignSym,MOD(B76+MATCH(Q76,SignSym,0)-1,12)+1)</f>
        <v>Vi</v>
      </c>
      <c r="S76" s="194" t="str">
        <f>INDEX(SignSym,MOD(B76+MATCH(R76,SignSym,0)-1,12)+1)</f>
        <v>Le</v>
      </c>
    </row>
    <row r="77" spans="1:19" s="194" customFormat="1" ht="12.75" hidden="1" customHeight="1">
      <c r="C77" s="925"/>
      <c r="D77" s="925"/>
      <c r="F77" s="932"/>
      <c r="G77" s="932"/>
      <c r="H77" s="932" t="e">
        <f>F76</f>
        <v>#N/A</v>
      </c>
      <c r="I77" s="932" t="e">
        <f>H77+(E76*NDDaysInYEar/12)</f>
        <v>#N/A</v>
      </c>
      <c r="J77" s="932" t="e">
        <f>I77+(E76*NDDaysInYEar/12)</f>
        <v>#N/A</v>
      </c>
      <c r="K77" s="932" t="e">
        <f>J77+(E76*NDDaysInYEar/12)</f>
        <v>#N/A</v>
      </c>
      <c r="L77" s="932" t="e">
        <f>K77+(E76*NDDaysInYEar/12)</f>
        <v>#N/A</v>
      </c>
      <c r="M77" s="932" t="e">
        <f>L77+(E76*NDDaysInYEar/12)</f>
        <v>#N/A</v>
      </c>
      <c r="N77" s="932" t="e">
        <f>M77+(E76*NDDaysInYEar/12)</f>
        <v>#N/A</v>
      </c>
      <c r="O77" s="932" t="e">
        <f>N77+(E76*NDDaysInYEar/12)</f>
        <v>#N/A</v>
      </c>
      <c r="P77" s="932" t="e">
        <f>O77+(E76*NDDaysInYEar/12)</f>
        <v>#N/A</v>
      </c>
      <c r="Q77" s="932" t="e">
        <f>P77+(E76*NDDaysInYEar/12)</f>
        <v>#N/A</v>
      </c>
      <c r="R77" s="932" t="e">
        <f>Q77+(E76*NDDaysInYEar/12)</f>
        <v>#N/A</v>
      </c>
      <c r="S77" s="932" t="e">
        <f>R77+(E76*NDDaysInYEar/12)</f>
        <v>#N/A</v>
      </c>
    </row>
    <row r="78" spans="1:19" s="194" customFormat="1">
      <c r="A78" s="194" t="str">
        <f>VLOOKUP(C71,NDasaSeq,9,0)</f>
        <v>Sc</v>
      </c>
      <c r="B78" s="194">
        <v>-1</v>
      </c>
      <c r="C78" s="925" t="e">
        <f>IF(MATCH(VLOOKUP(IF((A78="Aq"),VLOOKUP("AqLord",DivCharts,D70,0),IF((A78="Sc"),VLOOKUP("ScLord",DivCharts,D70,0),VLOOKUP(A78,RsInfo,9,0))),DivCharts,D70,0),RsTbl,0)=MATCH(VLOOKUP(IF((A78="Aq"),VLOOKUP("AqLord",DivCharts,D70,0),IF((A78="Sc"),VLOOKUP("ScLord",DivCharts,D70,0),VLOOKUP(A78,RsInfo,9,0))),PlanetData,8,0),RsTbl,0),1,IF(MATCH(VLOOKUP(IF((A78="Aq"),VLOOKUP("AqLord",DivCharts,D70,0),IF((A78="Sc"),VLOOKUP("ScLord",DivCharts,D70,0),VLOOKUP(A78,RsInfo,9,0))),DivCharts,D70,0),RsTbl,0)=MOD(MATCH(VLOOKUP(IF((A78="Aq"),VLOOKUP("AqLord",DivCharts,D70,0),IF((A78="Sc"),VLOOKUP("ScLord",DivCharts,D70,0),VLOOKUP(A78,RsInfo,9,0))),PlanetData,8,0),RsTbl,0)+6,12),-1,0))</f>
        <v>#N/A</v>
      </c>
      <c r="D78" s="925">
        <f>MOD((MATCH(VLOOKUP(IF((A78="Aq"),VLOOKUP("AqLord",DivCharts,D70,0),IF((A78="Sc"),VLOOKUP("ScLord",DivCharts,D70,0),VLOOKUP(A78,RsInfo,9,0))),DivCharts,D70,0),RsTbl,0)*B78)-(B78*MATCH(A78,RsTbl,0))+12,12)</f>
        <v>2</v>
      </c>
      <c r="E78" s="194" t="e">
        <f>IF(ISNA(MATCH((D78+C78),,0)),(D78+C78),12)</f>
        <v>#N/A</v>
      </c>
      <c r="F78" s="932" t="e">
        <f>G76</f>
        <v>#N/A</v>
      </c>
      <c r="G78" s="932" t="e">
        <f>F78+E78*NDDaysInYEar</f>
        <v>#N/A</v>
      </c>
      <c r="H78" s="919" t="s">
        <v>711</v>
      </c>
      <c r="I78" s="194" t="str">
        <f>INDEX(SignSym,MOD(B78+MATCH(H78,SignSym,0)-1,12)+1)</f>
        <v>Le</v>
      </c>
      <c r="J78" s="194" t="str">
        <f>INDEX(SignSym,MOD(B78+MATCH(I78,SignSym,0)-1,12)+1)</f>
        <v>Cn</v>
      </c>
      <c r="K78" s="194" t="str">
        <f>INDEX(SignSym,MOD(B78+MATCH(J78,SignSym,0)-1,12)+1)</f>
        <v>Ge</v>
      </c>
      <c r="L78" s="194" t="str">
        <f>INDEX(SignSym,MOD(B78+MATCH(K78,SignSym,0)-1,12)+1)</f>
        <v>Ta</v>
      </c>
      <c r="M78" s="194" t="str">
        <f>INDEX(SignSym,MOD(B78+MATCH(L78,SignSym,0)-1,12)+1)</f>
        <v>Ar</v>
      </c>
      <c r="N78" s="194" t="str">
        <f>INDEX(SignSym,MOD(B78+MATCH(M78,SignSym,0)-1,12)+1)</f>
        <v>Pi</v>
      </c>
      <c r="O78" s="194" t="str">
        <f>INDEX(SignSym,MOD(B78+MATCH(N78,SignSym,0)-1,12)+1)</f>
        <v>Aq</v>
      </c>
      <c r="P78" s="194" t="str">
        <f>INDEX(SignSym,MOD(B78+MATCH(O78,SignSym,0)-1,12)+1)</f>
        <v>Cp</v>
      </c>
      <c r="Q78" s="194" t="str">
        <f>INDEX(SignSym,MOD(B78+MATCH(P78,SignSym,0)-1,12)+1)</f>
        <v>Sg</v>
      </c>
      <c r="R78" s="194" t="str">
        <f>INDEX(SignSym,MOD(B78+MATCH(Q78,SignSym,0)-1,12)+1)</f>
        <v>Sc</v>
      </c>
      <c r="S78" s="194" t="str">
        <f>INDEX(SignSym,MOD(B78+MATCH(R78,SignSym,0)-1,12)+1)</f>
        <v>Li</v>
      </c>
    </row>
    <row r="79" spans="1:19" s="194" customFormat="1" ht="12.75" hidden="1" customHeight="1">
      <c r="C79" s="925"/>
      <c r="D79" s="925"/>
      <c r="F79" s="932"/>
      <c r="G79" s="932"/>
      <c r="H79" s="932" t="e">
        <f>F78</f>
        <v>#N/A</v>
      </c>
      <c r="I79" s="932" t="e">
        <f>H79+(E78*NDDaysInYEar/12)</f>
        <v>#N/A</v>
      </c>
      <c r="J79" s="932" t="e">
        <f>I79+(E78*NDDaysInYEar/12)</f>
        <v>#N/A</v>
      </c>
      <c r="K79" s="932" t="e">
        <f>J79+(E78*NDDaysInYEar/12)</f>
        <v>#N/A</v>
      </c>
      <c r="L79" s="932" t="e">
        <f>K79+(E78*NDDaysInYEar/12)</f>
        <v>#N/A</v>
      </c>
      <c r="M79" s="932" t="e">
        <f>L79+(E78*NDDaysInYEar/12)</f>
        <v>#N/A</v>
      </c>
      <c r="N79" s="932" t="e">
        <f>M79+(E78*NDDaysInYEar/12)</f>
        <v>#N/A</v>
      </c>
      <c r="O79" s="932" t="e">
        <f>N79+(E78*NDDaysInYEar/12)</f>
        <v>#N/A</v>
      </c>
      <c r="P79" s="932" t="e">
        <f>O79+(E78*NDDaysInYEar/12)</f>
        <v>#N/A</v>
      </c>
      <c r="Q79" s="932" t="e">
        <f>P79+(E78*NDDaysInYEar/12)</f>
        <v>#N/A</v>
      </c>
      <c r="R79" s="932" t="e">
        <f>Q79+(E78*NDDaysInYEar/12)</f>
        <v>#N/A</v>
      </c>
      <c r="S79" s="932" t="e">
        <f>R79+(E78*NDDaysInYEar/12)</f>
        <v>#N/A</v>
      </c>
    </row>
    <row r="80" spans="1:19" s="194" customFormat="1">
      <c r="A80" s="194" t="str">
        <f>VLOOKUP(C71,NDasaSeq,10,0)</f>
        <v>Sg</v>
      </c>
      <c r="B80" s="194">
        <v>-1</v>
      </c>
      <c r="C80" s="925" t="e">
        <f>IF(MATCH(VLOOKUP(IF((A80="Aq"),VLOOKUP("AqLord",DivCharts,D70,0),IF((A80="Sc"),VLOOKUP("ScLord",DivCharts,D70,0),VLOOKUP(A80,RsInfo,9,0))),DivCharts,D70,0),RsTbl,0)=MATCH(VLOOKUP(IF((A80="Aq"),VLOOKUP("AqLord",DivCharts,D70,0),IF((A80="Sc"),VLOOKUP("ScLord",DivCharts,D70,0),VLOOKUP(A80,RsInfo,9,0))),PlanetData,8,0),RsTbl,0),1,IF(MATCH(VLOOKUP(IF((A80="Aq"),VLOOKUP("AqLord",DivCharts,D70,0),IF((A80="Sc"),VLOOKUP("ScLord",DivCharts,D70,0),VLOOKUP(A80,RsInfo,9,0))),DivCharts,D70,0),RsTbl,0)=MOD(MATCH(VLOOKUP(IF((A80="Aq"),VLOOKUP("AqLord",DivCharts,D70,0),IF((A80="Sc"),VLOOKUP("ScLord",DivCharts,D70,0),VLOOKUP(A80,RsInfo,9,0))),PlanetData,8,0),RsTbl,0)+6,12),-1,0))</f>
        <v>#N/A</v>
      </c>
      <c r="D80" s="925">
        <f>MOD((MATCH(VLOOKUP(IF((A80="Aq"),VLOOKUP("AqLord",DivCharts,D70,0),IF((A80="Sc"),VLOOKUP("ScLord",DivCharts,D70,0),VLOOKUP(A80,RsInfo,9,0))),DivCharts,D70,0),RsTbl,0)*B80)-(B80*MATCH(A80,RsTbl,0))+12,12)</f>
        <v>5</v>
      </c>
      <c r="E80" s="194" t="e">
        <f>IF(ISNA(MATCH((D80+C80),,0)),(D80+C80),12)</f>
        <v>#N/A</v>
      </c>
      <c r="F80" s="932" t="e">
        <f>G78</f>
        <v>#N/A</v>
      </c>
      <c r="G80" s="932" t="e">
        <f>F80+E80*NDDaysInYEar</f>
        <v>#N/A</v>
      </c>
      <c r="H80" s="919" t="s">
        <v>703</v>
      </c>
      <c r="I80" s="194" t="str">
        <f>INDEX(SignSym,MOD(B80+MATCH(H80,SignSym,0)-1,12)+1)</f>
        <v>Ge</v>
      </c>
      <c r="J80" s="194" t="str">
        <f>INDEX(SignSym,MOD(B80+MATCH(I80,SignSym,0)-1,12)+1)</f>
        <v>Ta</v>
      </c>
      <c r="K80" s="194" t="str">
        <f>INDEX(SignSym,MOD(B80+MATCH(J80,SignSym,0)-1,12)+1)</f>
        <v>Ar</v>
      </c>
      <c r="L80" s="194" t="str">
        <f>INDEX(SignSym,MOD(B80+MATCH(K80,SignSym,0)-1,12)+1)</f>
        <v>Pi</v>
      </c>
      <c r="M80" s="194" t="str">
        <f>INDEX(SignSym,MOD(B80+MATCH(L80,SignSym,0)-1,12)+1)</f>
        <v>Aq</v>
      </c>
      <c r="N80" s="194" t="str">
        <f>INDEX(SignSym,MOD(B80+MATCH(M80,SignSym,0)-1,12)+1)</f>
        <v>Cp</v>
      </c>
      <c r="O80" s="194" t="str">
        <f>INDEX(SignSym,MOD(B80+MATCH(N80,SignSym,0)-1,12)+1)</f>
        <v>Sg</v>
      </c>
      <c r="P80" s="194" t="str">
        <f>INDEX(SignSym,MOD(B80+MATCH(O80,SignSym,0)-1,12)+1)</f>
        <v>Sc</v>
      </c>
      <c r="Q80" s="194" t="str">
        <f>INDEX(SignSym,MOD(B80+MATCH(P80,SignSym,0)-1,12)+1)</f>
        <v>Li</v>
      </c>
      <c r="R80" s="194" t="str">
        <f>INDEX(SignSym,MOD(B80+MATCH(Q80,SignSym,0)-1,12)+1)</f>
        <v>Vi</v>
      </c>
      <c r="S80" s="194" t="str">
        <f>INDEX(SignSym,MOD(B80+MATCH(R80,SignSym,0)-1,12)+1)</f>
        <v>Le</v>
      </c>
    </row>
    <row r="81" spans="1:19" s="194" customFormat="1" ht="12.75" hidden="1" customHeight="1">
      <c r="C81" s="925"/>
      <c r="D81" s="925"/>
      <c r="F81" s="932"/>
      <c r="G81" s="932"/>
      <c r="H81" s="932" t="e">
        <f>F80</f>
        <v>#N/A</v>
      </c>
      <c r="I81" s="932" t="e">
        <f>H81+(E80*NDDaysInYEar/12)</f>
        <v>#N/A</v>
      </c>
      <c r="J81" s="932" t="e">
        <f>I81+(E80*NDDaysInYEar/12)</f>
        <v>#N/A</v>
      </c>
      <c r="K81" s="932" t="e">
        <f>J81+(E80*NDDaysInYEar/12)</f>
        <v>#N/A</v>
      </c>
      <c r="L81" s="932" t="e">
        <f>K81+(E80*NDDaysInYEar/12)</f>
        <v>#N/A</v>
      </c>
      <c r="M81" s="932" t="e">
        <f>L81+(E80*NDDaysInYEar/12)</f>
        <v>#N/A</v>
      </c>
      <c r="N81" s="932" t="e">
        <f>M81+(E80*NDDaysInYEar/12)</f>
        <v>#N/A</v>
      </c>
      <c r="O81" s="932" t="e">
        <f>N81+(E80*NDDaysInYEar/12)</f>
        <v>#N/A</v>
      </c>
      <c r="P81" s="932" t="e">
        <f>O81+(E80*NDDaysInYEar/12)</f>
        <v>#N/A</v>
      </c>
      <c r="Q81" s="932" t="e">
        <f>P81+(E80*NDDaysInYEar/12)</f>
        <v>#N/A</v>
      </c>
      <c r="R81" s="932" t="e">
        <f>Q81+(E80*NDDaysInYEar/12)</f>
        <v>#N/A</v>
      </c>
      <c r="S81" s="932" t="e">
        <f>R81+(E80*NDDaysInYEar/12)</f>
        <v>#N/A</v>
      </c>
    </row>
    <row r="82" spans="1:19" s="194" customFormat="1">
      <c r="A82" s="194" t="str">
        <f>VLOOKUP(C71,NDasaSeq,11,0)</f>
        <v>Ar</v>
      </c>
      <c r="B82" s="194">
        <f>VLOOKUP(A82,NDasaC,3,0)</f>
        <v>1</v>
      </c>
      <c r="C82" s="925" t="e">
        <f>IF(MATCH(VLOOKUP(IF((A82="Aq"),VLOOKUP("AqLord",DivCharts,D70,0),IF((A82="Sc"),VLOOKUP("ScLord",DivCharts,D70,0),VLOOKUP(A82,RsInfo,9,0))),DivCharts,D70,0),RsTbl,0)=MATCH(VLOOKUP(IF((A82="Aq"),VLOOKUP("AqLord",DivCharts,D70,0),IF((A82="Sc"),VLOOKUP("ScLord",DivCharts,D70,0),VLOOKUP(A82,RsInfo,9,0))),PlanetData,8,0),RsTbl,0),1,IF(MATCH(VLOOKUP(IF((A82="Aq"),VLOOKUP("AqLord",DivCharts,D70,0),IF((A82="Sc"),VLOOKUP("ScLord",DivCharts,D70,0),VLOOKUP(A82,RsInfo,9,0))),DivCharts,D70,0),RsTbl,0)=MOD(MATCH(VLOOKUP(IF((A82="Aq"),VLOOKUP("AqLord",DivCharts,D70,0),IF((A82="Sc"),VLOOKUP("ScLord",DivCharts,D70,0),VLOOKUP(A82,RsInfo,9,0))),PlanetData,8,0),RsTbl,0)+6,12),-1,0))</f>
        <v>#N/A</v>
      </c>
      <c r="D82" s="925">
        <f>MOD((MATCH(VLOOKUP(IF((A82="Aq"),VLOOKUP("AqLord",DivCharts,D70,0),IF((A82="Sc"),VLOOKUP("ScLord",DivCharts,D70,0),VLOOKUP(A82,RsInfo,9,0))),DivCharts,D70,0),RsTbl,0)*B82)-(B82*MATCH(A82,RsTbl,0))+12,12)</f>
        <v>5</v>
      </c>
      <c r="E82" s="194" t="e">
        <f>IF(ISNA(MATCH((D82+C82),,0)),(D82+C82),12)</f>
        <v>#N/A</v>
      </c>
      <c r="F82" s="932" t="e">
        <f>G80</f>
        <v>#N/A</v>
      </c>
      <c r="G82" s="932" t="e">
        <f>F82+E82*NDDaysInYEar</f>
        <v>#N/A</v>
      </c>
      <c r="H82" s="919" t="s">
        <v>711</v>
      </c>
      <c r="I82" s="194" t="str">
        <f>INDEX(SignSym,MOD(B82+MATCH(H82,SignSym,0)-1,12)+1)</f>
        <v>Li</v>
      </c>
      <c r="J82" s="194" t="str">
        <f>INDEX(SignSym,MOD(B82+MATCH(I82,SignSym,0)-1,12)+1)</f>
        <v>Sc</v>
      </c>
      <c r="K82" s="194" t="str">
        <f>INDEX(SignSym,MOD(B82+MATCH(J82,SignSym,0)-1,12)+1)</f>
        <v>Sg</v>
      </c>
      <c r="L82" s="194" t="str">
        <f>INDEX(SignSym,MOD(B82+MATCH(K82,SignSym,0)-1,12)+1)</f>
        <v>Cp</v>
      </c>
      <c r="M82" s="194" t="str">
        <f>INDEX(SignSym,MOD(B82+MATCH(L82,SignSym,0)-1,12)+1)</f>
        <v>Aq</v>
      </c>
      <c r="N82" s="194" t="str">
        <f>INDEX(SignSym,MOD(B82+MATCH(M82,SignSym,0)-1,12)+1)</f>
        <v>Pi</v>
      </c>
      <c r="O82" s="194" t="str">
        <f>INDEX(SignSym,MOD(B82+MATCH(N82,SignSym,0)-1,12)+1)</f>
        <v>Ar</v>
      </c>
      <c r="P82" s="194" t="str">
        <f>INDEX(SignSym,MOD(B82+MATCH(O82,SignSym,0)-1,12)+1)</f>
        <v>Ta</v>
      </c>
      <c r="Q82" s="194" t="str">
        <f>INDEX(SignSym,MOD(B82+MATCH(P82,SignSym,0)-1,12)+1)</f>
        <v>Ge</v>
      </c>
      <c r="R82" s="194" t="str">
        <f>INDEX(SignSym,MOD(B82+MATCH(Q82,SignSym,0)-1,12)+1)</f>
        <v>Cn</v>
      </c>
      <c r="S82" s="194" t="str">
        <f>INDEX(SignSym,MOD(B82+MATCH(R82,SignSym,0)-1,12)+1)</f>
        <v>Le</v>
      </c>
    </row>
    <row r="83" spans="1:19" s="194" customFormat="1" hidden="1">
      <c r="C83" s="925"/>
      <c r="D83" s="925"/>
      <c r="F83" s="932"/>
      <c r="G83" s="932"/>
      <c r="H83" s="932" t="e">
        <f>F82</f>
        <v>#N/A</v>
      </c>
      <c r="I83" s="932" t="e">
        <f>H83+(E82*NDDaysInYEar/12)</f>
        <v>#N/A</v>
      </c>
      <c r="J83" s="935" t="e">
        <f>I83+(E82*NDDaysInYEar/12)</f>
        <v>#N/A</v>
      </c>
      <c r="K83" s="932" t="e">
        <f>J83+(E82*NDDaysInYEar/12)</f>
        <v>#N/A</v>
      </c>
      <c r="L83" s="932" t="e">
        <f>K83+(E82*NDDaysInYEar/12)</f>
        <v>#N/A</v>
      </c>
      <c r="M83" s="932" t="e">
        <f>L83+(E82*NDDaysInYEar/12)</f>
        <v>#N/A</v>
      </c>
      <c r="N83" s="932" t="e">
        <f>M83+(E82*NDDaysInYEar/12)</f>
        <v>#N/A</v>
      </c>
      <c r="O83" s="932" t="e">
        <f>N83+(E82*NDDaysInYEar/12)</f>
        <v>#N/A</v>
      </c>
      <c r="P83" s="932" t="e">
        <f>O83+(E82*NDDaysInYEar/12)</f>
        <v>#N/A</v>
      </c>
      <c r="Q83" s="932" t="e">
        <f>P83+(E82*NDDaysInYEar/12)</f>
        <v>#N/A</v>
      </c>
      <c r="R83" s="932" t="e">
        <f>Q83+(E82*NDDaysInYEar/12)</f>
        <v>#N/A</v>
      </c>
      <c r="S83" s="932" t="e">
        <f>R83+(E82*NDDaysInYEar/12)</f>
        <v>#N/A</v>
      </c>
    </row>
    <row r="84" spans="1:19" s="194" customFormat="1">
      <c r="A84" s="194" t="str">
        <f>VLOOKUP(C71,NDasaSeq,12,0)</f>
        <v>Le</v>
      </c>
      <c r="B84" s="194">
        <f>VLOOKUP(A84,NDasaC,3,0)</f>
        <v>-1</v>
      </c>
      <c r="C84" s="925" t="e">
        <f>IF(MATCH(VLOOKUP(IF((A84="Aq"),VLOOKUP("AqLord",DivCharts,D70,0),IF((A84="Sc"),VLOOKUP("ScLord",DivCharts,D70,0),VLOOKUP(A84,RsInfo,9,0))),DivCharts,D70,0),RsTbl,0)=MATCH(VLOOKUP(IF((A84="Aq"),VLOOKUP("AqLord",DivCharts,D70,0),IF((A84="Sc"),VLOOKUP("ScLord",DivCharts,D70,0),VLOOKUP(A84,RsInfo,9,0))),PlanetData,8,0),RsTbl,0),1,IF(MATCH(VLOOKUP(IF((A84="Aq"),VLOOKUP("AqLord",DivCharts,D70,0),IF((A84="Sc"),VLOOKUP("ScLord",DivCharts,D70,0),VLOOKUP(A84,RsInfo,9,0))),DivCharts,D70,0),RsTbl,0)=MOD(MATCH(VLOOKUP(IF((A84="Aq"),VLOOKUP("AqLord",DivCharts,D70,0),IF((A84="Sc"),VLOOKUP("ScLord",DivCharts,D70,0),VLOOKUP(A84,RsInfo,9,0))),PlanetData,8,0),RsTbl,0)+6,12),-1,0))</f>
        <v>#N/A</v>
      </c>
      <c r="D84" s="925">
        <f>MOD((MATCH(VLOOKUP(IF((A84="Aq"),VLOOKUP("AqLord",DivCharts,D70,0),IF((A84="Sc"),VLOOKUP("ScLord",DivCharts,D70,0),VLOOKUP(A84,RsInfo,9,0))),DivCharts,D70,0),RsTbl,0)*B84)-(B84*MATCH(A84,RsTbl,0))+12,12)</f>
        <v>1</v>
      </c>
      <c r="E84" s="194" t="e">
        <f>IF(ISNA(MATCH((D84+C84),,0)),(D84+C84),12)</f>
        <v>#N/A</v>
      </c>
      <c r="F84" s="932" t="e">
        <f>G82</f>
        <v>#N/A</v>
      </c>
      <c r="G84" s="932" t="e">
        <f>F84+E84*NDDaysInYEar</f>
        <v>#N/A</v>
      </c>
      <c r="H84" s="919" t="s">
        <v>711</v>
      </c>
      <c r="I84" s="194" t="str">
        <f>INDEX(SignSym,MOD(B84+MATCH(H84,SignSym,0)-1,12)+1)</f>
        <v>Le</v>
      </c>
      <c r="J84" s="194" t="str">
        <f>INDEX(SignSym,MOD(B84+MATCH(I84,SignSym,0)-1,12)+1)</f>
        <v>Cn</v>
      </c>
      <c r="K84" s="194" t="str">
        <f>INDEX(SignSym,MOD(B84+MATCH(J84,SignSym,0)-1,12)+1)</f>
        <v>Ge</v>
      </c>
      <c r="L84" s="194" t="str">
        <f>INDEX(SignSym,MOD(B84+MATCH(K84,SignSym,0)-1,12)+1)</f>
        <v>Ta</v>
      </c>
      <c r="M84" s="194" t="str">
        <f>INDEX(SignSym,MOD(B84+MATCH(L84,SignSym,0)-1,12)+1)</f>
        <v>Ar</v>
      </c>
      <c r="N84" s="194" t="str">
        <f>INDEX(SignSym,MOD(B84+MATCH(M84,SignSym,0)-1,12)+1)</f>
        <v>Pi</v>
      </c>
      <c r="O84" s="194" t="str">
        <f>INDEX(SignSym,MOD(B84+MATCH(N84,SignSym,0)-1,12)+1)</f>
        <v>Aq</v>
      </c>
      <c r="P84" s="194" t="str">
        <f>INDEX(SignSym,MOD(B84+MATCH(O84,SignSym,0)-1,12)+1)</f>
        <v>Cp</v>
      </c>
      <c r="Q84" s="194" t="str">
        <f>INDEX(SignSym,MOD(B84+MATCH(P84,SignSym,0)-1,12)+1)</f>
        <v>Sg</v>
      </c>
      <c r="R84" s="194" t="str">
        <f>INDEX(SignSym,MOD(B84+MATCH(Q84,SignSym,0)-1,12)+1)</f>
        <v>Sc</v>
      </c>
      <c r="S84" s="194" t="str">
        <f>INDEX(SignSym,MOD(B84+MATCH(R84,SignSym,0)-1,12)+1)</f>
        <v>Li</v>
      </c>
    </row>
    <row r="85" spans="1:19" s="194" customFormat="1" hidden="1">
      <c r="C85" s="925"/>
      <c r="D85" s="925"/>
      <c r="F85" s="932"/>
      <c r="G85" s="932"/>
      <c r="H85" s="932" t="e">
        <f>F84</f>
        <v>#N/A</v>
      </c>
      <c r="I85" s="932" t="e">
        <f>H85+(E84*NDDaysInYEar/12)</f>
        <v>#N/A</v>
      </c>
      <c r="J85" s="932" t="e">
        <f>I85+(E84*NDDaysInYEar/12)</f>
        <v>#N/A</v>
      </c>
      <c r="K85" s="932" t="e">
        <f>J85+(E84*NDDaysInYEar/12)</f>
        <v>#N/A</v>
      </c>
      <c r="L85" s="932" t="e">
        <f>K85+(E84*NDDaysInYEar/12)</f>
        <v>#N/A</v>
      </c>
      <c r="M85" s="932" t="e">
        <f>L85+(E84*NDDaysInYEar/12)</f>
        <v>#N/A</v>
      </c>
      <c r="N85" s="932" t="e">
        <f>M85+(E84*NDDaysInYEar/12)</f>
        <v>#N/A</v>
      </c>
      <c r="O85" s="932" t="e">
        <f>N85+(E84*NDDaysInYEar/12)</f>
        <v>#N/A</v>
      </c>
      <c r="P85" s="932" t="e">
        <f>O85+(E84*NDDaysInYEar/12)</f>
        <v>#N/A</v>
      </c>
      <c r="Q85" s="932" t="e">
        <f>P85+(E84*NDDaysInYEar/12)</f>
        <v>#N/A</v>
      </c>
      <c r="R85" s="932" t="e">
        <f>Q85+(E84*NDDaysInYEar/12)</f>
        <v>#N/A</v>
      </c>
      <c r="S85" s="932" t="e">
        <f>R85+(E84*NDDaysInYEar/12)</f>
        <v>#N/A</v>
      </c>
    </row>
    <row r="86" spans="1:19" s="194" customFormat="1">
      <c r="A86" s="194" t="str">
        <f>VLOOKUP(C71,NDasaSeq,13,0)</f>
        <v>Vi</v>
      </c>
      <c r="B86" s="194">
        <f>VLOOKUP(A86,NDasaC,3,0)</f>
        <v>-1</v>
      </c>
      <c r="C86" s="925" t="e">
        <f>IF(MATCH(VLOOKUP(IF((A86="Aq"),VLOOKUP("AqLord",DivCharts,D70,0),IF((A86="Sc"),VLOOKUP("ScLord",DivCharts,D70,0),VLOOKUP(A86,RsInfo,9,0))),DivCharts,D70,0),RsTbl,0)=MATCH(VLOOKUP(IF((A86="Aq"),VLOOKUP("AqLord",DivCharts,D70,0),IF((A86="Sc"),VLOOKUP("ScLord",DivCharts,D70,0),VLOOKUP(A86,RsInfo,9,0))),PlanetData,8,0),RsTbl,0),1,IF(MATCH(VLOOKUP(IF((A86="Aq"),VLOOKUP("AqLord",DivCharts,D70,0),IF((A86="Sc"),VLOOKUP("ScLord",DivCharts,D70,0),VLOOKUP(A86,RsInfo,9,0))),DivCharts,D70,0),RsTbl,0)=MOD(MATCH(VLOOKUP(IF((A86="Aq"),VLOOKUP("AqLord",DivCharts,D70,0),IF((A86="Sc"),VLOOKUP("ScLord",DivCharts,D70,0),VLOOKUP(A86,RsInfo,9,0))),PlanetData,8,0),RsTbl,0)+6,12),-1,0))</f>
        <v>#N/A</v>
      </c>
      <c r="D86" s="925">
        <f>MOD((MATCH(VLOOKUP(IF((A86="Aq"),VLOOKUP("AqLord",DivCharts,D70,0),IF((A86="Sc"),VLOOKUP("ScLord",DivCharts,D70,0),VLOOKUP(A86,RsInfo,9,0))),DivCharts,D70,0),RsTbl,0)*B86)-(B86*MATCH(A86,RsTbl,0))+12,12)</f>
        <v>6</v>
      </c>
      <c r="E86" s="194" t="e">
        <f>IF(ISNA(MATCH((D86+C86),,0)),(D86+C86),12)</f>
        <v>#N/A</v>
      </c>
      <c r="F86" s="932" t="e">
        <f>G84</f>
        <v>#N/A</v>
      </c>
      <c r="G86" s="932" t="e">
        <f>F86+E86*NDDaysInYEar</f>
        <v>#N/A</v>
      </c>
      <c r="H86" s="919" t="s">
        <v>699</v>
      </c>
      <c r="I86" s="194" t="str">
        <f>INDEX(SignSym,MOD(B86+MATCH(H86,SignSym,0)-1,12)+1)</f>
        <v>Cp</v>
      </c>
      <c r="J86" s="194" t="str">
        <f>INDEX(SignSym,MOD(B86+MATCH(I86,SignSym,0)-1,12)+1)</f>
        <v>Sg</v>
      </c>
      <c r="K86" s="194" t="str">
        <f>INDEX(SignSym,MOD(B86+MATCH(J86,SignSym,0)-1,12)+1)</f>
        <v>Sc</v>
      </c>
      <c r="L86" s="194" t="str">
        <f>INDEX(SignSym,MOD(B86+MATCH(K86,SignSym,0)-1,12)+1)</f>
        <v>Li</v>
      </c>
      <c r="M86" s="194" t="str">
        <f>INDEX(SignSym,MOD(B86+MATCH(L86,SignSym,0)-1,12)+1)</f>
        <v>Vi</v>
      </c>
      <c r="N86" s="194" t="str">
        <f>INDEX(SignSym,MOD(B86+MATCH(M86,SignSym,0)-1,12)+1)</f>
        <v>Le</v>
      </c>
      <c r="O86" s="194" t="str">
        <f>INDEX(SignSym,MOD(B86+MATCH(N86,SignSym,0)-1,12)+1)</f>
        <v>Cn</v>
      </c>
      <c r="P86" s="194" t="str">
        <f>INDEX(SignSym,MOD(B86+MATCH(O86,SignSym,0)-1,12)+1)</f>
        <v>Ge</v>
      </c>
      <c r="Q86" s="194" t="str">
        <f>INDEX(SignSym,MOD(B86+MATCH(P86,SignSym,0)-1,12)+1)</f>
        <v>Ta</v>
      </c>
      <c r="R86" s="194" t="str">
        <f>INDEX(SignSym,MOD(B86+MATCH(Q86,SignSym,0)-1,12)+1)</f>
        <v>Ar</v>
      </c>
      <c r="S86" s="194" t="str">
        <f>INDEX(SignSym,MOD(B86+MATCH(R86,SignSym,0)-1,12)+1)</f>
        <v>Pi</v>
      </c>
    </row>
    <row r="87" spans="1:19" s="194" customFormat="1" hidden="1">
      <c r="C87" s="925"/>
      <c r="D87" s="925"/>
      <c r="F87" s="932"/>
      <c r="G87" s="932"/>
      <c r="H87" s="932" t="e">
        <f>F86</f>
        <v>#N/A</v>
      </c>
      <c r="I87" s="932" t="e">
        <f>H87+(E86*NDDaysInYEar/12)</f>
        <v>#N/A</v>
      </c>
      <c r="J87" s="932" t="e">
        <f>I87+(E86*NDDaysInYEar/12)</f>
        <v>#N/A</v>
      </c>
      <c r="K87" s="932" t="e">
        <f>J87+(E86*NDDaysInYEar/12)</f>
        <v>#N/A</v>
      </c>
      <c r="L87" s="932" t="e">
        <f>K87+(E86*NDDaysInYEar/12)</f>
        <v>#N/A</v>
      </c>
      <c r="M87" s="932" t="e">
        <f>L87+(E86*NDDaysInYEar/12)</f>
        <v>#N/A</v>
      </c>
      <c r="N87" s="932" t="e">
        <f>M87+(E86*NDDaysInYEar/12)</f>
        <v>#N/A</v>
      </c>
      <c r="O87" s="932" t="e">
        <f>N87+(E86*NDDaysInYEar/12)</f>
        <v>#N/A</v>
      </c>
      <c r="P87" s="932" t="e">
        <f>O87+(E86*NDDaysInYEar/12)</f>
        <v>#N/A</v>
      </c>
      <c r="Q87" s="932" t="e">
        <f>P87+(E86*NDDaysInYEar/12)</f>
        <v>#N/A</v>
      </c>
      <c r="R87" s="932" t="e">
        <f>Q87+(E86*NDDaysInYEar/12)</f>
        <v>#N/A</v>
      </c>
      <c r="S87" s="932" t="e">
        <f>R87+(E86*NDDaysInYEar/12)</f>
        <v>#N/A</v>
      </c>
    </row>
    <row r="88" spans="1:19" s="194" customFormat="1">
      <c r="A88" s="194" t="str">
        <f>VLOOKUP(C71,NDasaSeq,14,0)</f>
        <v>Cp</v>
      </c>
      <c r="B88" s="194">
        <f>VLOOKUP(A88,NDasaC,3,0)</f>
        <v>-1</v>
      </c>
      <c r="C88" s="925" t="e">
        <f>IF(MATCH(VLOOKUP(IF((A88="Aq"),VLOOKUP("AqLord",DivCharts,D70,0),IF((A88="Sc"),VLOOKUP("ScLord",DivCharts,D70,0),VLOOKUP(A88,RsInfo,9,0))),DivCharts,D70,0),RsTbl,0)=MATCH(VLOOKUP(IF((A88="Aq"),VLOOKUP("AqLord",DivCharts,D70,0),IF((A88="Sc"),VLOOKUP("ScLord",DivCharts,D70,0),VLOOKUP(A88,RsInfo,9,0))),PlanetData,8,0),RsTbl,0),1,IF(MATCH(VLOOKUP(IF((A88="Aq"),VLOOKUP("AqLord",DivCharts,D70,0),IF((A88="Sc"),VLOOKUP("ScLord",DivCharts,D70,0),VLOOKUP(A88,RsInfo,9,0))),DivCharts,D70,0),RsTbl,0)=MOD(MATCH(VLOOKUP(IF((A88="Aq"),VLOOKUP("AqLord",DivCharts,D70,0),IF((A88="Sc"),VLOOKUP("ScLord",DivCharts,D70,0),VLOOKUP(A88,RsInfo,9,0))),PlanetData,8,0),RsTbl,0)+6,12),-1,0))</f>
        <v>#N/A</v>
      </c>
      <c r="D88" s="925">
        <f>MOD((MATCH(VLOOKUP(IF((A88="Aq"),VLOOKUP("AqLord",DivCharts,D70,0),IF((A88="Sc"),VLOOKUP("ScLord",DivCharts,D70,0),VLOOKUP(A88,RsInfo,9,0))),DivCharts,D70,0),RsTbl,0)*B88)-(B88*MATCH(A88,RsTbl,0))+12,12)</f>
        <v>10</v>
      </c>
      <c r="E88" s="194" t="e">
        <f>IF(ISNA(MATCH((D88+C88),,0)),(D88+C88),12)</f>
        <v>#N/A</v>
      </c>
      <c r="F88" s="932" t="e">
        <f>G86</f>
        <v>#N/A</v>
      </c>
      <c r="G88" s="932" t="e">
        <f>F88+E88*NDDaysInYEar</f>
        <v>#N/A</v>
      </c>
      <c r="H88" s="919" t="s">
        <v>703</v>
      </c>
      <c r="I88" s="194" t="str">
        <f>INDEX(SignSym,MOD(B88+MATCH(H88,SignSym,0)-1,12)+1)</f>
        <v>Ge</v>
      </c>
      <c r="J88" s="194" t="str">
        <f>INDEX(SignSym,MOD(B88+MATCH(I88,SignSym,0)-1,12)+1)</f>
        <v>Ta</v>
      </c>
      <c r="K88" s="194" t="str">
        <f>INDEX(SignSym,MOD(B88+MATCH(J88,SignSym,0)-1,12)+1)</f>
        <v>Ar</v>
      </c>
      <c r="L88" s="194" t="str">
        <f>INDEX(SignSym,MOD(B88+MATCH(K88,SignSym,0)-1,12)+1)</f>
        <v>Pi</v>
      </c>
      <c r="M88" s="194" t="str">
        <f>INDEX(SignSym,MOD(B88+MATCH(L88,SignSym,0)-1,12)+1)</f>
        <v>Aq</v>
      </c>
      <c r="N88" s="194" t="str">
        <f>INDEX(SignSym,MOD(B88+MATCH(M88,SignSym,0)-1,12)+1)</f>
        <v>Cp</v>
      </c>
      <c r="O88" s="194" t="str">
        <f>INDEX(SignSym,MOD(B88+MATCH(N88,SignSym,0)-1,12)+1)</f>
        <v>Sg</v>
      </c>
      <c r="P88" s="194" t="str">
        <f>INDEX(SignSym,MOD(B88+MATCH(O88,SignSym,0)-1,12)+1)</f>
        <v>Sc</v>
      </c>
      <c r="Q88" s="194" t="str">
        <f>INDEX(SignSym,MOD(B88+MATCH(P88,SignSym,0)-1,12)+1)</f>
        <v>Li</v>
      </c>
      <c r="R88" s="194" t="str">
        <f>INDEX(SignSym,MOD(B88+MATCH(Q88,SignSym,0)-1,12)+1)</f>
        <v>Vi</v>
      </c>
      <c r="S88" s="194" t="str">
        <f>INDEX(SignSym,MOD(B88+MATCH(R88,SignSym,0)-1,12)+1)</f>
        <v>Le</v>
      </c>
    </row>
    <row r="89" spans="1:19" s="194" customFormat="1" hidden="1">
      <c r="C89" s="925"/>
      <c r="D89" s="925"/>
      <c r="F89" s="932"/>
      <c r="G89" s="932"/>
      <c r="H89" s="932" t="e">
        <f>F88</f>
        <v>#N/A</v>
      </c>
      <c r="I89" s="932" t="e">
        <f>H89+(E88*NDDaysInYEar/12)</f>
        <v>#N/A</v>
      </c>
      <c r="J89" s="932" t="e">
        <f>I89+(E88*NDDaysInYEar/12)</f>
        <v>#N/A</v>
      </c>
      <c r="K89" s="932" t="e">
        <f>J89+(E88*NDDaysInYEar/12)</f>
        <v>#N/A</v>
      </c>
      <c r="L89" s="932" t="e">
        <f>K89+(E88*NDDaysInYEar/12)</f>
        <v>#N/A</v>
      </c>
      <c r="M89" s="932" t="e">
        <f>L89+(E88*NDDaysInYEar/12)</f>
        <v>#N/A</v>
      </c>
      <c r="N89" s="932" t="e">
        <f>M89+(E88*NDDaysInYEar/12)</f>
        <v>#N/A</v>
      </c>
      <c r="O89" s="932" t="e">
        <f>N89+(E88*NDDaysInYEar/12)</f>
        <v>#N/A</v>
      </c>
      <c r="P89" s="932" t="e">
        <f>O89+(E88*NDDaysInYEar/12)</f>
        <v>#N/A</v>
      </c>
      <c r="Q89" s="932" t="e">
        <f>P89+(E88*NDDaysInYEar/12)</f>
        <v>#N/A</v>
      </c>
      <c r="R89" s="932" t="e">
        <f>Q89+(E88*NDDaysInYEar/12)</f>
        <v>#N/A</v>
      </c>
      <c r="S89" s="932" t="e">
        <f>R89+(E88*NDDaysInYEar/12)</f>
        <v>#N/A</v>
      </c>
    </row>
    <row r="90" spans="1:19" s="194" customFormat="1">
      <c r="A90" s="194" t="str">
        <f>VLOOKUP(C71,NDasaSeq,15,0)</f>
        <v>Ta</v>
      </c>
      <c r="B90" s="194">
        <f>VLOOKUP(A90,NDasaC,3,0)</f>
        <v>1</v>
      </c>
      <c r="C90" s="925" t="e">
        <f>IF(MATCH(VLOOKUP(IF((A90="Aq"),VLOOKUP("AqLord",DivCharts,D70,0),IF((A90="Sc"),VLOOKUP("ScLord",DivCharts,D70,0),VLOOKUP(A90,RsInfo,9,0))),DivCharts,D70,0),RsTbl,0)=MATCH(VLOOKUP(IF((A90="Aq"),VLOOKUP("AqLord",DivCharts,D70,0),IF((A90="Sc"),VLOOKUP("ScLord",DivCharts,D70,0),VLOOKUP(A90,RsInfo,9,0))),PlanetData,8,0),RsTbl,0),1,IF(MATCH(VLOOKUP(IF((A90="Aq"),VLOOKUP("AqLord",DivCharts,D70,0),IF((A90="Sc"),VLOOKUP("ScLord",DivCharts,D70,0),VLOOKUP(A90,RsInfo,9,0))),DivCharts,D70,0),RsTbl,0)=MOD(MATCH(VLOOKUP(IF((A90="Aq"),VLOOKUP("AqLord",DivCharts,D70,0),IF((A90="Sc"),VLOOKUP("ScLord",DivCharts,D70,0),VLOOKUP(A90,RsInfo,9,0))),PlanetData,8,0),RsTbl,0)+6,12),-1,0))</f>
        <v>#N/A</v>
      </c>
      <c r="D90" s="925">
        <f>MOD((MATCH(VLOOKUP(IF((A90="Aq"),VLOOKUP("AqLord",DivCharts,D70,0),IF((A90="Sc"),VLOOKUP("ScLord",DivCharts,D70,0),VLOOKUP(A90,RsInfo,9,0))),DivCharts,D70,0),RsTbl,0)*B90)-(B90*MATCH(A90,RsTbl,0))+12,12)</f>
        <v>11</v>
      </c>
      <c r="E90" s="194" t="e">
        <f>IF(ISNA(MATCH((D90+C90),,0)),(D90+C90),12)</f>
        <v>#N/A</v>
      </c>
      <c r="F90" s="932" t="e">
        <f>G88</f>
        <v>#N/A</v>
      </c>
      <c r="G90" s="932" t="e">
        <f>F90+E90*NDDaysInYEar</f>
        <v>#N/A</v>
      </c>
      <c r="H90" s="919" t="str">
        <f>A90</f>
        <v>Ta</v>
      </c>
      <c r="I90" s="194" t="str">
        <f>INDEX(SignSym,MOD(B90+MATCH(H90,SignSym,0)-1,12)+1)</f>
        <v>Ge</v>
      </c>
      <c r="J90" s="194" t="str">
        <f>INDEX(SignSym,MOD(B90+MATCH(I90,SignSym,0)-1,12)+1)</f>
        <v>Cn</v>
      </c>
      <c r="K90" s="194" t="str">
        <f>INDEX(SignSym,MOD(B90+MATCH(J90,SignSym,0)-1,12)+1)</f>
        <v>Le</v>
      </c>
      <c r="L90" s="194" t="str">
        <f>INDEX(SignSym,MOD(B90+MATCH(K90,SignSym,0)-1,12)+1)</f>
        <v>Vi</v>
      </c>
      <c r="M90" s="194" t="str">
        <f>INDEX(SignSym,MOD(B90+MATCH(L90,SignSym,0)-1,12)+1)</f>
        <v>Li</v>
      </c>
      <c r="N90" s="194" t="str">
        <f>INDEX(SignSym,MOD(B90+MATCH(M90,SignSym,0)-1,12)+1)</f>
        <v>Sc</v>
      </c>
      <c r="O90" s="194" t="str">
        <f>INDEX(SignSym,MOD(B90+MATCH(N90,SignSym,0)-1,12)+1)</f>
        <v>Sg</v>
      </c>
      <c r="P90" s="194" t="str">
        <f>INDEX(SignSym,MOD(B90+MATCH(O90,SignSym,0)-1,12)+1)</f>
        <v>Cp</v>
      </c>
      <c r="Q90" s="194" t="str">
        <f>INDEX(SignSym,MOD(B90+MATCH(P90,SignSym,0)-1,12)+1)</f>
        <v>Aq</v>
      </c>
      <c r="R90" s="194" t="str">
        <f>INDEX(SignSym,MOD(B90+MATCH(Q90,SignSym,0)-1,12)+1)</f>
        <v>Pi</v>
      </c>
      <c r="S90" s="194" t="str">
        <f>INDEX(SignSym,MOD(B90+MATCH(R90,SignSym,0)-1,12)+1)</f>
        <v>Ar</v>
      </c>
    </row>
    <row r="91" spans="1:19" s="194" customFormat="1" ht="12.75" hidden="1" customHeight="1">
      <c r="C91" s="925"/>
      <c r="D91" s="925"/>
      <c r="F91" s="932"/>
      <c r="G91" s="932"/>
      <c r="H91" s="932" t="e">
        <f>F90</f>
        <v>#N/A</v>
      </c>
      <c r="I91" s="932" t="e">
        <f>H91+(E90*NDDaysInYEar/12)</f>
        <v>#N/A</v>
      </c>
      <c r="J91" s="932" t="e">
        <f>I91+(E90*NDDaysInYEar/12)</f>
        <v>#N/A</v>
      </c>
      <c r="K91" s="932" t="e">
        <f>J91+(E90*NDDaysInYEar/12)</f>
        <v>#N/A</v>
      </c>
      <c r="L91" s="932" t="e">
        <f>K91+(E90*NDDaysInYEar/12)</f>
        <v>#N/A</v>
      </c>
      <c r="M91" s="932" t="e">
        <f>L91+(E90*NDDaysInYEar/12)</f>
        <v>#N/A</v>
      </c>
      <c r="N91" s="932" t="e">
        <f>M91+(E90*NDDaysInYEar/12)</f>
        <v>#N/A</v>
      </c>
      <c r="O91" s="932" t="e">
        <f>N91+(E90*NDDaysInYEar/12)</f>
        <v>#N/A</v>
      </c>
      <c r="P91" s="932" t="e">
        <f>O91+(E90*NDDaysInYEar/12)</f>
        <v>#N/A</v>
      </c>
      <c r="Q91" s="932" t="e">
        <f>P91+(E90*NDDaysInYEar/12)</f>
        <v>#N/A</v>
      </c>
      <c r="R91" s="932" t="e">
        <f>Q91+(E90*NDDaysInYEar/12)</f>
        <v>#N/A</v>
      </c>
      <c r="S91" s="932" t="e">
        <f>R91+(E90*NDDaysInYEar/12)</f>
        <v>#N/A</v>
      </c>
    </row>
    <row r="92" spans="1:19" s="194" customFormat="1">
      <c r="A92" s="194" t="str">
        <f>VLOOKUP(C71,NDasaSeq,16,0)</f>
        <v>Ge</v>
      </c>
      <c r="B92" s="194">
        <f>VLOOKUP(A92,NDasaC,3,0)</f>
        <v>1</v>
      </c>
      <c r="C92" s="925" t="e">
        <f>IF(MATCH(VLOOKUP(IF((A92="Aq"),VLOOKUP("AqLord",DivCharts,D70,0),IF((A92="Sc"),VLOOKUP("ScLord",DivCharts,D70,0),VLOOKUP(A92,RsInfo,9,0))),DivCharts,D70,0),RsTbl,0)=MATCH(VLOOKUP(IF((A92="Aq"),VLOOKUP("AqLord",DivCharts,D70,0),IF((A92="Sc"),VLOOKUP("ScLord",DivCharts,D70,0),VLOOKUP(A92,RsInfo,9,0))),PlanetData,8,0),RsTbl,0),1,IF(MATCH(VLOOKUP(IF((A92="Aq"),VLOOKUP("AqLord",DivCharts,D70,0),IF((A92="Sc"),VLOOKUP("ScLord",DivCharts,D70,0),VLOOKUP(A92,RsInfo,9,0))),DivCharts,D70,0),RsTbl,0)=MOD(MATCH(VLOOKUP(IF((A92="Aq"),VLOOKUP("AqLord",DivCharts,D70,0),IF((A92="Sc"),VLOOKUP("ScLord",DivCharts,D70,0),VLOOKUP(A92,RsInfo,9,0))),PlanetData,8,0),RsTbl,0)+6,12),-1,0))</f>
        <v>#N/A</v>
      </c>
      <c r="D92" s="925">
        <f>MOD((MATCH(VLOOKUP(IF((A92="Aq"),VLOOKUP("AqLord",DivCharts,D70,0),IF((A92="Sc"),VLOOKUP("ScLord",DivCharts,D70,0),VLOOKUP(A92,RsInfo,9,0))),DivCharts,D70,0),RsTbl,0)*B92)-(B92*MATCH(A92,RsTbl,0))+12,12)</f>
        <v>9</v>
      </c>
      <c r="E92" s="194" t="e">
        <f>IF(ISNA(MATCH((D92+C92),,0)),(D92+C92),12)</f>
        <v>#N/A</v>
      </c>
      <c r="F92" s="932" t="e">
        <f>G90</f>
        <v>#N/A</v>
      </c>
      <c r="G92" s="932" t="e">
        <f>F92+E92*NDDaysInYEar</f>
        <v>#N/A</v>
      </c>
      <c r="H92" s="919" t="str">
        <f>A92</f>
        <v>Ge</v>
      </c>
      <c r="I92" s="194" t="str">
        <f>INDEX(SignSym,MOD(B92+MATCH(H92,SignSym,0)-1,12)+1)</f>
        <v>Cn</v>
      </c>
      <c r="J92" s="194" t="str">
        <f>INDEX(SignSym,MOD(B92+MATCH(I92,SignSym,0)-1,12)+1)</f>
        <v>Le</v>
      </c>
      <c r="K92" s="194" t="str">
        <f>INDEX(SignSym,MOD(B92+MATCH(J92,SignSym,0)-1,12)+1)</f>
        <v>Vi</v>
      </c>
      <c r="L92" s="194" t="str">
        <f>INDEX(SignSym,MOD(B92+MATCH(K92,SignSym,0)-1,12)+1)</f>
        <v>Li</v>
      </c>
      <c r="M92" s="194" t="str">
        <f>INDEX(SignSym,MOD(B92+MATCH(L92,SignSym,0)-1,12)+1)</f>
        <v>Sc</v>
      </c>
      <c r="N92" s="194" t="str">
        <f>INDEX(SignSym,MOD(B92+MATCH(M92,SignSym,0)-1,12)+1)</f>
        <v>Sg</v>
      </c>
      <c r="O92" s="194" t="str">
        <f>INDEX(SignSym,MOD(B92+MATCH(N92,SignSym,0)-1,12)+1)</f>
        <v>Cp</v>
      </c>
      <c r="P92" s="194" t="str">
        <f>INDEX(SignSym,MOD(B92+MATCH(O92,SignSym,0)-1,12)+1)</f>
        <v>Aq</v>
      </c>
      <c r="Q92" s="194" t="str">
        <f>INDEX(SignSym,MOD(B92+MATCH(P92,SignSym,0)-1,12)+1)</f>
        <v>Pi</v>
      </c>
      <c r="R92" s="194" t="str">
        <f>INDEX(SignSym,MOD(B92+MATCH(Q92,SignSym,0)-1,12)+1)</f>
        <v>Ar</v>
      </c>
      <c r="S92" s="194" t="str">
        <f>INDEX(SignSym,MOD(B92+MATCH(R92,SignSym,0)-1,12)+1)</f>
        <v>Ta</v>
      </c>
    </row>
    <row r="93" spans="1:19" s="194" customFormat="1" ht="12.75" hidden="1" customHeight="1">
      <c r="C93" s="925"/>
      <c r="D93" s="925"/>
      <c r="F93" s="932"/>
      <c r="G93" s="932"/>
      <c r="H93" s="932" t="e">
        <f>F92</f>
        <v>#N/A</v>
      </c>
      <c r="I93" s="932" t="e">
        <f>H93+(E92*NDDaysInYEar/12)</f>
        <v>#N/A</v>
      </c>
      <c r="J93" s="932" t="e">
        <f>I93+(E92*NDDaysInYEar/12)</f>
        <v>#N/A</v>
      </c>
      <c r="K93" s="932" t="e">
        <f>J93+(E92*NDDaysInYEar/12)</f>
        <v>#N/A</v>
      </c>
      <c r="L93" s="932" t="e">
        <f>K93+(E92*NDDaysInYEar/12)</f>
        <v>#N/A</v>
      </c>
      <c r="M93" s="932" t="e">
        <f>L93+(E92*NDDaysInYEar/12)</f>
        <v>#N/A</v>
      </c>
      <c r="N93" s="932" t="e">
        <f>M93+(E92*NDDaysInYEar/12)</f>
        <v>#N/A</v>
      </c>
      <c r="O93" s="932" t="e">
        <f>N93+(E92*NDDaysInYEar/12)</f>
        <v>#N/A</v>
      </c>
      <c r="P93" s="932" t="e">
        <f>O93+(E92*NDDaysInYEar/12)</f>
        <v>#N/A</v>
      </c>
      <c r="Q93" s="932" t="e">
        <f>P93+(E92*NDDaysInYEar/12)</f>
        <v>#N/A</v>
      </c>
      <c r="R93" s="932" t="e">
        <f>Q93+(E92*NDDaysInYEar/12)</f>
        <v>#N/A</v>
      </c>
      <c r="S93" s="932" t="e">
        <f>R93+(E92*NDDaysInYEar/12)</f>
        <v>#N/A</v>
      </c>
    </row>
    <row r="94" spans="1:19" s="194" customFormat="1">
      <c r="A94" s="194" t="str">
        <f>VLOOKUP(C71,NDasaSeq,17,0)</f>
        <v>Li</v>
      </c>
      <c r="B94" s="194">
        <f>VLOOKUP(A94,NDasaC,3,0)</f>
        <v>1</v>
      </c>
      <c r="C94" s="925" t="e">
        <f>IF(MATCH(VLOOKUP(IF((A94="Aq"),VLOOKUP("AqLord",DivCharts,D70,0),IF((A94="Sc"),VLOOKUP("ScLord",DivCharts,D70,0),VLOOKUP(A94,RsInfo,9,0))),DivCharts,D70,0),RsTbl,0)=MATCH(VLOOKUP(IF((A94="Aq"),VLOOKUP("AqLord",DivCharts,D70,0),IF((A94="Sc"),VLOOKUP("ScLord",DivCharts,D70,0),VLOOKUP(A94,RsInfo,9,0))),PlanetData,8,0),RsTbl,0),1,IF(MATCH(VLOOKUP(IF((A94="Aq"),VLOOKUP("AqLord",DivCharts,D70,0),IF((A94="Sc"),VLOOKUP("ScLord",DivCharts,D70,0),VLOOKUP(A94,RsInfo,9,0))),DivCharts,D70,0),RsTbl,0)=MOD(MATCH(VLOOKUP(IF((A94="Aq"),VLOOKUP("AqLord",DivCharts,D70,0),IF((A94="Sc"),VLOOKUP("ScLord",DivCharts,D70,0),VLOOKUP(A94,RsInfo,9,0))),PlanetData,8,0),RsTbl,0)+6,12),-1,0))</f>
        <v>#N/A</v>
      </c>
      <c r="D94" s="925">
        <f>MOD((MATCH(VLOOKUP(IF((A94="Aq"),VLOOKUP("AqLord",DivCharts,D70,0),IF((A94="Sc"),VLOOKUP("ScLord",DivCharts,D70,0),VLOOKUP(A94,RsInfo,9,0))),DivCharts,D70,0),RsTbl,0)*B94)-(B94*MATCH(A94,RsTbl,0))+12,12)</f>
        <v>6</v>
      </c>
      <c r="E94" s="194" t="e">
        <f>IF(ISNA(MATCH((D94+C94),,0)),(D94+C94),12)</f>
        <v>#N/A</v>
      </c>
      <c r="F94" s="932" t="e">
        <f>G92</f>
        <v>#N/A</v>
      </c>
      <c r="G94" s="932" t="e">
        <f>F94+E94*NDDaysInYEar</f>
        <v>#N/A</v>
      </c>
      <c r="H94" s="919" t="str">
        <f>A94</f>
        <v>Li</v>
      </c>
      <c r="I94" s="194" t="str">
        <f>INDEX(SignSym,MOD(B94+MATCH(H94,SignSym,0)-1,12)+1)</f>
        <v>Sc</v>
      </c>
      <c r="J94" s="194" t="str">
        <f>INDEX(SignSym,MOD(B94+MATCH(I94,SignSym,0)-1,12)+1)</f>
        <v>Sg</v>
      </c>
      <c r="K94" s="194" t="str">
        <f>INDEX(SignSym,MOD(B94+MATCH(J94,SignSym,0)-1,12)+1)</f>
        <v>Cp</v>
      </c>
      <c r="L94" s="194" t="str">
        <f>INDEX(SignSym,MOD(B94+MATCH(K94,SignSym,0)-1,12)+1)</f>
        <v>Aq</v>
      </c>
      <c r="M94" s="194" t="str">
        <f>INDEX(SignSym,MOD(B94+MATCH(L94,SignSym,0)-1,12)+1)</f>
        <v>Pi</v>
      </c>
      <c r="N94" s="194" t="str">
        <f>INDEX(SignSym,MOD(B94+MATCH(M94,SignSym,0)-1,12)+1)</f>
        <v>Ar</v>
      </c>
      <c r="O94" s="194" t="str">
        <f>INDEX(SignSym,MOD(B94+MATCH(N94,SignSym,0)-1,12)+1)</f>
        <v>Ta</v>
      </c>
      <c r="P94" s="194" t="str">
        <f>INDEX(SignSym,MOD(B94+MATCH(O94,SignSym,0)-1,12)+1)</f>
        <v>Ge</v>
      </c>
      <c r="Q94" s="194" t="str">
        <f>INDEX(SignSym,MOD(B94+MATCH(P94,SignSym,0)-1,12)+1)</f>
        <v>Cn</v>
      </c>
      <c r="R94" s="194" t="str">
        <f>INDEX(SignSym,MOD(B94+MATCH(Q94,SignSym,0)-1,12)+1)</f>
        <v>Le</v>
      </c>
      <c r="S94" s="194" t="str">
        <f>INDEX(SignSym,MOD(B94+MATCH(R94,SignSym,0)-1,12)+1)</f>
        <v>Vi</v>
      </c>
    </row>
    <row r="95" spans="1:19" s="194" customFormat="1" ht="12.75" hidden="1" customHeight="1">
      <c r="C95" s="925"/>
      <c r="D95" s="925"/>
      <c r="F95" s="932"/>
      <c r="G95" s="932"/>
      <c r="H95" s="932" t="e">
        <f>F94</f>
        <v>#N/A</v>
      </c>
      <c r="I95" s="932" t="e">
        <f>H95+(E94*NDDaysInYEar/12)</f>
        <v>#N/A</v>
      </c>
      <c r="J95" s="932" t="e">
        <f>I95+(E94*NDDaysInYEar/12)</f>
        <v>#N/A</v>
      </c>
      <c r="K95" s="932" t="e">
        <f>J95+(E94*NDDaysInYEar/12)</f>
        <v>#N/A</v>
      </c>
      <c r="L95" s="932" t="e">
        <f>K95+(E94*NDDaysInYEar/12)</f>
        <v>#N/A</v>
      </c>
      <c r="M95" s="932" t="e">
        <f>L95+(E94*NDDaysInYEar/12)</f>
        <v>#N/A</v>
      </c>
      <c r="N95" s="932" t="e">
        <f>M95+(E94*NDDaysInYEar/12)</f>
        <v>#N/A</v>
      </c>
      <c r="O95" s="932" t="e">
        <f>N95+(E94*NDDaysInYEar/12)</f>
        <v>#N/A</v>
      </c>
      <c r="P95" s="932" t="e">
        <f>O95+(E94*NDDaysInYEar/12)</f>
        <v>#N/A</v>
      </c>
      <c r="Q95" s="932" t="e">
        <f>P95+(E94*NDDaysInYEar/12)</f>
        <v>#N/A</v>
      </c>
      <c r="R95" s="932" t="e">
        <f>Q95+(E94*NDDaysInYEar/12)</f>
        <v>#N/A</v>
      </c>
      <c r="S95" s="932" t="e">
        <f>R95+(E94*NDDaysInYEar/12)</f>
        <v>#N/A</v>
      </c>
    </row>
    <row r="96" spans="1:19" s="194" customFormat="1">
      <c r="A96" s="194" t="str">
        <f>VLOOKUP(C71,NDasaSeq,18,0)</f>
        <v>Aq</v>
      </c>
      <c r="B96" s="194">
        <f>VLOOKUP(A96,NDasaC,3,0)</f>
        <v>-1</v>
      </c>
      <c r="C96" s="925" t="e">
        <f>IF(MATCH(VLOOKUP(IF((A96="Aq"),VLOOKUP("AqLord",DivCharts,D70,0),IF((A96="Sc"),VLOOKUP("ScLord",DivCharts,D70,0),VLOOKUP(A96,RsInfo,9,0))),DivCharts,D70,0),RsTbl,0)=MATCH(VLOOKUP(IF((A96="Aq"),VLOOKUP("AqLord",DivCharts,D70,0),IF((A96="Sc"),VLOOKUP("ScLord",DivCharts,D70,0),VLOOKUP(A96,RsInfo,9,0))),PlanetData,8,0),RsTbl,0),1,IF(MATCH(VLOOKUP(IF((A96="Aq"),VLOOKUP("AqLord",DivCharts,D70,0),IF((A96="Sc"),VLOOKUP("ScLord",DivCharts,D70,0),VLOOKUP(A96,RsInfo,9,0))),DivCharts,D70,0),RsTbl,0)=MOD(MATCH(VLOOKUP(IF((A96="Aq"),VLOOKUP("AqLord",DivCharts,D70,0),IF((A96="Sc"),VLOOKUP("ScLord",DivCharts,D70,0),VLOOKUP(A96,RsInfo,9,0))),PlanetData,8,0),RsTbl,0)+6,12),-1,0))</f>
        <v>#N/A</v>
      </c>
      <c r="D96" s="925">
        <f>MOD((MATCH(VLOOKUP(IF((A96="Aq"),VLOOKUP("AqLord",DivCharts,D70,0),IF((A96="Sc"),VLOOKUP("ScLord",DivCharts,D70,0),VLOOKUP(A96,RsInfo,9,0))),DivCharts,D70,0),RsTbl,0)*B96)-(B96*MATCH(A96,RsTbl,0))+12,12)</f>
        <v>7</v>
      </c>
      <c r="E96" s="194" t="e">
        <f>IF(ISNA(MATCH((D96+C96),,0)),(D96+C96),12)</f>
        <v>#N/A</v>
      </c>
      <c r="F96" s="932" t="e">
        <f>G94</f>
        <v>#N/A</v>
      </c>
      <c r="G96" s="932" t="e">
        <f>F96+E96*NDDaysInYEar</f>
        <v>#N/A</v>
      </c>
      <c r="H96" s="919" t="str">
        <f>A96</f>
        <v>Aq</v>
      </c>
      <c r="I96" s="194" t="str">
        <f>INDEX(SignSym,MOD(B96+MATCH(H96,SignSym,0)-1,12)+1)</f>
        <v>Cp</v>
      </c>
      <c r="J96" s="194" t="str">
        <f>INDEX(SignSym,MOD(B96+MATCH(I96,SignSym,0)-1,12)+1)</f>
        <v>Sg</v>
      </c>
      <c r="K96" s="194" t="str">
        <f>INDEX(SignSym,MOD(B96+MATCH(J96,SignSym,0)-1,12)+1)</f>
        <v>Sc</v>
      </c>
      <c r="L96" s="194" t="str">
        <f>INDEX(SignSym,MOD(B96+MATCH(K96,SignSym,0)-1,12)+1)</f>
        <v>Li</v>
      </c>
      <c r="M96" s="194" t="str">
        <f>INDEX(SignSym,MOD(B96+MATCH(L96,SignSym,0)-1,12)+1)</f>
        <v>Vi</v>
      </c>
      <c r="N96" s="194" t="str">
        <f>INDEX(SignSym,MOD(B96+MATCH(M96,SignSym,0)-1,12)+1)</f>
        <v>Le</v>
      </c>
      <c r="O96" s="194" t="str">
        <f>INDEX(SignSym,MOD(B96+MATCH(N96,SignSym,0)-1,12)+1)</f>
        <v>Cn</v>
      </c>
      <c r="P96" s="194" t="str">
        <f>INDEX(SignSym,MOD(B96+MATCH(O96,SignSym,0)-1,12)+1)</f>
        <v>Ge</v>
      </c>
      <c r="Q96" s="194" t="str">
        <f>INDEX(SignSym,MOD(B96+MATCH(P96,SignSym,0)-1,12)+1)</f>
        <v>Ta</v>
      </c>
      <c r="R96" s="194" t="str">
        <f>INDEX(SignSym,MOD(B96+MATCH(Q96,SignSym,0)-1,12)+1)</f>
        <v>Ar</v>
      </c>
      <c r="S96" s="194" t="str">
        <f>INDEX(SignSym,MOD(B96+MATCH(R96,SignSym,0)-1,12)+1)</f>
        <v>Pi</v>
      </c>
    </row>
    <row r="97" spans="1:19" s="194" customFormat="1" hidden="1">
      <c r="D97" s="925"/>
      <c r="H97" s="932" t="e">
        <f>F96</f>
        <v>#N/A</v>
      </c>
      <c r="I97" s="932" t="e">
        <f>H97+(E96*NDDaysInYEar/12)</f>
        <v>#N/A</v>
      </c>
      <c r="J97" s="932" t="e">
        <f>I97+(E96*NDDaysInYEar/12)</f>
        <v>#N/A</v>
      </c>
      <c r="K97" s="932" t="e">
        <f>J97+(E96*NDDaysInYEar/12)</f>
        <v>#N/A</v>
      </c>
      <c r="L97" s="932" t="e">
        <f>K97+(E96*NDDaysInYEar/12)</f>
        <v>#N/A</v>
      </c>
      <c r="M97" s="932" t="e">
        <f>L97+(E96*NDDaysInYEar/12)</f>
        <v>#N/A</v>
      </c>
      <c r="N97" s="932" t="e">
        <f>M97+(E96*NDDaysInYEar/12)</f>
        <v>#N/A</v>
      </c>
      <c r="O97" s="932" t="e">
        <f>N97+(E96*NDDaysInYEar/12)</f>
        <v>#N/A</v>
      </c>
      <c r="P97" s="932" t="e">
        <f>O97+(E96*NDDaysInYEar/12)</f>
        <v>#N/A</v>
      </c>
      <c r="Q97" s="932" t="e">
        <f>P97+(E96*NDDaysInYEar/12)</f>
        <v>#N/A</v>
      </c>
      <c r="R97" s="932" t="e">
        <f>Q97+(E96*NDDaysInYEar/12)</f>
        <v>#N/A</v>
      </c>
      <c r="S97" s="932" t="e">
        <f>R97+(E96*NDDaysInYEar/12)</f>
        <v>#N/A</v>
      </c>
    </row>
    <row r="98" spans="1:19" s="194" customFormat="1">
      <c r="A98" s="931"/>
      <c r="B98" s="931"/>
      <c r="C98" s="931"/>
      <c r="D98" s="931"/>
      <c r="E98" s="931"/>
      <c r="F98" s="931"/>
      <c r="G98" s="931"/>
      <c r="H98" s="931"/>
      <c r="I98" s="931"/>
      <c r="J98" s="931"/>
      <c r="K98" s="931"/>
      <c r="L98" s="931"/>
      <c r="M98" s="931"/>
      <c r="N98" s="931"/>
      <c r="O98" s="931"/>
      <c r="P98" s="931"/>
      <c r="Q98" s="931"/>
      <c r="R98" s="931"/>
      <c r="S98" s="931"/>
    </row>
    <row r="99" spans="1:19" s="194" customFormat="1" hidden="1">
      <c r="H99" s="932"/>
      <c r="I99" s="932"/>
      <c r="J99" s="932"/>
      <c r="K99" s="932"/>
      <c r="L99" s="932"/>
      <c r="M99" s="932"/>
      <c r="N99" s="932"/>
      <c r="O99" s="932"/>
      <c r="P99" s="932"/>
      <c r="Q99" s="932"/>
      <c r="R99" s="932"/>
      <c r="S99" s="932"/>
    </row>
    <row r="100" spans="1:19" s="194" customFormat="1"/>
    <row r="102" spans="1:19" s="194" customFormat="1">
      <c r="A102" s="1366" t="s">
        <v>4189</v>
      </c>
      <c r="B102" s="1366"/>
      <c r="C102" s="916">
        <v>10</v>
      </c>
      <c r="D102" s="917">
        <f>MATCH(C102,$18:$18,1)</f>
        <v>7</v>
      </c>
      <c r="I102" s="918"/>
      <c r="N102" s="918"/>
    </row>
    <row r="103" spans="1:19" s="194" customFormat="1">
      <c r="A103" s="1366" t="s">
        <v>4192</v>
      </c>
      <c r="B103" s="1366"/>
      <c r="C103" s="919" t="s">
        <v>987</v>
      </c>
      <c r="D103" s="920"/>
      <c r="H103" s="918"/>
      <c r="I103" s="918"/>
      <c r="J103" s="918"/>
      <c r="P103" s="918"/>
    </row>
    <row r="104" spans="1:19" s="194" customFormat="1">
      <c r="C104" s="918"/>
      <c r="E104" s="918"/>
      <c r="H104" s="918"/>
      <c r="I104" s="918"/>
      <c r="J104" s="918"/>
    </row>
    <row r="105" spans="1:19" s="194" customFormat="1">
      <c r="A105" s="934" t="s">
        <v>4060</v>
      </c>
      <c r="B105" s="934" t="s">
        <v>807</v>
      </c>
      <c r="C105" s="934" t="s">
        <v>4194</v>
      </c>
      <c r="D105" s="934" t="s">
        <v>4195</v>
      </c>
      <c r="E105" s="934" t="s">
        <v>400</v>
      </c>
      <c r="F105" s="934" t="s">
        <v>730</v>
      </c>
      <c r="G105" s="934" t="s">
        <v>805</v>
      </c>
      <c r="H105" s="934" t="s">
        <v>4197</v>
      </c>
      <c r="I105" s="918"/>
      <c r="J105" s="918"/>
    </row>
    <row r="106" spans="1:19" s="194" customFormat="1">
      <c r="A106" s="194" t="str">
        <f>VLOOKUP(C103,NDasaSeq,7,0)</f>
        <v>Cp</v>
      </c>
      <c r="B106" s="194">
        <f>VLOOKUP(A106,NDasaC,3,0)</f>
        <v>-1</v>
      </c>
      <c r="C106" s="925" t="e">
        <f>IF(MATCH(VLOOKUP(IF((A106="Aq"),VLOOKUP("AqLord",DivCharts,D102,0),IF((A106="Sc"),VLOOKUP("ScLord",DivCharts,D102,0),VLOOKUP(A106,RsInfo,9,0))),DivCharts,D102,0),RsTbl,0)=MATCH(VLOOKUP(IF((A106="Aq"),VLOOKUP("AqLord",DivCharts,D102,0),IF((A106="Sc"),VLOOKUP("ScLord",DivCharts,D102,0),VLOOKUP(A106,RsInfo,9,0))),PlanetData,8,0),RsTbl,0),1,IF(MATCH(VLOOKUP(IF((A106="Aq"),VLOOKUP("AqLord",DivCharts,D102,0),IF((A106="Sc"),VLOOKUP("ScLord",DivCharts,D102,0),VLOOKUP(A106,RsInfo,9,0))),DivCharts,D102,0),RsTbl,0)=MOD(MATCH(VLOOKUP(IF((A106="Aq"),VLOOKUP("AqLord",DivCharts,D102,0),IF((A106="Sc"),VLOOKUP("ScLord",DivCharts,D102,0),VLOOKUP(A106,RsInfo,9,0))),PlanetData,8,0),RsTbl,0)+6,12),-1,0))</f>
        <v>#N/A</v>
      </c>
      <c r="D106" s="925">
        <f>MOD((MATCH(VLOOKUP(IF((A106="Aq"),VLOOKUP("AqLord",DivCharts,D102,0),IF((A106="Sc"),VLOOKUP("ScLord",DivCharts,D102,0),VLOOKUP(A106,RsInfo,9,0))),DivCharts,D102,0),RsTbl,0)*B106)-(B106*MATCH(A106,RsTbl,0))+12,12)</f>
        <v>10</v>
      </c>
      <c r="E106" s="194" t="e">
        <f>IF(ISNA(MATCH((D106+C106),,0)),(D106+C106),12)</f>
        <v>#N/A</v>
      </c>
      <c r="F106" s="932">
        <f>NDDoB</f>
        <v>26133.384143518517</v>
      </c>
      <c r="G106" s="932" t="e">
        <f>F106+E106*NDDaysInYEar</f>
        <v>#N/A</v>
      </c>
      <c r="H106" s="919" t="str">
        <f>A106</f>
        <v>Cp</v>
      </c>
      <c r="I106" s="194" t="str">
        <f>INDEX(SignSym,MOD(B106+MATCH(H106,SignSym,0)-1,12)+1)</f>
        <v>Sg</v>
      </c>
      <c r="J106" s="194" t="str">
        <f>INDEX(SignSym,MOD(B106+MATCH(I106,SignSym,0)-1,12)+1)</f>
        <v>Sc</v>
      </c>
      <c r="K106" s="194" t="str">
        <f>INDEX(SignSym,MOD(B106+MATCH(J106,SignSym,0)-1,12)+1)</f>
        <v>Li</v>
      </c>
      <c r="L106" s="194" t="str">
        <f>INDEX(SignSym,MOD(B106+MATCH(K106,SignSym,0)-1,12)+1)</f>
        <v>Vi</v>
      </c>
      <c r="M106" s="194" t="str">
        <f>INDEX(SignSym,MOD(B106+MATCH(L106,SignSym,0)-1,12)+1)</f>
        <v>Le</v>
      </c>
      <c r="N106" s="194" t="str">
        <f>INDEX(SignSym,MOD(B106+MATCH(M106,SignSym,0)-1,12)+1)</f>
        <v>Cn</v>
      </c>
      <c r="O106" s="194" t="str">
        <f>INDEX(SignSym,MOD(B106+MATCH(N106,SignSym,0)-1,12)+1)</f>
        <v>Ge</v>
      </c>
      <c r="P106" s="194" t="str">
        <f>INDEX(SignSym,MOD(B106+MATCH(O106,SignSym,0)-1,12)+1)</f>
        <v>Ta</v>
      </c>
      <c r="Q106" s="194" t="str">
        <f>INDEX(SignSym,MOD(B106+MATCH(P106,SignSym,0)-1,12)+1)</f>
        <v>Ar</v>
      </c>
      <c r="R106" s="194" t="str">
        <f>INDEX(SignSym,MOD(B106+MATCH(Q106,SignSym,0)-1,12)+1)</f>
        <v>Pi</v>
      </c>
      <c r="S106" s="194" t="str">
        <f>INDEX(SignSym,MOD(B106+MATCH(R106,SignSym,0)-1,12)+1)</f>
        <v>Aq</v>
      </c>
    </row>
    <row r="107" spans="1:19" s="194" customFormat="1" ht="12.75" hidden="1" customHeight="1">
      <c r="C107" s="925"/>
      <c r="D107" s="925"/>
      <c r="F107" s="932"/>
      <c r="G107" s="932"/>
      <c r="H107" s="932">
        <f>F106</f>
        <v>26133.384143518517</v>
      </c>
      <c r="I107" s="932" t="e">
        <f>H107+(E106*NDDaysInYEar/12)</f>
        <v>#N/A</v>
      </c>
      <c r="J107" s="932" t="e">
        <f>I107+(E106*NDDaysInYEar/12)</f>
        <v>#N/A</v>
      </c>
      <c r="K107" s="932" t="e">
        <f>J107+(E106*NDDaysInYEar/12)</f>
        <v>#N/A</v>
      </c>
      <c r="L107" s="932" t="e">
        <f>K107+(E106*NDDaysInYEar/12)</f>
        <v>#N/A</v>
      </c>
      <c r="M107" s="932" t="e">
        <f>L107+(E106*NDDaysInYEar/12)</f>
        <v>#N/A</v>
      </c>
      <c r="N107" s="932" t="e">
        <f>M107+(E106*NDDaysInYEar/12)</f>
        <v>#N/A</v>
      </c>
      <c r="O107" s="932" t="e">
        <f>N107+(E106*NDDaysInYEar/12)</f>
        <v>#N/A</v>
      </c>
      <c r="P107" s="932" t="e">
        <f>O107+(E106*NDDaysInYEar/12)</f>
        <v>#N/A</v>
      </c>
      <c r="Q107" s="932" t="e">
        <f>P107+(E106*NDDaysInYEar/12)</f>
        <v>#N/A</v>
      </c>
      <c r="R107" s="932" t="e">
        <f>Q107+(E106*NDDaysInYEar/12)</f>
        <v>#N/A</v>
      </c>
      <c r="S107" s="932" t="e">
        <f>R107+(E106*NDDaysInYEar/12)</f>
        <v>#N/A</v>
      </c>
    </row>
    <row r="108" spans="1:19" s="194" customFormat="1">
      <c r="A108" s="194" t="str">
        <f>VLOOKUP(C103,NDasaSeq,8,0)</f>
        <v>Sg</v>
      </c>
      <c r="B108" s="194">
        <f>VLOOKUP(A108,NDasaC,3,0)</f>
        <v>1</v>
      </c>
      <c r="C108" s="925" t="e">
        <f>IF(MATCH(VLOOKUP(IF((A108="Aq"),VLOOKUP("AqLord",DivCharts,D102,0),IF((A108="Sc"),VLOOKUP("ScLord",DivCharts,D102,0),VLOOKUP(A108,RsInfo,9,0))),DivCharts,D102,0),RsTbl,0)=MATCH(VLOOKUP(IF((A108="Aq"),VLOOKUP("AqLord",DivCharts,D102,0),IF((A108="Sc"),VLOOKUP("ScLord",DivCharts,D102,0),VLOOKUP(A108,RsInfo,9,0))),PlanetData,8,0),RsTbl,0),1,IF(MATCH(VLOOKUP(IF((A108="Aq"),VLOOKUP("AqLord",DivCharts,D102,0),IF((A108="Sc"),VLOOKUP("ScLord",DivCharts,D102,0),VLOOKUP(A108,RsInfo,9,0))),DivCharts,D102,0),RsTbl,0)=MOD(MATCH(VLOOKUP(IF((A108="Aq"),VLOOKUP("AqLord",DivCharts,D102,0),IF((A108="Sc"),VLOOKUP("ScLord",DivCharts,D102,0),VLOOKUP(A108,RsInfo,9,0))),PlanetData,8,0),RsTbl,0)+6,12),-1,0))</f>
        <v>#N/A</v>
      </c>
      <c r="D108" s="925">
        <f>MOD((MATCH(VLOOKUP(IF((A108="Aq"),VLOOKUP("AqLord",DivCharts,D102,0),IF((A108="Sc"),VLOOKUP("ScLord",DivCharts,D102,0),VLOOKUP(A108,RsInfo,9,0))),DivCharts,D102,0),RsTbl,0)*B108)-(B108*MATCH(A108,RsTbl,0))+12,12)</f>
        <v>7</v>
      </c>
      <c r="E108" s="194" t="e">
        <f>IF(ISNA(MATCH((D108+C108),,0)),(D108+C108),12)</f>
        <v>#N/A</v>
      </c>
      <c r="F108" s="932" t="e">
        <f>G106</f>
        <v>#N/A</v>
      </c>
      <c r="G108" s="932" t="e">
        <f>F108+E108*NDDaysInYEar</f>
        <v>#N/A</v>
      </c>
      <c r="H108" s="919" t="str">
        <f>A108</f>
        <v>Sg</v>
      </c>
      <c r="I108" s="194" t="str">
        <f>INDEX(SignSym,MOD(B108+MATCH(H108,SignSym,0)-1,12)+1)</f>
        <v>Cp</v>
      </c>
      <c r="J108" s="194" t="str">
        <f>INDEX(SignSym,MOD(B108+MATCH(I108,SignSym,0)-1,12)+1)</f>
        <v>Aq</v>
      </c>
      <c r="K108" s="194" t="str">
        <f>INDEX(SignSym,MOD(B108+MATCH(J108,SignSym,0)-1,12)+1)</f>
        <v>Pi</v>
      </c>
      <c r="L108" s="194" t="str">
        <f>INDEX(SignSym,MOD(B108+MATCH(K108,SignSym,0)-1,12)+1)</f>
        <v>Ar</v>
      </c>
      <c r="M108" s="194" t="str">
        <f>INDEX(SignSym,MOD(B108+MATCH(L108,SignSym,0)-1,12)+1)</f>
        <v>Ta</v>
      </c>
      <c r="N108" s="194" t="str">
        <f>INDEX(SignSym,MOD(B108+MATCH(M108,SignSym,0)-1,12)+1)</f>
        <v>Ge</v>
      </c>
      <c r="O108" s="194" t="str">
        <f>INDEX(SignSym,MOD(B108+MATCH(N108,SignSym,0)-1,12)+1)</f>
        <v>Cn</v>
      </c>
      <c r="P108" s="194" t="str">
        <f>INDEX(SignSym,MOD(B108+MATCH(O108,SignSym,0)-1,12)+1)</f>
        <v>Le</v>
      </c>
      <c r="Q108" s="194" t="str">
        <f>INDEX(SignSym,MOD(B108+MATCH(P108,SignSym,0)-1,12)+1)</f>
        <v>Vi</v>
      </c>
      <c r="R108" s="194" t="str">
        <f>INDEX(SignSym,MOD(B108+MATCH(Q108,SignSym,0)-1,12)+1)</f>
        <v>Li</v>
      </c>
      <c r="S108" s="194" t="str">
        <f>INDEX(SignSym,MOD(B108+MATCH(R108,SignSym,0)-1,12)+1)</f>
        <v>Sc</v>
      </c>
    </row>
    <row r="109" spans="1:19" s="194" customFormat="1" ht="12.75" hidden="1" customHeight="1">
      <c r="C109" s="925"/>
      <c r="D109" s="925"/>
      <c r="F109" s="932"/>
      <c r="G109" s="932"/>
      <c r="H109" s="932" t="e">
        <f>F108</f>
        <v>#N/A</v>
      </c>
      <c r="I109" s="932" t="e">
        <f>H109+(E108*NDDaysInYEar/12)</f>
        <v>#N/A</v>
      </c>
      <c r="J109" s="932" t="e">
        <f>I109+(E108*NDDaysInYEar/12)</f>
        <v>#N/A</v>
      </c>
      <c r="K109" s="932" t="e">
        <f>J109+(E108*NDDaysInYEar/12)</f>
        <v>#N/A</v>
      </c>
      <c r="L109" s="932" t="e">
        <f>K109+(E108*NDDaysInYEar/12)</f>
        <v>#N/A</v>
      </c>
      <c r="M109" s="932" t="e">
        <f>L109+(E108*NDDaysInYEar/12)</f>
        <v>#N/A</v>
      </c>
      <c r="N109" s="932" t="e">
        <f>M109+(E108*NDDaysInYEar/12)</f>
        <v>#N/A</v>
      </c>
      <c r="O109" s="932" t="e">
        <f>N109+(E108*NDDaysInYEar/12)</f>
        <v>#N/A</v>
      </c>
      <c r="P109" s="932" t="e">
        <f>O109+(E108*NDDaysInYEar/12)</f>
        <v>#N/A</v>
      </c>
      <c r="Q109" s="932" t="e">
        <f>P109+(E108*NDDaysInYEar/12)</f>
        <v>#N/A</v>
      </c>
      <c r="R109" s="932" t="e">
        <f>Q109+(E108*NDDaysInYEar/12)</f>
        <v>#N/A</v>
      </c>
      <c r="S109" s="932" t="e">
        <f>R109+(E108*NDDaysInYEar/12)</f>
        <v>#N/A</v>
      </c>
    </row>
    <row r="110" spans="1:19" s="194" customFormat="1">
      <c r="A110" s="194" t="str">
        <f>VLOOKUP(C103,NDasaSeq,9,0)</f>
        <v>Sc</v>
      </c>
      <c r="B110" s="194">
        <f>VLOOKUP(A110,NDasaC,3,0)</f>
        <v>1</v>
      </c>
      <c r="C110" s="925" t="e">
        <f>IF(MATCH(VLOOKUP(IF((A110="Aq"),VLOOKUP("AqLord",DivCharts,D102,0),IF((A110="Sc"),VLOOKUP("ScLord",DivCharts,D102,0),VLOOKUP(A110,RsInfo,9,0))),DivCharts,D102,0),RsTbl,0)=MATCH(VLOOKUP(IF((A110="Aq"),VLOOKUP("AqLord",DivCharts,D102,0),IF((A110="Sc"),VLOOKUP("ScLord",DivCharts,D102,0),VLOOKUP(A110,RsInfo,9,0))),PlanetData,8,0),RsTbl,0),1,IF(MATCH(VLOOKUP(IF((A110="Aq"),VLOOKUP("AqLord",DivCharts,D102,0),IF((A110="Sc"),VLOOKUP("ScLord",DivCharts,D102,0),VLOOKUP(A110,RsInfo,9,0))),DivCharts,D102,0),RsTbl,0)=MOD(MATCH(VLOOKUP(IF((A110="Aq"),VLOOKUP("AqLord",DivCharts,D102,0),IF((A110="Sc"),VLOOKUP("ScLord",DivCharts,D102,0),VLOOKUP(A110,RsInfo,9,0))),PlanetData,8,0),RsTbl,0)+6,12),-1,0))</f>
        <v>#N/A</v>
      </c>
      <c r="D110" s="925">
        <f>MOD((MATCH(VLOOKUP(IF((A110="Aq"),VLOOKUP("AqLord",DivCharts,D102,0),IF((A110="Sc"),VLOOKUP("ScLord",DivCharts,D102,0),VLOOKUP(A110,RsInfo,9,0))),DivCharts,D102,0),RsTbl,0)*B110)-(B110*MATCH(A110,RsTbl,0))+12,12)</f>
        <v>2</v>
      </c>
      <c r="E110" s="194" t="e">
        <f>IF(ISNA(MATCH((D110+C110),,0)),(D110+C110),12)</f>
        <v>#N/A</v>
      </c>
      <c r="F110" s="932" t="e">
        <f>G108</f>
        <v>#N/A</v>
      </c>
      <c r="G110" s="932" t="e">
        <f>F110+E110*NDDaysInYEar</f>
        <v>#N/A</v>
      </c>
      <c r="H110" s="919" t="str">
        <f>A110</f>
        <v>Sc</v>
      </c>
      <c r="I110" s="194" t="str">
        <f>INDEX(SignSym,MOD(B110+MATCH(H110,SignSym,0)-1,12)+1)</f>
        <v>Sg</v>
      </c>
      <c r="J110" s="194" t="str">
        <f>INDEX(SignSym,MOD(B110+MATCH(I110,SignSym,0)-1,12)+1)</f>
        <v>Cp</v>
      </c>
      <c r="K110" s="194" t="str">
        <f>INDEX(SignSym,MOD(B110+MATCH(J110,SignSym,0)-1,12)+1)</f>
        <v>Aq</v>
      </c>
      <c r="L110" s="194" t="str">
        <f>INDEX(SignSym,MOD(B110+MATCH(K110,SignSym,0)-1,12)+1)</f>
        <v>Pi</v>
      </c>
      <c r="M110" s="194" t="str">
        <f>INDEX(SignSym,MOD(B110+MATCH(L110,SignSym,0)-1,12)+1)</f>
        <v>Ar</v>
      </c>
      <c r="N110" s="194" t="str">
        <f>INDEX(SignSym,MOD(B110+MATCH(M110,SignSym,0)-1,12)+1)</f>
        <v>Ta</v>
      </c>
      <c r="O110" s="194" t="str">
        <f>INDEX(SignSym,MOD(B110+MATCH(N110,SignSym,0)-1,12)+1)</f>
        <v>Ge</v>
      </c>
      <c r="P110" s="194" t="str">
        <f>INDEX(SignSym,MOD(B110+MATCH(O110,SignSym,0)-1,12)+1)</f>
        <v>Cn</v>
      </c>
      <c r="Q110" s="194" t="str">
        <f>INDEX(SignSym,MOD(B110+MATCH(P110,SignSym,0)-1,12)+1)</f>
        <v>Le</v>
      </c>
      <c r="R110" s="194" t="str">
        <f>INDEX(SignSym,MOD(B110+MATCH(Q110,SignSym,0)-1,12)+1)</f>
        <v>Vi</v>
      </c>
      <c r="S110" s="194" t="str">
        <f>INDEX(SignSym,MOD(B110+MATCH(R110,SignSym,0)-1,12)+1)</f>
        <v>Li</v>
      </c>
    </row>
    <row r="111" spans="1:19" s="194" customFormat="1" ht="12.75" hidden="1" customHeight="1">
      <c r="C111" s="925"/>
      <c r="D111" s="925"/>
      <c r="F111" s="932"/>
      <c r="G111" s="932"/>
      <c r="H111" s="932" t="e">
        <f>F110</f>
        <v>#N/A</v>
      </c>
      <c r="I111" s="932" t="e">
        <f>H111+(E110*NDDaysInYEar/12)</f>
        <v>#N/A</v>
      </c>
      <c r="J111" s="932" t="e">
        <f>I111+(E110*NDDaysInYEar/12)</f>
        <v>#N/A</v>
      </c>
      <c r="K111" s="932" t="e">
        <f>J111+(E110*NDDaysInYEar/12)</f>
        <v>#N/A</v>
      </c>
      <c r="L111" s="932" t="e">
        <f>K111+(E110*NDDaysInYEar/12)</f>
        <v>#N/A</v>
      </c>
      <c r="M111" s="932" t="e">
        <f>L111+(E110*NDDaysInYEar/12)</f>
        <v>#N/A</v>
      </c>
      <c r="N111" s="932" t="e">
        <f>M111+(E110*NDDaysInYEar/12)</f>
        <v>#N/A</v>
      </c>
      <c r="O111" s="932" t="e">
        <f>N111+(E110*NDDaysInYEar/12)</f>
        <v>#N/A</v>
      </c>
      <c r="P111" s="932" t="e">
        <f>O111+(E110*NDDaysInYEar/12)</f>
        <v>#N/A</v>
      </c>
      <c r="Q111" s="932" t="e">
        <f>P111+(E110*NDDaysInYEar/12)</f>
        <v>#N/A</v>
      </c>
      <c r="R111" s="932" t="e">
        <f>Q111+(E110*NDDaysInYEar/12)</f>
        <v>#N/A</v>
      </c>
      <c r="S111" s="932" t="e">
        <f>R111+(E110*NDDaysInYEar/12)</f>
        <v>#N/A</v>
      </c>
    </row>
    <row r="112" spans="1:19" s="194" customFormat="1">
      <c r="A112" s="194" t="str">
        <f>VLOOKUP(C103,NDasaSeq,10,0)</f>
        <v>Li</v>
      </c>
      <c r="B112" s="194">
        <f>VLOOKUP(A112,NDasaC,3,0)</f>
        <v>1</v>
      </c>
      <c r="C112" s="925" t="e">
        <f>IF(MATCH(VLOOKUP(IF((A112="Aq"),VLOOKUP("AqLord",DivCharts,D102,0),IF((A112="Sc"),VLOOKUP("ScLord",DivCharts,D102,0),VLOOKUP(A112,RsInfo,9,0))),DivCharts,D102,0),RsTbl,0)=MATCH(VLOOKUP(IF((A112="Aq"),VLOOKUP("AqLord",DivCharts,D102,0),IF((A112="Sc"),VLOOKUP("ScLord",DivCharts,D102,0),VLOOKUP(A112,RsInfo,9,0))),PlanetData,8,0),RsTbl,0),1,IF(MATCH(VLOOKUP(IF((A112="Aq"),VLOOKUP("AqLord",DivCharts,D102,0),IF((A112="Sc"),VLOOKUP("ScLord",DivCharts,D102,0),VLOOKUP(A112,RsInfo,9,0))),DivCharts,D102,0),RsTbl,0)=MOD(MATCH(VLOOKUP(IF((A112="Aq"),VLOOKUP("AqLord",DivCharts,D102,0),IF((A112="Sc"),VLOOKUP("ScLord",DivCharts,D102,0),VLOOKUP(A112,RsInfo,9,0))),PlanetData,8,0),RsTbl,0)+6,12),-1,0))</f>
        <v>#N/A</v>
      </c>
      <c r="D112" s="925">
        <v>9</v>
      </c>
      <c r="E112" s="194" t="e">
        <f>IF(ISNA(MATCH((D112+C112),,0)),(D112+C112),12)</f>
        <v>#N/A</v>
      </c>
      <c r="F112" s="932" t="e">
        <f>G110</f>
        <v>#N/A</v>
      </c>
      <c r="G112" s="932" t="e">
        <f>F112+E112*NDDaysInYEar</f>
        <v>#N/A</v>
      </c>
      <c r="H112" s="919" t="str">
        <f>A112</f>
        <v>Li</v>
      </c>
      <c r="I112" s="194" t="str">
        <f>INDEX(SignSym,MOD(B112+MATCH(H112,SignSym,0)-1,12)+1)</f>
        <v>Sc</v>
      </c>
      <c r="J112" s="194" t="str">
        <f>INDEX(SignSym,MOD(B112+MATCH(I112,SignSym,0)-1,12)+1)</f>
        <v>Sg</v>
      </c>
      <c r="K112" s="194" t="str">
        <f>INDEX(SignSym,MOD(B112+MATCH(J112,SignSym,0)-1,12)+1)</f>
        <v>Cp</v>
      </c>
      <c r="L112" s="194" t="str">
        <f>INDEX(SignSym,MOD(B112+MATCH(K112,SignSym,0)-1,12)+1)</f>
        <v>Aq</v>
      </c>
      <c r="M112" s="194" t="str">
        <f>INDEX(SignSym,MOD(B112+MATCH(L112,SignSym,0)-1,12)+1)</f>
        <v>Pi</v>
      </c>
      <c r="N112" s="194" t="str">
        <f>INDEX(SignSym,MOD(B112+MATCH(M112,SignSym,0)-1,12)+1)</f>
        <v>Ar</v>
      </c>
      <c r="O112" s="194" t="str">
        <f>INDEX(SignSym,MOD(B112+MATCH(N112,SignSym,0)-1,12)+1)</f>
        <v>Ta</v>
      </c>
      <c r="P112" s="194" t="str">
        <f>INDEX(SignSym,MOD(B112+MATCH(O112,SignSym,0)-1,12)+1)</f>
        <v>Ge</v>
      </c>
      <c r="Q112" s="194" t="str">
        <f>INDEX(SignSym,MOD(B112+MATCH(P112,SignSym,0)-1,12)+1)</f>
        <v>Cn</v>
      </c>
      <c r="R112" s="194" t="str">
        <f>INDEX(SignSym,MOD(B112+MATCH(Q112,SignSym,0)-1,12)+1)</f>
        <v>Le</v>
      </c>
      <c r="S112" s="194" t="str">
        <f>INDEX(SignSym,MOD(B112+MATCH(R112,SignSym,0)-1,12)+1)</f>
        <v>Vi</v>
      </c>
    </row>
    <row r="113" spans="1:19" s="194" customFormat="1" ht="12.75" hidden="1" customHeight="1">
      <c r="C113" s="925"/>
      <c r="D113" s="925"/>
      <c r="F113" s="932"/>
      <c r="G113" s="932"/>
      <c r="H113" s="932" t="e">
        <f>F112</f>
        <v>#N/A</v>
      </c>
      <c r="I113" s="932" t="e">
        <f>H113+(E112*NDDaysInYEar/12)</f>
        <v>#N/A</v>
      </c>
      <c r="J113" s="932" t="e">
        <f>I113+(E112*NDDaysInYEar/12)</f>
        <v>#N/A</v>
      </c>
      <c r="K113" s="932" t="e">
        <f>J113+(E112*NDDaysInYEar/12)</f>
        <v>#N/A</v>
      </c>
      <c r="L113" s="932" t="e">
        <f>K113+(E112*NDDaysInYEar/12)</f>
        <v>#N/A</v>
      </c>
      <c r="M113" s="932" t="e">
        <f>L113+(E112*NDDaysInYEar/12)</f>
        <v>#N/A</v>
      </c>
      <c r="N113" s="932" t="e">
        <f>M113+(E112*NDDaysInYEar/12)</f>
        <v>#N/A</v>
      </c>
      <c r="O113" s="932" t="e">
        <f>N113+(E112*NDDaysInYEar/12)</f>
        <v>#N/A</v>
      </c>
      <c r="P113" s="932" t="e">
        <f>O113+(E112*NDDaysInYEar/12)</f>
        <v>#N/A</v>
      </c>
      <c r="Q113" s="932" t="e">
        <f>P113+(E112*NDDaysInYEar/12)</f>
        <v>#N/A</v>
      </c>
      <c r="R113" s="932" t="e">
        <f>Q113+(E112*NDDaysInYEar/12)</f>
        <v>#N/A</v>
      </c>
      <c r="S113" s="932" t="e">
        <f>R113+(E112*NDDaysInYEar/12)</f>
        <v>#N/A</v>
      </c>
    </row>
    <row r="114" spans="1:19" s="194" customFormat="1">
      <c r="A114" s="194" t="str">
        <f>VLOOKUP(C103,NDasaSeq,11,0)</f>
        <v>Vi</v>
      </c>
      <c r="B114" s="194">
        <f>VLOOKUP(A114,NDasaC,3,0)</f>
        <v>-1</v>
      </c>
      <c r="C114" s="925" t="e">
        <f>IF(MATCH(VLOOKUP(IF((A114="Aq"),VLOOKUP("AqLord",DivCharts,D102,0),IF((A114="Sc"),VLOOKUP("ScLord",DivCharts,D102,0),VLOOKUP(A114,RsInfo,9,0))),DivCharts,D102,0),RsTbl,0)=MATCH(VLOOKUP(IF((A114="Aq"),VLOOKUP("AqLord",DivCharts,D102,0),IF((A114="Sc"),VLOOKUP("ScLord",DivCharts,D102,0),VLOOKUP(A114,RsInfo,9,0))),PlanetData,8,0),RsTbl,0),1,IF(MATCH(VLOOKUP(IF((A114="Aq"),VLOOKUP("AqLord",DivCharts,D102,0),IF((A114="Sc"),VLOOKUP("ScLord",DivCharts,D102,0),VLOOKUP(A114,RsInfo,9,0))),DivCharts,D102,0),RsTbl,0)=MOD(MATCH(VLOOKUP(IF((A114="Aq"),VLOOKUP("AqLord",DivCharts,D102,0),IF((A114="Sc"),VLOOKUP("ScLord",DivCharts,D102,0),VLOOKUP(A114,RsInfo,9,0))),PlanetData,8,0),RsTbl,0)+6,12),-1,0))</f>
        <v>#N/A</v>
      </c>
      <c r="D114" s="925">
        <f>MOD((MATCH(VLOOKUP(IF((A114="Aq"),VLOOKUP("AqLord",DivCharts,D102,0),IF((A114="Sc"),VLOOKUP("ScLord",DivCharts,D102,0),VLOOKUP(A114,RsInfo,9,0))),DivCharts,D102,0),RsTbl,0)*B114)-(B114*MATCH(A114,RsTbl,0))+12,12)</f>
        <v>2</v>
      </c>
      <c r="E114" s="194" t="e">
        <f>IF(ISNA(MATCH((D114+C114),,0)),(D114+C114),12)</f>
        <v>#N/A</v>
      </c>
      <c r="F114" s="932" t="e">
        <f>G112</f>
        <v>#N/A</v>
      </c>
      <c r="G114" s="932" t="e">
        <f>F114+E114*NDDaysInYEar</f>
        <v>#N/A</v>
      </c>
      <c r="H114" s="919" t="s">
        <v>689</v>
      </c>
      <c r="I114" s="194" t="str">
        <f>INDEX(SignSym,MOD(B114+MATCH(H114,SignSym,0)-1,12)+1)</f>
        <v>Pi</v>
      </c>
      <c r="J114" s="194" t="str">
        <f>INDEX(SignSym,MOD(B114+MATCH(I114,SignSym,0)-1,12)+1)</f>
        <v>Aq</v>
      </c>
      <c r="K114" s="194" t="str">
        <f>INDEX(SignSym,MOD(B114+MATCH(J114,SignSym,0)-1,12)+1)</f>
        <v>Cp</v>
      </c>
      <c r="L114" s="194" t="str">
        <f>INDEX(SignSym,MOD(B114+MATCH(K114,SignSym,0)-1,12)+1)</f>
        <v>Sg</v>
      </c>
      <c r="M114" s="194" t="str">
        <f>INDEX(SignSym,MOD(B114+MATCH(L114,SignSym,0)-1,12)+1)</f>
        <v>Sc</v>
      </c>
      <c r="N114" s="194" t="str">
        <f>INDEX(SignSym,MOD(B114+MATCH(M114,SignSym,0)-1,12)+1)</f>
        <v>Li</v>
      </c>
      <c r="O114" s="194" t="str">
        <f>INDEX(SignSym,MOD(B114+MATCH(N114,SignSym,0)-1,12)+1)</f>
        <v>Vi</v>
      </c>
      <c r="P114" s="194" t="str">
        <f>INDEX(SignSym,MOD(B114+MATCH(O114,SignSym,0)-1,12)+1)</f>
        <v>Le</v>
      </c>
      <c r="Q114" s="194" t="str">
        <f>INDEX(SignSym,MOD(B114+MATCH(P114,SignSym,0)-1,12)+1)</f>
        <v>Cn</v>
      </c>
      <c r="R114" s="194" t="str">
        <f>INDEX(SignSym,MOD(B114+MATCH(Q114,SignSym,0)-1,12)+1)</f>
        <v>Ge</v>
      </c>
      <c r="S114" s="194" t="str">
        <f>INDEX(SignSym,MOD(B114+MATCH(R114,SignSym,0)-1,12)+1)</f>
        <v>Ta</v>
      </c>
    </row>
    <row r="115" spans="1:19" s="194" customFormat="1" hidden="1">
      <c r="C115" s="925"/>
      <c r="D115" s="925"/>
      <c r="F115" s="932"/>
      <c r="G115" s="932"/>
      <c r="H115" s="932" t="e">
        <f>F114</f>
        <v>#N/A</v>
      </c>
      <c r="I115" s="932" t="e">
        <f>H115+(E114*NDDaysInYEar/12)</f>
        <v>#N/A</v>
      </c>
      <c r="J115" s="932" t="e">
        <f>I115+(E114*NDDaysInYEar/12)</f>
        <v>#N/A</v>
      </c>
      <c r="K115" s="932" t="e">
        <f>J115+(E114*NDDaysInYEar/12)</f>
        <v>#N/A</v>
      </c>
      <c r="L115" s="932" t="e">
        <f>K115+(E114*NDDaysInYEar/12)</f>
        <v>#N/A</v>
      </c>
      <c r="M115" s="932" t="e">
        <f>L115+(E114*NDDaysInYEar/12)</f>
        <v>#N/A</v>
      </c>
      <c r="N115" s="932" t="e">
        <f>M115+(E114*NDDaysInYEar/12)</f>
        <v>#N/A</v>
      </c>
      <c r="O115" s="932" t="e">
        <f>N115+(E114*NDDaysInYEar/12)</f>
        <v>#N/A</v>
      </c>
      <c r="P115" s="932" t="e">
        <f>O115+(E114*NDDaysInYEar/12)</f>
        <v>#N/A</v>
      </c>
      <c r="Q115" s="932" t="e">
        <f>P115+(E114*NDDaysInYEar/12)</f>
        <v>#N/A</v>
      </c>
      <c r="R115" s="932" t="e">
        <f>Q115+(E114*NDDaysInYEar/12)</f>
        <v>#N/A</v>
      </c>
      <c r="S115" s="932" t="e">
        <f>R115+(E114*NDDaysInYEar/12)</f>
        <v>#N/A</v>
      </c>
    </row>
    <row r="116" spans="1:19" s="194" customFormat="1">
      <c r="A116" s="194" t="str">
        <f>VLOOKUP(C103,NDasaSeq,12,0)</f>
        <v>Le</v>
      </c>
      <c r="B116" s="194">
        <f>VLOOKUP(A116,NDasaC,3,0)</f>
        <v>-1</v>
      </c>
      <c r="C116" s="925" t="e">
        <f>IF(MATCH(VLOOKUP(IF((A116="Aq"),VLOOKUP("AqLord",DivCharts,D102,0),IF((A116="Sc"),VLOOKUP("ScLord",DivCharts,D102,0),VLOOKUP(A116,RsInfo,9,0))),DivCharts,D102,0),RsTbl,0)=MATCH(VLOOKUP(IF((A116="Aq"),VLOOKUP("AqLord",DivCharts,D102,0),IF((A116="Sc"),VLOOKUP("ScLord",DivCharts,D102,0),VLOOKUP(A116,RsInfo,9,0))),PlanetData,8,0),RsTbl,0),1,IF(MATCH(VLOOKUP(IF((A116="Aq"),VLOOKUP("AqLord",DivCharts,D102,0),IF((A116="Sc"),VLOOKUP("ScLord",DivCharts,D102,0),VLOOKUP(A116,RsInfo,9,0))),DivCharts,D102,0),RsTbl,0)=MOD(MATCH(VLOOKUP(IF((A116="Aq"),VLOOKUP("AqLord",DivCharts,D102,0),IF((A116="Sc"),VLOOKUP("ScLord",DivCharts,D102,0),VLOOKUP(A116,RsInfo,9,0))),PlanetData,8,0),RsTbl,0)+6,12),-1,0))</f>
        <v>#N/A</v>
      </c>
      <c r="D116" s="925">
        <f>MOD((MATCH(VLOOKUP(IF((A116="Aq"),VLOOKUP("AqLord",DivCharts,D102,0),IF((A116="Sc"),VLOOKUP("ScLord",DivCharts,D102,0),VLOOKUP(A116,RsInfo,9,0))),DivCharts,D102,0),RsTbl,0)*B116)-(B116*MATCH(A116,RsTbl,0))+12,12)</f>
        <v>10</v>
      </c>
      <c r="E116" s="194" t="e">
        <f>IF(ISNA(MATCH((D116+C116),,0)),(D116+C116),12)</f>
        <v>#N/A</v>
      </c>
      <c r="F116" s="932" t="e">
        <f>G114</f>
        <v>#N/A</v>
      </c>
      <c r="G116" s="932" t="e">
        <f>F116+E116*NDDaysInYEar</f>
        <v>#N/A</v>
      </c>
      <c r="H116" s="919" t="s">
        <v>711</v>
      </c>
      <c r="I116" s="194" t="str">
        <f>INDEX(SignSym,MOD(B116+MATCH(H116,SignSym,0)-1,12)+1)</f>
        <v>Le</v>
      </c>
      <c r="J116" s="194" t="str">
        <f>INDEX(SignSym,MOD(B116+MATCH(I116,SignSym,0)-1,12)+1)</f>
        <v>Cn</v>
      </c>
      <c r="K116" s="194" t="str">
        <f>INDEX(SignSym,MOD(B116+MATCH(J116,SignSym,0)-1,12)+1)</f>
        <v>Ge</v>
      </c>
      <c r="L116" s="194" t="str">
        <f>INDEX(SignSym,MOD(B116+MATCH(K116,SignSym,0)-1,12)+1)</f>
        <v>Ta</v>
      </c>
      <c r="M116" s="194" t="str">
        <f>INDEX(SignSym,MOD(B116+MATCH(L116,SignSym,0)-1,12)+1)</f>
        <v>Ar</v>
      </c>
      <c r="N116" s="194" t="str">
        <f>INDEX(SignSym,MOD(B116+MATCH(M116,SignSym,0)-1,12)+1)</f>
        <v>Pi</v>
      </c>
      <c r="O116" s="194" t="str">
        <f>INDEX(SignSym,MOD(B116+MATCH(N116,SignSym,0)-1,12)+1)</f>
        <v>Aq</v>
      </c>
      <c r="P116" s="194" t="str">
        <f>INDEX(SignSym,MOD(B116+MATCH(O116,SignSym,0)-1,12)+1)</f>
        <v>Cp</v>
      </c>
      <c r="Q116" s="194" t="str">
        <f>INDEX(SignSym,MOD(B116+MATCH(P116,SignSym,0)-1,12)+1)</f>
        <v>Sg</v>
      </c>
      <c r="R116" s="194" t="str">
        <f>INDEX(SignSym,MOD(B116+MATCH(Q116,SignSym,0)-1,12)+1)</f>
        <v>Sc</v>
      </c>
      <c r="S116" s="194" t="str">
        <f>INDEX(SignSym,MOD(B116+MATCH(R116,SignSym,0)-1,12)+1)</f>
        <v>Li</v>
      </c>
    </row>
    <row r="117" spans="1:19" s="194" customFormat="1" hidden="1">
      <c r="C117" s="925"/>
      <c r="D117" s="925"/>
      <c r="F117" s="932"/>
      <c r="G117" s="932"/>
      <c r="H117" s="932" t="e">
        <f>F116</f>
        <v>#N/A</v>
      </c>
      <c r="I117" s="932" t="e">
        <f>H117+(E116*NDDaysInYEar/12)</f>
        <v>#N/A</v>
      </c>
      <c r="J117" s="932" t="e">
        <f>I117+(E116*NDDaysInYEar/12)</f>
        <v>#N/A</v>
      </c>
      <c r="K117" s="932" t="e">
        <f>J117+(E116*NDDaysInYEar/12)</f>
        <v>#N/A</v>
      </c>
      <c r="L117" s="932" t="e">
        <f>K117+(E116*NDDaysInYEar/12)</f>
        <v>#N/A</v>
      </c>
      <c r="M117" s="932" t="e">
        <f>L117+(E116*NDDaysInYEar/12)</f>
        <v>#N/A</v>
      </c>
      <c r="N117" s="932" t="e">
        <f>M117+(E116*NDDaysInYEar/12)</f>
        <v>#N/A</v>
      </c>
      <c r="O117" s="932" t="e">
        <f>N117+(E116*NDDaysInYEar/12)</f>
        <v>#N/A</v>
      </c>
      <c r="P117" s="932" t="e">
        <f>O117+(E116*NDDaysInYEar/12)</f>
        <v>#N/A</v>
      </c>
      <c r="Q117" s="932" t="e">
        <f>P117+(E116*NDDaysInYEar/12)</f>
        <v>#N/A</v>
      </c>
      <c r="R117" s="932" t="e">
        <f>Q117+(E116*NDDaysInYEar/12)</f>
        <v>#N/A</v>
      </c>
      <c r="S117" s="932" t="e">
        <f>R117+(E116*NDDaysInYEar/12)</f>
        <v>#N/A</v>
      </c>
    </row>
    <row r="118" spans="1:19" s="194" customFormat="1">
      <c r="A118" s="194" t="str">
        <f>VLOOKUP(C103,NDasaSeq,13,0)</f>
        <v>Cn</v>
      </c>
      <c r="B118" s="194">
        <f>VLOOKUP(A118,NDasaC,3,0)</f>
        <v>-1</v>
      </c>
      <c r="C118" s="925" t="e">
        <f>IF(MATCH(VLOOKUP(IF((A118="Aq"),VLOOKUP("AqLord",DivCharts,D102,0),IF((A118="Sc"),VLOOKUP("ScLord",DivCharts,D102,0),VLOOKUP(A118,RsInfo,9,0))),DivCharts,D102,0),RsTbl,0)=MATCH(VLOOKUP(IF((A118="Aq"),VLOOKUP("AqLord",DivCharts,D102,0),IF((A118="Sc"),VLOOKUP("ScLord",DivCharts,D102,0),VLOOKUP(A118,RsInfo,9,0))),PlanetData,8,0),RsTbl,0),1,IF(MATCH(VLOOKUP(IF((A118="Aq"),VLOOKUP("AqLord",DivCharts,D102,0),IF((A118="Sc"),VLOOKUP("ScLord",DivCharts,D102,0),VLOOKUP(A118,RsInfo,9,0))),DivCharts,D102,0),RsTbl,0)=MOD(MATCH(VLOOKUP(IF((A118="Aq"),VLOOKUP("AqLord",DivCharts,D102,0),IF((A118="Sc"),VLOOKUP("ScLord",DivCharts,D102,0),VLOOKUP(A118,RsInfo,9,0))),PlanetData,8,0),RsTbl,0)+6,12),-1,0))</f>
        <v>#N/A</v>
      </c>
      <c r="D118" s="925">
        <f>MOD((MATCH(VLOOKUP(IF((A118="Aq"),VLOOKUP("AqLord",DivCharts,D102,0),IF((A118="Sc"),VLOOKUP("ScLord",DivCharts,D102,0),VLOOKUP(A118,RsInfo,9,0))),DivCharts,D102,0),RsTbl,0)*B118)-(B118*MATCH(A118,RsTbl,0))+12,12)</f>
        <v>0</v>
      </c>
      <c r="E118" s="194" t="e">
        <f>IF(ISNA(MATCH((D118+C118),,0)),(D118+C118),12)</f>
        <v>#N/A</v>
      </c>
      <c r="F118" s="932" t="e">
        <f>G116</f>
        <v>#N/A</v>
      </c>
      <c r="G118" s="932" t="e">
        <f>F118+E118*NDDaysInYEar</f>
        <v>#N/A</v>
      </c>
      <c r="H118" s="919" t="s">
        <v>699</v>
      </c>
      <c r="I118" s="194" t="str">
        <f>INDEX(SignSym,MOD(B118+MATCH(H118,SignSym,0)-1,12)+1)</f>
        <v>Cp</v>
      </c>
      <c r="J118" s="194" t="str">
        <f>INDEX(SignSym,MOD(B118+MATCH(I118,SignSym,0)-1,12)+1)</f>
        <v>Sg</v>
      </c>
      <c r="K118" s="194" t="str">
        <f>INDEX(SignSym,MOD(B118+MATCH(J118,SignSym,0)-1,12)+1)</f>
        <v>Sc</v>
      </c>
      <c r="L118" s="194" t="str">
        <f>INDEX(SignSym,MOD(B118+MATCH(K118,SignSym,0)-1,12)+1)</f>
        <v>Li</v>
      </c>
      <c r="M118" s="194" t="str">
        <f>INDEX(SignSym,MOD(B118+MATCH(L118,SignSym,0)-1,12)+1)</f>
        <v>Vi</v>
      </c>
      <c r="N118" s="194" t="str">
        <f>INDEX(SignSym,MOD(B118+MATCH(M118,SignSym,0)-1,12)+1)</f>
        <v>Le</v>
      </c>
      <c r="O118" s="194" t="str">
        <f>INDEX(SignSym,MOD(B118+MATCH(N118,SignSym,0)-1,12)+1)</f>
        <v>Cn</v>
      </c>
      <c r="P118" s="194" t="str">
        <f>INDEX(SignSym,MOD(B118+MATCH(O118,SignSym,0)-1,12)+1)</f>
        <v>Ge</v>
      </c>
      <c r="Q118" s="194" t="str">
        <f>INDEX(SignSym,MOD(B118+MATCH(P118,SignSym,0)-1,12)+1)</f>
        <v>Ta</v>
      </c>
      <c r="R118" s="194" t="str">
        <f>INDEX(SignSym,MOD(B118+MATCH(Q118,SignSym,0)-1,12)+1)</f>
        <v>Ar</v>
      </c>
      <c r="S118" s="194" t="str">
        <f>INDEX(SignSym,MOD(B118+MATCH(R118,SignSym,0)-1,12)+1)</f>
        <v>Pi</v>
      </c>
    </row>
    <row r="119" spans="1:19" s="194" customFormat="1" hidden="1">
      <c r="C119" s="925"/>
      <c r="D119" s="925"/>
      <c r="F119" s="932"/>
      <c r="G119" s="932"/>
      <c r="H119" s="932" t="e">
        <f>F118</f>
        <v>#N/A</v>
      </c>
      <c r="I119" s="932" t="e">
        <f>H119+(E118*NDDaysInYEar/12)</f>
        <v>#N/A</v>
      </c>
      <c r="J119" s="932" t="e">
        <f>I119+(E118*NDDaysInYEar/12)</f>
        <v>#N/A</v>
      </c>
      <c r="K119" s="932" t="e">
        <f>J119+(E118*NDDaysInYEar/12)</f>
        <v>#N/A</v>
      </c>
      <c r="L119" s="932" t="e">
        <f>K119+(E118*NDDaysInYEar/12)</f>
        <v>#N/A</v>
      </c>
      <c r="M119" s="932" t="e">
        <f>L119+(E118*NDDaysInYEar/12)</f>
        <v>#N/A</v>
      </c>
      <c r="N119" s="932" t="e">
        <f>M119+(E118*NDDaysInYEar/12)</f>
        <v>#N/A</v>
      </c>
      <c r="O119" s="932" t="e">
        <f>N119+(E118*NDDaysInYEar/12)</f>
        <v>#N/A</v>
      </c>
      <c r="P119" s="932" t="e">
        <f>O119+(E118*NDDaysInYEar/12)</f>
        <v>#N/A</v>
      </c>
      <c r="Q119" s="932" t="e">
        <f>P119+(E118*NDDaysInYEar/12)</f>
        <v>#N/A</v>
      </c>
      <c r="R119" s="932" t="e">
        <f>Q119+(E118*NDDaysInYEar/12)</f>
        <v>#N/A</v>
      </c>
      <c r="S119" s="932" t="e">
        <f>R119+(E118*NDDaysInYEar/12)</f>
        <v>#N/A</v>
      </c>
    </row>
    <row r="120" spans="1:19" s="194" customFormat="1">
      <c r="A120" s="194" t="str">
        <f>VLOOKUP(C103,NDasaSeq,14,0)</f>
        <v>Ge</v>
      </c>
      <c r="B120" s="194">
        <f>VLOOKUP(A120,NDasaC,3,0)</f>
        <v>1</v>
      </c>
      <c r="C120" s="925" t="e">
        <f>IF(MATCH(VLOOKUP(IF((A120="Aq"),VLOOKUP("AqLord",DivCharts,D102,0),IF((A120="Sc"),VLOOKUP("ScLord",DivCharts,D102,0),VLOOKUP(A120,RsInfo,9,0))),DivCharts,D102,0),RsTbl,0)=MATCH(VLOOKUP(IF((A120="Aq"),VLOOKUP("AqLord",DivCharts,D102,0),IF((A120="Sc"),VLOOKUP("ScLord",DivCharts,D102,0),VLOOKUP(A120,RsInfo,9,0))),PlanetData,8,0),RsTbl,0),1,IF(MATCH(VLOOKUP(IF((A120="Aq"),VLOOKUP("AqLord",DivCharts,D102,0),IF((A120="Sc"),VLOOKUP("ScLord",DivCharts,D102,0),VLOOKUP(A120,RsInfo,9,0))),DivCharts,D102,0),RsTbl,0)=MOD(MATCH(VLOOKUP(IF((A120="Aq"),VLOOKUP("AqLord",DivCharts,D102,0),IF((A120="Sc"),VLOOKUP("ScLord",DivCharts,D102,0),VLOOKUP(A120,RsInfo,9,0))),PlanetData,8,0),RsTbl,0)+6,12),-1,0))</f>
        <v>#N/A</v>
      </c>
      <c r="D120" s="925">
        <f>MOD((MATCH(VLOOKUP(IF((A120="Aq"),VLOOKUP("AqLord",DivCharts,D102,0),IF((A120="Sc"),VLOOKUP("ScLord",DivCharts,D102,0),VLOOKUP(A120,RsInfo,9,0))),DivCharts,D102,0),RsTbl,0)*B120)-(B120*MATCH(A120,RsTbl,0))+12,12)</f>
        <v>1</v>
      </c>
      <c r="E120" s="194" t="e">
        <f>IF(ISNA(MATCH((D120+C120),,0)),(D120+C120),12)</f>
        <v>#N/A</v>
      </c>
      <c r="F120" s="932" t="e">
        <f>G118</f>
        <v>#N/A</v>
      </c>
      <c r="G120" s="932" t="e">
        <f>F120+E120*NDDaysInYEar</f>
        <v>#N/A</v>
      </c>
      <c r="H120" s="919" t="s">
        <v>703</v>
      </c>
      <c r="I120" s="194" t="str">
        <f>INDEX(SignSym,MOD(B120+MATCH(H120,SignSym,0)-1,12)+1)</f>
        <v>Le</v>
      </c>
      <c r="J120" s="194" t="str">
        <f>INDEX(SignSym,MOD(B120+MATCH(I120,SignSym,0)-1,12)+1)</f>
        <v>Vi</v>
      </c>
      <c r="K120" s="194" t="str">
        <f>INDEX(SignSym,MOD(B120+MATCH(J120,SignSym,0)-1,12)+1)</f>
        <v>Li</v>
      </c>
      <c r="L120" s="194" t="str">
        <f>INDEX(SignSym,MOD(B120+MATCH(K120,SignSym,0)-1,12)+1)</f>
        <v>Sc</v>
      </c>
      <c r="M120" s="194" t="str">
        <f>INDEX(SignSym,MOD(B120+MATCH(L120,SignSym,0)-1,12)+1)</f>
        <v>Sg</v>
      </c>
      <c r="N120" s="194" t="str">
        <f>INDEX(SignSym,MOD(B120+MATCH(M120,SignSym,0)-1,12)+1)</f>
        <v>Cp</v>
      </c>
      <c r="O120" s="194" t="str">
        <f>INDEX(SignSym,MOD(B120+MATCH(N120,SignSym,0)-1,12)+1)</f>
        <v>Aq</v>
      </c>
      <c r="P120" s="194" t="str">
        <f>INDEX(SignSym,MOD(B120+MATCH(O120,SignSym,0)-1,12)+1)</f>
        <v>Pi</v>
      </c>
      <c r="Q120" s="194" t="str">
        <f>INDEX(SignSym,MOD(B120+MATCH(P120,SignSym,0)-1,12)+1)</f>
        <v>Ar</v>
      </c>
      <c r="R120" s="194" t="str">
        <f>INDEX(SignSym,MOD(B120+MATCH(Q120,SignSym,0)-1,12)+1)</f>
        <v>Ta</v>
      </c>
      <c r="S120" s="194" t="str">
        <f>INDEX(SignSym,MOD(B120+MATCH(R120,SignSym,0)-1,12)+1)</f>
        <v>Ge</v>
      </c>
    </row>
    <row r="121" spans="1:19" s="194" customFormat="1" hidden="1">
      <c r="C121" s="925"/>
      <c r="D121" s="925"/>
      <c r="F121" s="932"/>
      <c r="G121" s="932"/>
      <c r="H121" s="932" t="e">
        <f>F120</f>
        <v>#N/A</v>
      </c>
      <c r="I121" s="932" t="e">
        <f>H121+(E120*NDDaysInYEar/12)</f>
        <v>#N/A</v>
      </c>
      <c r="J121" s="932" t="e">
        <f>I121+(E120*NDDaysInYEar/12)</f>
        <v>#N/A</v>
      </c>
      <c r="K121" s="932" t="e">
        <f>J121+(E120*NDDaysInYEar/12)</f>
        <v>#N/A</v>
      </c>
      <c r="L121" s="932" t="e">
        <f>K121+(E120*NDDaysInYEar/12)</f>
        <v>#N/A</v>
      </c>
      <c r="M121" s="932" t="e">
        <f>L121+(E120*NDDaysInYEar/12)</f>
        <v>#N/A</v>
      </c>
      <c r="N121" s="932" t="e">
        <f>M121+(E120*NDDaysInYEar/12)</f>
        <v>#N/A</v>
      </c>
      <c r="O121" s="932" t="e">
        <f>N121+(E120*NDDaysInYEar/12)</f>
        <v>#N/A</v>
      </c>
      <c r="P121" s="932" t="e">
        <f>O121+(E120*NDDaysInYEar/12)</f>
        <v>#N/A</v>
      </c>
      <c r="Q121" s="932" t="e">
        <f>P121+(E120*NDDaysInYEar/12)</f>
        <v>#N/A</v>
      </c>
      <c r="R121" s="932" t="e">
        <f>Q121+(E120*NDDaysInYEar/12)</f>
        <v>#N/A</v>
      </c>
      <c r="S121" s="932" t="e">
        <f>R121+(E120*NDDaysInYEar/12)</f>
        <v>#N/A</v>
      </c>
    </row>
    <row r="122" spans="1:19" s="194" customFormat="1">
      <c r="A122" s="194" t="str">
        <f>VLOOKUP(C103,NDasaSeq,15,0)</f>
        <v>Ta</v>
      </c>
      <c r="B122" s="194">
        <f>VLOOKUP(A122,NDasaC,3,0)</f>
        <v>1</v>
      </c>
      <c r="C122" s="925" t="e">
        <f>IF(MATCH(VLOOKUP(IF((A122="Aq"),VLOOKUP("AqLord",DivCharts,D102,0),IF((A122="Sc"),VLOOKUP("ScLord",DivCharts,D102,0),VLOOKUP(A122,RsInfo,9,0))),DivCharts,D102,0),RsTbl,0)=MATCH(VLOOKUP(IF((A122="Aq"),VLOOKUP("AqLord",DivCharts,D102,0),IF((A122="Sc"),VLOOKUP("ScLord",DivCharts,D102,0),VLOOKUP(A122,RsInfo,9,0))),PlanetData,8,0),RsTbl,0),1,IF(MATCH(VLOOKUP(IF((A122="Aq"),VLOOKUP("AqLord",DivCharts,D102,0),IF((A122="Sc"),VLOOKUP("ScLord",DivCharts,D102,0),VLOOKUP(A122,RsInfo,9,0))),DivCharts,D102,0),RsTbl,0)=MOD(MATCH(VLOOKUP(IF((A122="Aq"),VLOOKUP("AqLord",DivCharts,D102,0),IF((A122="Sc"),VLOOKUP("ScLord",DivCharts,D102,0),VLOOKUP(A122,RsInfo,9,0))),PlanetData,8,0),RsTbl,0)+6,12),-1,0))</f>
        <v>#N/A</v>
      </c>
      <c r="D122" s="925">
        <f>MOD((MATCH(VLOOKUP(IF((A122="Aq"),VLOOKUP("AqLord",DivCharts,D102,0),IF((A122="Sc"),VLOOKUP("ScLord",DivCharts,D102,0),VLOOKUP(A122,RsInfo,9,0))),DivCharts,D102,0),RsTbl,0)*B122)-(B122*MATCH(A122,RsTbl,0))+12,12)</f>
        <v>4</v>
      </c>
      <c r="E122" s="194" t="e">
        <f>IF(ISNA(MATCH((D122+C122),,0)),(D122+C122),12)</f>
        <v>#N/A</v>
      </c>
      <c r="F122" s="932" t="e">
        <f>G120</f>
        <v>#N/A</v>
      </c>
      <c r="G122" s="932" t="e">
        <f>F122+E122*NDDaysInYEar</f>
        <v>#N/A</v>
      </c>
      <c r="H122" s="919" t="str">
        <f>A122</f>
        <v>Ta</v>
      </c>
      <c r="I122" s="194" t="str">
        <f>INDEX(SignSym,MOD(B122+MATCH(H122,SignSym,0)-1,12)+1)</f>
        <v>Ge</v>
      </c>
      <c r="J122" s="194" t="str">
        <f>INDEX(SignSym,MOD(B122+MATCH(I122,SignSym,0)-1,12)+1)</f>
        <v>Cn</v>
      </c>
      <c r="K122" s="194" t="str">
        <f>INDEX(SignSym,MOD(B122+MATCH(J122,SignSym,0)-1,12)+1)</f>
        <v>Le</v>
      </c>
      <c r="L122" s="194" t="str">
        <f>INDEX(SignSym,MOD(B122+MATCH(K122,SignSym,0)-1,12)+1)</f>
        <v>Vi</v>
      </c>
      <c r="M122" s="194" t="str">
        <f>INDEX(SignSym,MOD(B122+MATCH(L122,SignSym,0)-1,12)+1)</f>
        <v>Li</v>
      </c>
      <c r="N122" s="194" t="str">
        <f>INDEX(SignSym,MOD(B122+MATCH(M122,SignSym,0)-1,12)+1)</f>
        <v>Sc</v>
      </c>
      <c r="O122" s="194" t="str">
        <f>INDEX(SignSym,MOD(B122+MATCH(N122,SignSym,0)-1,12)+1)</f>
        <v>Sg</v>
      </c>
      <c r="P122" s="194" t="str">
        <f>INDEX(SignSym,MOD(B122+MATCH(O122,SignSym,0)-1,12)+1)</f>
        <v>Cp</v>
      </c>
      <c r="Q122" s="194" t="str">
        <f>INDEX(SignSym,MOD(B122+MATCH(P122,SignSym,0)-1,12)+1)</f>
        <v>Aq</v>
      </c>
      <c r="R122" s="194" t="str">
        <f>INDEX(SignSym,MOD(B122+MATCH(Q122,SignSym,0)-1,12)+1)</f>
        <v>Pi</v>
      </c>
      <c r="S122" s="194" t="str">
        <f>INDEX(SignSym,MOD(B122+MATCH(R122,SignSym,0)-1,12)+1)</f>
        <v>Ar</v>
      </c>
    </row>
    <row r="123" spans="1:19" s="194" customFormat="1" ht="12.75" hidden="1" customHeight="1">
      <c r="C123" s="925"/>
      <c r="D123" s="925"/>
      <c r="F123" s="932"/>
      <c r="G123" s="932"/>
      <c r="H123" s="932" t="e">
        <f>F122</f>
        <v>#N/A</v>
      </c>
      <c r="I123" s="932" t="e">
        <f>H123+(E122*NDDaysInYEar/12)</f>
        <v>#N/A</v>
      </c>
      <c r="J123" s="932" t="e">
        <f>I123+(E122*NDDaysInYEar/12)</f>
        <v>#N/A</v>
      </c>
      <c r="K123" s="932" t="e">
        <f>J123+(E122*NDDaysInYEar/12)</f>
        <v>#N/A</v>
      </c>
      <c r="L123" s="932" t="e">
        <f>K123+(E122*NDDaysInYEar/12)</f>
        <v>#N/A</v>
      </c>
      <c r="M123" s="932" t="e">
        <f>L123+(E122*NDDaysInYEar/12)</f>
        <v>#N/A</v>
      </c>
      <c r="N123" s="932" t="e">
        <f>M123+(E122*NDDaysInYEar/12)</f>
        <v>#N/A</v>
      </c>
      <c r="O123" s="932" t="e">
        <f>N123+(E122*NDDaysInYEar/12)</f>
        <v>#N/A</v>
      </c>
      <c r="P123" s="932" t="e">
        <f>O123+(E122*NDDaysInYEar/12)</f>
        <v>#N/A</v>
      </c>
      <c r="Q123" s="932" t="e">
        <f>P123+(E122*NDDaysInYEar/12)</f>
        <v>#N/A</v>
      </c>
      <c r="R123" s="932" t="e">
        <f>Q123+(E122*NDDaysInYEar/12)</f>
        <v>#N/A</v>
      </c>
      <c r="S123" s="932" t="e">
        <f>R123+(E122*NDDaysInYEar/12)</f>
        <v>#N/A</v>
      </c>
    </row>
    <row r="124" spans="1:19" s="194" customFormat="1">
      <c r="A124" s="194" t="str">
        <f>VLOOKUP(C103,NDasaSeq,16,0)</f>
        <v>Ar</v>
      </c>
      <c r="B124" s="194">
        <f>VLOOKUP(A124,NDasaC,3,0)</f>
        <v>1</v>
      </c>
      <c r="C124" s="925" t="e">
        <f>IF(MATCH(VLOOKUP(IF((A124="Aq"),VLOOKUP("AqLord",DivCharts,D102,0),IF((A124="Sc"),VLOOKUP("ScLord",DivCharts,D102,0),VLOOKUP(A124,RsInfo,9,0))),DivCharts,D102,0),RsTbl,0)=MATCH(VLOOKUP(IF((A124="Aq"),VLOOKUP("AqLord",DivCharts,D102,0),IF((A124="Sc"),VLOOKUP("ScLord",DivCharts,D102,0),VLOOKUP(A124,RsInfo,9,0))),PlanetData,8,0),RsTbl,0),1,IF(MATCH(VLOOKUP(IF((A124="Aq"),VLOOKUP("AqLord",DivCharts,D102,0),IF((A124="Sc"),VLOOKUP("ScLord",DivCharts,D102,0),VLOOKUP(A124,RsInfo,9,0))),DivCharts,D102,0),RsTbl,0)=MOD(MATCH(VLOOKUP(IF((A124="Aq"),VLOOKUP("AqLord",DivCharts,D102,0),IF((A124="Sc"),VLOOKUP("ScLord",DivCharts,D102,0),VLOOKUP(A124,RsInfo,9,0))),PlanetData,8,0),RsTbl,0)+6,12),-1,0))</f>
        <v>#N/A</v>
      </c>
      <c r="D124" s="925">
        <f>MOD((MATCH(VLOOKUP(IF((A124="Aq"),VLOOKUP("AqLord",DivCharts,D102,0),IF((A124="Sc"),VLOOKUP("ScLord",DivCharts,D102,0),VLOOKUP(A124,RsInfo,9,0))),DivCharts,D102,0),RsTbl,0)*B124)-(B124*MATCH(A124,RsTbl,0))+12,12)</f>
        <v>9</v>
      </c>
      <c r="E124" s="194" t="e">
        <f>IF(ISNA(MATCH((D124+C124),,0)),(D124+C124),12)</f>
        <v>#N/A</v>
      </c>
      <c r="F124" s="932" t="e">
        <f>G122</f>
        <v>#N/A</v>
      </c>
      <c r="G124" s="932" t="e">
        <f>F124+E124*NDDaysInYEar</f>
        <v>#N/A</v>
      </c>
      <c r="H124" s="919" t="str">
        <f>A124</f>
        <v>Ar</v>
      </c>
      <c r="I124" s="194" t="str">
        <f>INDEX(SignSym,MOD(B124+MATCH(H124,SignSym,0)-1,12)+1)</f>
        <v>Ta</v>
      </c>
      <c r="J124" s="194" t="str">
        <f>INDEX(SignSym,MOD(B124+MATCH(I124,SignSym,0)-1,12)+1)</f>
        <v>Ge</v>
      </c>
      <c r="K124" s="194" t="str">
        <f>INDEX(SignSym,MOD(B124+MATCH(J124,SignSym,0)-1,12)+1)</f>
        <v>Cn</v>
      </c>
      <c r="L124" s="194" t="str">
        <f>INDEX(SignSym,MOD(B124+MATCH(K124,SignSym,0)-1,12)+1)</f>
        <v>Le</v>
      </c>
      <c r="M124" s="194" t="str">
        <f>INDEX(SignSym,MOD(B124+MATCH(L124,SignSym,0)-1,12)+1)</f>
        <v>Vi</v>
      </c>
      <c r="N124" s="194" t="str">
        <f>INDEX(SignSym,MOD(B124+MATCH(M124,SignSym,0)-1,12)+1)</f>
        <v>Li</v>
      </c>
      <c r="O124" s="194" t="str">
        <f>INDEX(SignSym,MOD(B124+MATCH(N124,SignSym,0)-1,12)+1)</f>
        <v>Sc</v>
      </c>
      <c r="P124" s="194" t="str">
        <f>INDEX(SignSym,MOD(B124+MATCH(O124,SignSym,0)-1,12)+1)</f>
        <v>Sg</v>
      </c>
      <c r="Q124" s="194" t="str">
        <f>INDEX(SignSym,MOD(B124+MATCH(P124,SignSym,0)-1,12)+1)</f>
        <v>Cp</v>
      </c>
      <c r="R124" s="194" t="str">
        <f>INDEX(SignSym,MOD(B124+MATCH(Q124,SignSym,0)-1,12)+1)</f>
        <v>Aq</v>
      </c>
      <c r="S124" s="194" t="str">
        <f>INDEX(SignSym,MOD(B124+MATCH(R124,SignSym,0)-1,12)+1)</f>
        <v>Pi</v>
      </c>
    </row>
    <row r="125" spans="1:19" s="194" customFormat="1" ht="12.75" hidden="1" customHeight="1">
      <c r="C125" s="925"/>
      <c r="D125" s="925"/>
      <c r="F125" s="932"/>
      <c r="G125" s="932"/>
      <c r="H125" s="932" t="e">
        <f>F124</f>
        <v>#N/A</v>
      </c>
      <c r="I125" s="932" t="e">
        <f>H125+(E124*NDDaysInYEar/12)</f>
        <v>#N/A</v>
      </c>
      <c r="J125" s="932" t="e">
        <f>I125+(E124*NDDaysInYEar/12)</f>
        <v>#N/A</v>
      </c>
      <c r="K125" s="932" t="e">
        <f>J125+(E124*NDDaysInYEar/12)</f>
        <v>#N/A</v>
      </c>
      <c r="L125" s="932" t="e">
        <f>K125+(E124*NDDaysInYEar/12)</f>
        <v>#N/A</v>
      </c>
      <c r="M125" s="932" t="e">
        <f>L125+(E124*NDDaysInYEar/12)</f>
        <v>#N/A</v>
      </c>
      <c r="N125" s="932" t="e">
        <f>M125+(E124*NDDaysInYEar/12)</f>
        <v>#N/A</v>
      </c>
      <c r="O125" s="932" t="e">
        <f>N125+(E124*NDDaysInYEar/12)</f>
        <v>#N/A</v>
      </c>
      <c r="P125" s="932" t="e">
        <f>O125+(E124*NDDaysInYEar/12)</f>
        <v>#N/A</v>
      </c>
      <c r="Q125" s="932" t="e">
        <f>P125+(E124*NDDaysInYEar/12)</f>
        <v>#N/A</v>
      </c>
      <c r="R125" s="932" t="e">
        <f>Q125+(E124*NDDaysInYEar/12)</f>
        <v>#N/A</v>
      </c>
      <c r="S125" s="932" t="e">
        <f>R125+(E124*NDDaysInYEar/12)</f>
        <v>#N/A</v>
      </c>
    </row>
    <row r="126" spans="1:19" s="194" customFormat="1">
      <c r="A126" s="194" t="str">
        <f>VLOOKUP(C103,NDasaSeq,17,0)</f>
        <v>Pi</v>
      </c>
      <c r="B126" s="194">
        <f>VLOOKUP(A126,NDasaC,3,0)</f>
        <v>-1</v>
      </c>
      <c r="C126" s="925" t="e">
        <f>IF(MATCH(VLOOKUP(IF((A126="Aq"),VLOOKUP("AqLord",DivCharts,D102,0),IF((A126="Sc"),VLOOKUP("ScLord",DivCharts,D102,0),VLOOKUP(A126,RsInfo,9,0))),DivCharts,D102,0),RsTbl,0)=MATCH(VLOOKUP(IF((A126="Aq"),VLOOKUP("AqLord",DivCharts,D102,0),IF((A126="Sc"),VLOOKUP("ScLord",DivCharts,D102,0),VLOOKUP(A126,RsInfo,9,0))),PlanetData,8,0),RsTbl,0),1,IF(MATCH(VLOOKUP(IF((A126="Aq"),VLOOKUP("AqLord",DivCharts,D102,0),IF((A126="Sc"),VLOOKUP("ScLord",DivCharts,D102,0),VLOOKUP(A126,RsInfo,9,0))),DivCharts,D102,0),RsTbl,0)=MOD(MATCH(VLOOKUP(IF((A126="Aq"),VLOOKUP("AqLord",DivCharts,D102,0),IF((A126="Sc"),VLOOKUP("ScLord",DivCharts,D102,0),VLOOKUP(A126,RsInfo,9,0))),PlanetData,8,0),RsTbl,0)+6,12),-1,0))</f>
        <v>#N/A</v>
      </c>
      <c r="D126" s="925">
        <f>MOD((MATCH(VLOOKUP(IF((A126="Aq"),VLOOKUP("AqLord",DivCharts,D102,0),IF((A126="Sc"),VLOOKUP("ScLord",DivCharts,D102,0),VLOOKUP(A126,RsInfo,9,0))),DivCharts,D102,0),RsTbl,0)*B126)-(B126*MATCH(A126,RsTbl,0))+12,12)</f>
        <v>8</v>
      </c>
      <c r="E126" s="194" t="e">
        <f>IF(ISNA(MATCH((D126+C126),,0)),(D126+C126),12)</f>
        <v>#N/A</v>
      </c>
      <c r="F126" s="932" t="e">
        <f>G124</f>
        <v>#N/A</v>
      </c>
      <c r="G126" s="932" t="e">
        <f>F126+E126*NDDaysInYEar</f>
        <v>#N/A</v>
      </c>
      <c r="H126" s="919" t="str">
        <f>A126</f>
        <v>Pi</v>
      </c>
      <c r="I126" s="194" t="str">
        <f>INDEX(SignSym,MOD(B126+MATCH(H126,SignSym,0)-1,12)+1)</f>
        <v>Aq</v>
      </c>
      <c r="J126" s="194" t="str">
        <f>INDEX(SignSym,MOD(B126+MATCH(I126,SignSym,0)-1,12)+1)</f>
        <v>Cp</v>
      </c>
      <c r="K126" s="194" t="str">
        <f>INDEX(SignSym,MOD(B126+MATCH(J126,SignSym,0)-1,12)+1)</f>
        <v>Sg</v>
      </c>
      <c r="L126" s="194" t="str">
        <f>INDEX(SignSym,MOD(B126+MATCH(K126,SignSym,0)-1,12)+1)</f>
        <v>Sc</v>
      </c>
      <c r="M126" s="194" t="str">
        <f>INDEX(SignSym,MOD(B126+MATCH(L126,SignSym,0)-1,12)+1)</f>
        <v>Li</v>
      </c>
      <c r="N126" s="194" t="str">
        <f>INDEX(SignSym,MOD(B126+MATCH(M126,SignSym,0)-1,12)+1)</f>
        <v>Vi</v>
      </c>
      <c r="O126" s="194" t="str">
        <f>INDEX(SignSym,MOD(B126+MATCH(N126,SignSym,0)-1,12)+1)</f>
        <v>Le</v>
      </c>
      <c r="P126" s="194" t="str">
        <f>INDEX(SignSym,MOD(B126+MATCH(O126,SignSym,0)-1,12)+1)</f>
        <v>Cn</v>
      </c>
      <c r="Q126" s="194" t="str">
        <f>INDEX(SignSym,MOD(B126+MATCH(P126,SignSym,0)-1,12)+1)</f>
        <v>Ge</v>
      </c>
      <c r="R126" s="194" t="str">
        <f>INDEX(SignSym,MOD(B126+MATCH(Q126,SignSym,0)-1,12)+1)</f>
        <v>Ta</v>
      </c>
      <c r="S126" s="194" t="str">
        <f>INDEX(SignSym,MOD(B126+MATCH(R126,SignSym,0)-1,12)+1)</f>
        <v>Ar</v>
      </c>
    </row>
    <row r="127" spans="1:19" s="194" customFormat="1" ht="12.75" hidden="1" customHeight="1">
      <c r="C127" s="925"/>
      <c r="D127" s="925"/>
      <c r="F127" s="932"/>
      <c r="G127" s="932"/>
      <c r="H127" s="932" t="e">
        <f>F126</f>
        <v>#N/A</v>
      </c>
      <c r="I127" s="932" t="e">
        <f>H127+(E126*NDDaysInYEar/12)</f>
        <v>#N/A</v>
      </c>
      <c r="J127" s="932" t="e">
        <f>I127+(E126*NDDaysInYEar/12)</f>
        <v>#N/A</v>
      </c>
      <c r="K127" s="932" t="e">
        <f>J127+(E126*NDDaysInYEar/12)</f>
        <v>#N/A</v>
      </c>
      <c r="L127" s="932" t="e">
        <f>K127+(E126*NDDaysInYEar/12)</f>
        <v>#N/A</v>
      </c>
      <c r="M127" s="932" t="e">
        <f>L127+(E126*NDDaysInYEar/12)</f>
        <v>#N/A</v>
      </c>
      <c r="N127" s="932" t="e">
        <f>M127+(E126*NDDaysInYEar/12)</f>
        <v>#N/A</v>
      </c>
      <c r="O127" s="932" t="e">
        <f>N127+(E126*NDDaysInYEar/12)</f>
        <v>#N/A</v>
      </c>
      <c r="P127" s="932" t="e">
        <f>O127+(E126*NDDaysInYEar/12)</f>
        <v>#N/A</v>
      </c>
      <c r="Q127" s="932" t="e">
        <f>P127+(E126*NDDaysInYEar/12)</f>
        <v>#N/A</v>
      </c>
      <c r="R127" s="932" t="e">
        <f>Q127+(E126*NDDaysInYEar/12)</f>
        <v>#N/A</v>
      </c>
      <c r="S127" s="932" t="e">
        <f>R127+(E126*NDDaysInYEar/12)</f>
        <v>#N/A</v>
      </c>
    </row>
    <row r="128" spans="1:19" s="194" customFormat="1">
      <c r="A128" s="194" t="str">
        <f>VLOOKUP(C103,NDasaSeq,18,0)</f>
        <v>Aq</v>
      </c>
      <c r="B128" s="194">
        <f>VLOOKUP(A128,NDasaC,3,0)</f>
        <v>-1</v>
      </c>
      <c r="C128" s="925" t="e">
        <f>IF(MATCH(VLOOKUP(IF((A128="Aq"),VLOOKUP("AqLord",DivCharts,D102,0),IF((A128="Sc"),VLOOKUP("ScLord",DivCharts,D102,0),VLOOKUP(A128,RsInfo,9,0))),DivCharts,D102,0),RsTbl,0)=MATCH(VLOOKUP(IF((A128="Aq"),VLOOKUP("AqLord",DivCharts,D102,0),IF((A128="Sc"),VLOOKUP("ScLord",DivCharts,D102,0),VLOOKUP(A128,RsInfo,9,0))),PlanetData,8,0),RsTbl,0),1,IF(MATCH(VLOOKUP(IF((A128="Aq"),VLOOKUP("AqLord",DivCharts,D102,0),IF((A128="Sc"),VLOOKUP("ScLord",DivCharts,D102,0),VLOOKUP(A128,RsInfo,9,0))),DivCharts,D102,0),RsTbl,0)=MOD(MATCH(VLOOKUP(IF((A128="Aq"),VLOOKUP("AqLord",DivCharts,D102,0),IF((A128="Sc"),VLOOKUP("ScLord",DivCharts,D102,0),VLOOKUP(A128,RsInfo,9,0))),PlanetData,8,0),RsTbl,0)+6,12),-1,0))</f>
        <v>#N/A</v>
      </c>
      <c r="D128" s="925">
        <f>MOD((MATCH(VLOOKUP(IF((A128="Aq"),VLOOKUP("AqLord",DivCharts,D102,0),IF((A128="Sc"),VLOOKUP("ScLord",DivCharts,D102,0),VLOOKUP(A128,RsInfo,9,0))),DivCharts,D102,0),RsTbl,0)*B128)-(B128*MATCH(A128,RsTbl,0))+12,12)</f>
        <v>3</v>
      </c>
      <c r="E128" s="194" t="e">
        <f>IF(ISNA(MATCH((D128+C128),,0)),(D128+C128),12)</f>
        <v>#N/A</v>
      </c>
      <c r="F128" s="932" t="e">
        <f>G126</f>
        <v>#N/A</v>
      </c>
      <c r="G128" s="932" t="e">
        <f>F128+E128*NDDaysInYEar</f>
        <v>#N/A</v>
      </c>
      <c r="H128" s="919" t="str">
        <f>A128</f>
        <v>Aq</v>
      </c>
      <c r="I128" s="194" t="str">
        <f>INDEX(SignSym,MOD(B128+MATCH(H128,SignSym,0)-1,12)+1)</f>
        <v>Cp</v>
      </c>
      <c r="J128" s="194" t="str">
        <f>INDEX(SignSym,MOD(B128+MATCH(I128,SignSym,0)-1,12)+1)</f>
        <v>Sg</v>
      </c>
      <c r="K128" s="194" t="str">
        <f>INDEX(SignSym,MOD(B128+MATCH(J128,SignSym,0)-1,12)+1)</f>
        <v>Sc</v>
      </c>
      <c r="L128" s="194" t="str">
        <f>INDEX(SignSym,MOD(B128+MATCH(K128,SignSym,0)-1,12)+1)</f>
        <v>Li</v>
      </c>
      <c r="M128" s="194" t="str">
        <f>INDEX(SignSym,MOD(B128+MATCH(L128,SignSym,0)-1,12)+1)</f>
        <v>Vi</v>
      </c>
      <c r="N128" s="194" t="str">
        <f>INDEX(SignSym,MOD(B128+MATCH(M128,SignSym,0)-1,12)+1)</f>
        <v>Le</v>
      </c>
      <c r="O128" s="194" t="str">
        <f>INDEX(SignSym,MOD(B128+MATCH(N128,SignSym,0)-1,12)+1)</f>
        <v>Cn</v>
      </c>
      <c r="P128" s="194" t="str">
        <f>INDEX(SignSym,MOD(B128+MATCH(O128,SignSym,0)-1,12)+1)</f>
        <v>Ge</v>
      </c>
      <c r="Q128" s="194" t="str">
        <f>INDEX(SignSym,MOD(B128+MATCH(P128,SignSym,0)-1,12)+1)</f>
        <v>Ta</v>
      </c>
      <c r="R128" s="194" t="str">
        <f>INDEX(SignSym,MOD(B128+MATCH(Q128,SignSym,0)-1,12)+1)</f>
        <v>Ar</v>
      </c>
      <c r="S128" s="194" t="str">
        <f>INDEX(SignSym,MOD(B128+MATCH(R128,SignSym,0)-1,12)+1)</f>
        <v>Pi</v>
      </c>
    </row>
    <row r="129" spans="1:19" s="194" customFormat="1" hidden="1">
      <c r="D129" s="925"/>
      <c r="H129" s="932" t="e">
        <f>F128</f>
        <v>#N/A</v>
      </c>
      <c r="I129" s="932" t="e">
        <f>H129+(E128*NDDaysInYEar/12)</f>
        <v>#N/A</v>
      </c>
      <c r="J129" s="932" t="e">
        <f>I129+(E128*NDDaysInYEar/12)</f>
        <v>#N/A</v>
      </c>
      <c r="K129" s="932" t="e">
        <f>J129+(E128*NDDaysInYEar/12)</f>
        <v>#N/A</v>
      </c>
      <c r="L129" s="932" t="e">
        <f>K129+(E128*NDDaysInYEar/12)</f>
        <v>#N/A</v>
      </c>
      <c r="M129" s="932" t="e">
        <f>L129+(E128*NDDaysInYEar/12)</f>
        <v>#N/A</v>
      </c>
      <c r="N129" s="932" t="e">
        <f>M129+(E128*NDDaysInYEar/12)</f>
        <v>#N/A</v>
      </c>
      <c r="O129" s="932" t="e">
        <f>N129+(E128*NDDaysInYEar/12)</f>
        <v>#N/A</v>
      </c>
      <c r="P129" s="932" t="e">
        <f>O129+(E128*NDDaysInYEar/12)</f>
        <v>#N/A</v>
      </c>
      <c r="Q129" s="932" t="e">
        <f>P129+(E128*NDDaysInYEar/12)</f>
        <v>#N/A</v>
      </c>
      <c r="R129" s="932" t="e">
        <f>Q129+(E128*NDDaysInYEar/12)</f>
        <v>#N/A</v>
      </c>
      <c r="S129" s="932" t="e">
        <f>R129+(E128*NDDaysInYEar/12)</f>
        <v>#N/A</v>
      </c>
    </row>
    <row r="130" spans="1:19" s="194" customFormat="1">
      <c r="A130" s="931"/>
      <c r="B130" s="931"/>
      <c r="C130" s="931"/>
      <c r="D130" s="931"/>
      <c r="E130" s="931"/>
      <c r="F130" s="931"/>
      <c r="G130" s="931"/>
      <c r="H130" s="931"/>
      <c r="I130" s="931"/>
      <c r="J130" s="931"/>
      <c r="K130" s="931"/>
      <c r="L130" s="931"/>
      <c r="M130" s="931"/>
      <c r="N130" s="931"/>
      <c r="O130" s="931"/>
      <c r="P130" s="931"/>
      <c r="Q130" s="931"/>
      <c r="R130" s="931"/>
      <c r="S130" s="931"/>
    </row>
    <row r="131" spans="1:19" s="194" customFormat="1" hidden="1">
      <c r="H131" s="932"/>
      <c r="I131" s="932"/>
      <c r="J131" s="932"/>
      <c r="K131" s="932"/>
      <c r="L131" s="932"/>
      <c r="M131" s="932"/>
      <c r="N131" s="932"/>
      <c r="O131" s="932"/>
      <c r="P131" s="932"/>
      <c r="Q131" s="932"/>
      <c r="R131" s="932"/>
      <c r="S131" s="932"/>
    </row>
    <row r="132" spans="1:19" s="194" customFormat="1"/>
    <row r="135" spans="1:19" s="194" customFormat="1">
      <c r="A135" s="1366" t="s">
        <v>4189</v>
      </c>
      <c r="B135" s="1366"/>
      <c r="C135" s="916">
        <v>20</v>
      </c>
      <c r="D135" s="917">
        <f>MATCH(C135,$18:$18,1)</f>
        <v>10</v>
      </c>
      <c r="I135" s="918"/>
      <c r="N135" s="918"/>
    </row>
    <row r="136" spans="1:19" s="194" customFormat="1">
      <c r="A136" s="1366" t="s">
        <v>4192</v>
      </c>
      <c r="B136" s="1366"/>
      <c r="C136" s="919" t="s">
        <v>987</v>
      </c>
      <c r="D136" s="920"/>
      <c r="H136" s="918"/>
      <c r="I136" s="918"/>
      <c r="J136" s="918"/>
      <c r="P136" s="918"/>
    </row>
    <row r="137" spans="1:19" s="194" customFormat="1">
      <c r="C137" s="918"/>
      <c r="E137" s="918"/>
      <c r="H137" s="918"/>
      <c r="I137" s="918"/>
      <c r="J137" s="918"/>
    </row>
    <row r="138" spans="1:19" s="194" customFormat="1">
      <c r="A138" s="934" t="s">
        <v>4060</v>
      </c>
      <c r="B138" s="934" t="s">
        <v>807</v>
      </c>
      <c r="C138" s="934" t="s">
        <v>4194</v>
      </c>
      <c r="D138" s="934" t="s">
        <v>4195</v>
      </c>
      <c r="E138" s="934" t="s">
        <v>400</v>
      </c>
      <c r="F138" s="934" t="s">
        <v>730</v>
      </c>
      <c r="G138" s="934" t="s">
        <v>805</v>
      </c>
      <c r="H138" s="934" t="s">
        <v>4197</v>
      </c>
      <c r="I138" s="918"/>
      <c r="J138" s="918"/>
    </row>
    <row r="139" spans="1:19" s="194" customFormat="1">
      <c r="A139" s="194" t="str">
        <f>VLOOKUP(C136,NDasaSeq,7,0)</f>
        <v>Cp</v>
      </c>
      <c r="B139" s="194">
        <f>VLOOKUP(A139,NDasaC,3,0)</f>
        <v>-1</v>
      </c>
      <c r="C139" s="925" t="e">
        <f>IF(MATCH(VLOOKUP(IF((A139="Aq"),VLOOKUP("AqLord",DivCharts,D135,0),IF((A139="Sc"),VLOOKUP("ScLord",DivCharts,D135,0),VLOOKUP(A139,RsInfo,9,0))),DivCharts,D135,0),RsTbl,0)=MATCH(VLOOKUP(IF((A139="Aq"),VLOOKUP("AqLord",DivCharts,D135,0),IF((A139="Sc"),VLOOKUP("ScLord",DivCharts,D135,0),VLOOKUP(A139,RsInfo,9,0))),PlanetData,8,0),RsTbl,0),1,IF(MATCH(VLOOKUP(IF((A139="Aq"),VLOOKUP("AqLord",DivCharts,D135,0),IF((A139="Sc"),VLOOKUP("ScLord",DivCharts,D135,0),VLOOKUP(A139,RsInfo,9,0))),DivCharts,D135,0),RsTbl,0)=MOD(MATCH(VLOOKUP(IF((A139="Aq"),VLOOKUP("AqLord",DivCharts,D135,0),IF((A139="Sc"),VLOOKUP("ScLord",DivCharts,D135,0),VLOOKUP(A139,RsInfo,9,0))),PlanetData,8,0),RsTbl,0)+6,12),-1,0))</f>
        <v>#N/A</v>
      </c>
      <c r="D139" s="925">
        <f>MOD((MATCH(VLOOKUP(IF((A139="Aq"),VLOOKUP("AqLord",DivCharts,D135,0),IF((A139="Sc"),VLOOKUP("ScLord",DivCharts,D135,0),VLOOKUP(A139,RsInfo,9,0))),DivCharts,D135,0),RsTbl,0)*B139)-(B139*MATCH(A139,RsTbl,0))+12,12)</f>
        <v>7</v>
      </c>
      <c r="E139" s="194" t="e">
        <f>IF(ISNA(MATCH((D139+C139),,0)),(D139+C139),12)</f>
        <v>#N/A</v>
      </c>
      <c r="F139" s="932">
        <f>NDDoB</f>
        <v>26133.384143518517</v>
      </c>
      <c r="G139" s="932" t="e">
        <f>F139+E139*NDDaysInYEar</f>
        <v>#N/A</v>
      </c>
      <c r="H139" s="919" t="str">
        <f>A139</f>
        <v>Cp</v>
      </c>
      <c r="I139" s="194" t="str">
        <f>INDEX(SignSym,MOD(B139+MATCH(H139,SignSym,0)-1,12)+1)</f>
        <v>Sg</v>
      </c>
      <c r="J139" s="194" t="str">
        <f>INDEX(SignSym,MOD(B139+MATCH(I139,SignSym,0)-1,12)+1)</f>
        <v>Sc</v>
      </c>
      <c r="K139" s="194" t="str">
        <f>INDEX(SignSym,MOD(B139+MATCH(J139,SignSym,0)-1,12)+1)</f>
        <v>Li</v>
      </c>
      <c r="L139" s="194" t="str">
        <f>INDEX(SignSym,MOD(B139+MATCH(K139,SignSym,0)-1,12)+1)</f>
        <v>Vi</v>
      </c>
      <c r="M139" s="194" t="str">
        <f>INDEX(SignSym,MOD(B139+MATCH(L139,SignSym,0)-1,12)+1)</f>
        <v>Le</v>
      </c>
      <c r="N139" s="194" t="str">
        <f>INDEX(SignSym,MOD(B139+MATCH(M139,SignSym,0)-1,12)+1)</f>
        <v>Cn</v>
      </c>
      <c r="O139" s="194" t="str">
        <f>INDEX(SignSym,MOD(B139+MATCH(N139,SignSym,0)-1,12)+1)</f>
        <v>Ge</v>
      </c>
      <c r="P139" s="194" t="str">
        <f>INDEX(SignSym,MOD(B139+MATCH(O139,SignSym,0)-1,12)+1)</f>
        <v>Ta</v>
      </c>
      <c r="Q139" s="194" t="str">
        <f>INDEX(SignSym,MOD(B139+MATCH(P139,SignSym,0)-1,12)+1)</f>
        <v>Ar</v>
      </c>
      <c r="R139" s="194" t="str">
        <f>INDEX(SignSym,MOD(B139+MATCH(Q139,SignSym,0)-1,12)+1)</f>
        <v>Pi</v>
      </c>
      <c r="S139" s="194" t="str">
        <f>INDEX(SignSym,MOD(B139+MATCH(R139,SignSym,0)-1,12)+1)</f>
        <v>Aq</v>
      </c>
    </row>
    <row r="140" spans="1:19" s="194" customFormat="1" ht="12.75" hidden="1" customHeight="1">
      <c r="C140" s="925"/>
      <c r="D140" s="925"/>
      <c r="F140" s="932"/>
      <c r="G140" s="932"/>
      <c r="H140" s="932">
        <f>F139</f>
        <v>26133.384143518517</v>
      </c>
      <c r="I140" s="932" t="e">
        <f>H140+(E139*NDDaysInYEar/12)</f>
        <v>#N/A</v>
      </c>
      <c r="J140" s="932" t="e">
        <f>I140+(E139*NDDaysInYEar/12)</f>
        <v>#N/A</v>
      </c>
      <c r="K140" s="932" t="e">
        <f>J140+(E139*NDDaysInYEar/12)</f>
        <v>#N/A</v>
      </c>
      <c r="L140" s="932" t="e">
        <f>K140+(E139*NDDaysInYEar/12)</f>
        <v>#N/A</v>
      </c>
      <c r="M140" s="932" t="e">
        <f>L140+(E139*NDDaysInYEar/12)</f>
        <v>#N/A</v>
      </c>
      <c r="N140" s="932" t="e">
        <f>M140+(E139*NDDaysInYEar/12)</f>
        <v>#N/A</v>
      </c>
      <c r="O140" s="932" t="e">
        <f>N140+(E139*NDDaysInYEar/12)</f>
        <v>#N/A</v>
      </c>
      <c r="P140" s="932" t="e">
        <f>O140+(E139*NDDaysInYEar/12)</f>
        <v>#N/A</v>
      </c>
      <c r="Q140" s="932" t="e">
        <f>P140+(E139*NDDaysInYEar/12)</f>
        <v>#N/A</v>
      </c>
      <c r="R140" s="932" t="e">
        <f>Q140+(E139*NDDaysInYEar/12)</f>
        <v>#N/A</v>
      </c>
      <c r="S140" s="932" t="e">
        <f>R140+(E139*NDDaysInYEar/12)</f>
        <v>#N/A</v>
      </c>
    </row>
    <row r="141" spans="1:19" s="194" customFormat="1">
      <c r="A141" s="194" t="str">
        <f>VLOOKUP(C136,NDasaSeq,8,0)</f>
        <v>Sg</v>
      </c>
      <c r="B141" s="194">
        <f>VLOOKUP(A141,NDasaC,3,0)</f>
        <v>1</v>
      </c>
      <c r="C141" s="925" t="e">
        <f>IF(MATCH(VLOOKUP(IF((A141="Aq"),VLOOKUP("AqLord",DivCharts,D135,0),IF((A141="Sc"),VLOOKUP("ScLord",DivCharts,D135,0),VLOOKUP(A141,RsInfo,9,0))),DivCharts,D135,0),RsTbl,0)=MATCH(VLOOKUP(IF((A141="Aq"),VLOOKUP("AqLord",DivCharts,D135,0),IF((A141="Sc"),VLOOKUP("ScLord",DivCharts,D135,0),VLOOKUP(A141,RsInfo,9,0))),PlanetData,8,0),RsTbl,0),1,IF(MATCH(VLOOKUP(IF((A141="Aq"),VLOOKUP("AqLord",DivCharts,D135,0),IF((A141="Sc"),VLOOKUP("ScLord",DivCharts,D135,0),VLOOKUP(A141,RsInfo,9,0))),DivCharts,D135,0),RsTbl,0)=MOD(MATCH(VLOOKUP(IF((A141="Aq"),VLOOKUP("AqLord",DivCharts,D135,0),IF((A141="Sc"),VLOOKUP("ScLord",DivCharts,D135,0),VLOOKUP(A141,RsInfo,9,0))),PlanetData,8,0),RsTbl,0)+6,12),-1,0))</f>
        <v>#N/A</v>
      </c>
      <c r="D141" s="925">
        <f>MOD((MATCH(VLOOKUP(IF((A141="Aq"),VLOOKUP("AqLord",DivCharts,D135,0),IF((A141="Sc"),VLOOKUP("ScLord",DivCharts,D135,0),VLOOKUP(A141,RsInfo,9,0))),DivCharts,D135,0),RsTbl,0)*B141)-(B141*MATCH(A141,RsTbl,0))+12,12)</f>
        <v>2</v>
      </c>
      <c r="E141" s="194" t="e">
        <f>IF(ISNA(MATCH((D141+C141),,0)),(D141+C141),12)</f>
        <v>#N/A</v>
      </c>
      <c r="F141" s="932" t="e">
        <f>G139</f>
        <v>#N/A</v>
      </c>
      <c r="G141" s="932" t="e">
        <f>F141+E141*NDDaysInYEar</f>
        <v>#N/A</v>
      </c>
      <c r="H141" s="919" t="str">
        <f>A141</f>
        <v>Sg</v>
      </c>
      <c r="I141" s="194" t="str">
        <f>INDEX(SignSym,MOD(B141+MATCH(H141,SignSym,0)-1,12)+1)</f>
        <v>Cp</v>
      </c>
      <c r="J141" s="194" t="str">
        <f>INDEX(SignSym,MOD(B141+MATCH(I141,SignSym,0)-1,12)+1)</f>
        <v>Aq</v>
      </c>
      <c r="K141" s="194" t="str">
        <f>INDEX(SignSym,MOD(B141+MATCH(J141,SignSym,0)-1,12)+1)</f>
        <v>Pi</v>
      </c>
      <c r="L141" s="194" t="str">
        <f>INDEX(SignSym,MOD(B141+MATCH(K141,SignSym,0)-1,12)+1)</f>
        <v>Ar</v>
      </c>
      <c r="M141" s="194" t="str">
        <f>INDEX(SignSym,MOD(B141+MATCH(L141,SignSym,0)-1,12)+1)</f>
        <v>Ta</v>
      </c>
      <c r="N141" s="194" t="str">
        <f>INDEX(SignSym,MOD(B141+MATCH(M141,SignSym,0)-1,12)+1)</f>
        <v>Ge</v>
      </c>
      <c r="O141" s="194" t="str">
        <f>INDEX(SignSym,MOD(B141+MATCH(N141,SignSym,0)-1,12)+1)</f>
        <v>Cn</v>
      </c>
      <c r="P141" s="194" t="str">
        <f>INDEX(SignSym,MOD(B141+MATCH(O141,SignSym,0)-1,12)+1)</f>
        <v>Le</v>
      </c>
      <c r="Q141" s="194" t="str">
        <f>INDEX(SignSym,MOD(B141+MATCH(P141,SignSym,0)-1,12)+1)</f>
        <v>Vi</v>
      </c>
      <c r="R141" s="194" t="str">
        <f>INDEX(SignSym,MOD(B141+MATCH(Q141,SignSym,0)-1,12)+1)</f>
        <v>Li</v>
      </c>
      <c r="S141" s="194" t="str">
        <f>INDEX(SignSym,MOD(B141+MATCH(R141,SignSym,0)-1,12)+1)</f>
        <v>Sc</v>
      </c>
    </row>
    <row r="142" spans="1:19" s="194" customFormat="1" ht="12.75" hidden="1" customHeight="1">
      <c r="C142" s="925"/>
      <c r="D142" s="925"/>
      <c r="F142" s="932"/>
      <c r="G142" s="932"/>
      <c r="H142" s="932" t="e">
        <f>F141</f>
        <v>#N/A</v>
      </c>
      <c r="I142" s="932" t="e">
        <f>H142+(E141*NDDaysInYEar/12)</f>
        <v>#N/A</v>
      </c>
      <c r="J142" s="932" t="e">
        <f>I142+(E141*NDDaysInYEar/12)</f>
        <v>#N/A</v>
      </c>
      <c r="K142" s="932" t="e">
        <f>J142+(E141*NDDaysInYEar/12)</f>
        <v>#N/A</v>
      </c>
      <c r="L142" s="932" t="e">
        <f>K142+(E141*NDDaysInYEar/12)</f>
        <v>#N/A</v>
      </c>
      <c r="M142" s="932" t="e">
        <f>L142+(E141*NDDaysInYEar/12)</f>
        <v>#N/A</v>
      </c>
      <c r="N142" s="932" t="e">
        <f>M142+(E141*NDDaysInYEar/12)</f>
        <v>#N/A</v>
      </c>
      <c r="O142" s="932" t="e">
        <f>N142+(E141*NDDaysInYEar/12)</f>
        <v>#N/A</v>
      </c>
      <c r="P142" s="932" t="e">
        <f>O142+(E141*NDDaysInYEar/12)</f>
        <v>#N/A</v>
      </c>
      <c r="Q142" s="932" t="e">
        <f>P142+(E141*NDDaysInYEar/12)</f>
        <v>#N/A</v>
      </c>
      <c r="R142" s="932" t="e">
        <f>Q142+(E141*NDDaysInYEar/12)</f>
        <v>#N/A</v>
      </c>
      <c r="S142" s="932" t="e">
        <f>R142+(E141*NDDaysInYEar/12)</f>
        <v>#N/A</v>
      </c>
    </row>
    <row r="143" spans="1:19" s="194" customFormat="1">
      <c r="A143" s="194" t="str">
        <f>VLOOKUP(C136,NDasaSeq,9,0)</f>
        <v>Sc</v>
      </c>
      <c r="B143" s="194">
        <f>VLOOKUP(A143,NDasaC,3,0)</f>
        <v>1</v>
      </c>
      <c r="C143" s="925" t="e">
        <f>IF(MATCH(VLOOKUP(IF((A143="Aq"),VLOOKUP("AqLord",DivCharts,D135,0),IF((A143="Sc"),VLOOKUP("ScLord",DivCharts,D135,0),VLOOKUP(A143,RsInfo,9,0))),DivCharts,D135,0),RsTbl,0)=MATCH(VLOOKUP(IF((A143="Aq"),VLOOKUP("AqLord",DivCharts,D135,0),IF((A143="Sc"),VLOOKUP("ScLord",DivCharts,D135,0),VLOOKUP(A143,RsInfo,9,0))),PlanetData,8,0),RsTbl,0),1,IF(MATCH(VLOOKUP(IF((A143="Aq"),VLOOKUP("AqLord",DivCharts,D135,0),IF((A143="Sc"),VLOOKUP("ScLord",DivCharts,D135,0),VLOOKUP(A143,RsInfo,9,0))),DivCharts,D135,0),RsTbl,0)=MOD(MATCH(VLOOKUP(IF((A143="Aq"),VLOOKUP("AqLord",DivCharts,D135,0),IF((A143="Sc"),VLOOKUP("ScLord",DivCharts,D135,0),VLOOKUP(A143,RsInfo,9,0))),PlanetData,8,0),RsTbl,0)+6,12),-1,0))</f>
        <v>#N/A</v>
      </c>
      <c r="D143" s="925">
        <f>MOD((MATCH(VLOOKUP(IF((A143="Aq"),VLOOKUP("AqLord",DivCharts,D135,0),IF((A143="Sc"),VLOOKUP("ScLord",DivCharts,D135,0),VLOOKUP(A143,RsInfo,9,0))),DivCharts,D135,0),RsTbl,0)*B143)-(B143*MATCH(A143,RsTbl,0))+12,12)</f>
        <v>11</v>
      </c>
      <c r="E143" s="194" t="e">
        <f>IF(ISNA(MATCH((D143+C143),,0)),(D143+C143),12)</f>
        <v>#N/A</v>
      </c>
      <c r="F143" s="932" t="e">
        <f>G141</f>
        <v>#N/A</v>
      </c>
      <c r="G143" s="932" t="e">
        <f>F143+E143*NDDaysInYEar</f>
        <v>#N/A</v>
      </c>
      <c r="H143" s="919" t="str">
        <f>A143</f>
        <v>Sc</v>
      </c>
      <c r="I143" s="194" t="str">
        <f>INDEX(SignSym,MOD(B143+MATCH(H143,SignSym,0)-1,12)+1)</f>
        <v>Sg</v>
      </c>
      <c r="J143" s="194" t="str">
        <f>INDEX(SignSym,MOD(B143+MATCH(I143,SignSym,0)-1,12)+1)</f>
        <v>Cp</v>
      </c>
      <c r="K143" s="194" t="str">
        <f>INDEX(SignSym,MOD(B143+MATCH(J143,SignSym,0)-1,12)+1)</f>
        <v>Aq</v>
      </c>
      <c r="L143" s="194" t="str">
        <f>INDEX(SignSym,MOD(B143+MATCH(K143,SignSym,0)-1,12)+1)</f>
        <v>Pi</v>
      </c>
      <c r="M143" s="194" t="str">
        <f>INDEX(SignSym,MOD(B143+MATCH(L143,SignSym,0)-1,12)+1)</f>
        <v>Ar</v>
      </c>
      <c r="N143" s="194" t="str">
        <f>INDEX(SignSym,MOD(B143+MATCH(M143,SignSym,0)-1,12)+1)</f>
        <v>Ta</v>
      </c>
      <c r="O143" s="194" t="str">
        <f>INDEX(SignSym,MOD(B143+MATCH(N143,SignSym,0)-1,12)+1)</f>
        <v>Ge</v>
      </c>
      <c r="P143" s="194" t="str">
        <f>INDEX(SignSym,MOD(B143+MATCH(O143,SignSym,0)-1,12)+1)</f>
        <v>Cn</v>
      </c>
      <c r="Q143" s="194" t="str">
        <f>INDEX(SignSym,MOD(B143+MATCH(P143,SignSym,0)-1,12)+1)</f>
        <v>Le</v>
      </c>
      <c r="R143" s="194" t="str">
        <f>INDEX(SignSym,MOD(B143+MATCH(Q143,SignSym,0)-1,12)+1)</f>
        <v>Vi</v>
      </c>
      <c r="S143" s="194" t="str">
        <f>INDEX(SignSym,MOD(B143+MATCH(R143,SignSym,0)-1,12)+1)</f>
        <v>Li</v>
      </c>
    </row>
    <row r="144" spans="1:19" s="194" customFormat="1" ht="12.75" hidden="1" customHeight="1">
      <c r="C144" s="925"/>
      <c r="D144" s="925"/>
      <c r="F144" s="932"/>
      <c r="G144" s="932"/>
      <c r="H144" s="932" t="e">
        <f>F143</f>
        <v>#N/A</v>
      </c>
      <c r="I144" s="932" t="e">
        <f>H144+(E143*NDDaysInYEar/12)</f>
        <v>#N/A</v>
      </c>
      <c r="J144" s="932" t="e">
        <f>I144+(E143*NDDaysInYEar/12)</f>
        <v>#N/A</v>
      </c>
      <c r="K144" s="932" t="e">
        <f>J144+(E143*NDDaysInYEar/12)</f>
        <v>#N/A</v>
      </c>
      <c r="L144" s="932" t="e">
        <f>K144+(E143*NDDaysInYEar/12)</f>
        <v>#N/A</v>
      </c>
      <c r="M144" s="932" t="e">
        <f>L144+(E143*NDDaysInYEar/12)</f>
        <v>#N/A</v>
      </c>
      <c r="N144" s="932" t="e">
        <f>M144+(E143*NDDaysInYEar/12)</f>
        <v>#N/A</v>
      </c>
      <c r="O144" s="932" t="e">
        <f>N144+(E143*NDDaysInYEar/12)</f>
        <v>#N/A</v>
      </c>
      <c r="P144" s="932" t="e">
        <f>O144+(E143*NDDaysInYEar/12)</f>
        <v>#N/A</v>
      </c>
      <c r="Q144" s="932" t="e">
        <f>P144+(E143*NDDaysInYEar/12)</f>
        <v>#N/A</v>
      </c>
      <c r="R144" s="932" t="e">
        <f>Q144+(E143*NDDaysInYEar/12)</f>
        <v>#N/A</v>
      </c>
      <c r="S144" s="932" t="e">
        <f>R144+(E143*NDDaysInYEar/12)</f>
        <v>#N/A</v>
      </c>
    </row>
    <row r="145" spans="1:19" s="194" customFormat="1">
      <c r="A145" s="194" t="str">
        <f>VLOOKUP(C136,NDasaSeq,10,0)</f>
        <v>Li</v>
      </c>
      <c r="B145" s="194">
        <f>VLOOKUP(A145,NDasaC,3,0)</f>
        <v>1</v>
      </c>
      <c r="C145" s="925" t="e">
        <f>IF(MATCH(VLOOKUP(IF((A145="Aq"),VLOOKUP("AqLord",DivCharts,D135,0),IF((A145="Sc"),VLOOKUP("ScLord",DivCharts,D135,0),VLOOKUP(A145,RsInfo,9,0))),DivCharts,D135,0),RsTbl,0)=MATCH(VLOOKUP(IF((A145="Aq"),VLOOKUP("AqLord",DivCharts,D135,0),IF((A145="Sc"),VLOOKUP("ScLord",DivCharts,D135,0),VLOOKUP(A145,RsInfo,9,0))),PlanetData,8,0),RsTbl,0),1,IF(MATCH(VLOOKUP(IF((A145="Aq"),VLOOKUP("AqLord",DivCharts,D135,0),IF((A145="Sc"),VLOOKUP("ScLord",DivCharts,D135,0),VLOOKUP(A145,RsInfo,9,0))),DivCharts,D135,0),RsTbl,0)=MOD(MATCH(VLOOKUP(IF((A145="Aq"),VLOOKUP("AqLord",DivCharts,D135,0),IF((A145="Sc"),VLOOKUP("ScLord",DivCharts,D135,0),VLOOKUP(A145,RsInfo,9,0))),PlanetData,8,0),RsTbl,0)+6,12),-1,0))</f>
        <v>#N/A</v>
      </c>
      <c r="D145" s="925">
        <f>MOD((MATCH(VLOOKUP(IF((A145="Aq"),VLOOKUP("AqLord",DivCharts,D135,0),IF((A145="Sc"),VLOOKUP("ScLord",DivCharts,D135,0),VLOOKUP(A145,RsInfo,9,0))),DivCharts,D135,0),RsTbl,0)*B145)-(B145*MATCH(A145,RsTbl,0))+12,12)</f>
        <v>0</v>
      </c>
      <c r="E145" s="194" t="e">
        <f>IF(ISNA(MATCH((D145+C145),,0)),(D145+C145),12)</f>
        <v>#N/A</v>
      </c>
      <c r="F145" s="932" t="e">
        <f>G143</f>
        <v>#N/A</v>
      </c>
      <c r="G145" s="932" t="e">
        <f>F145+E145*NDDaysInYEar</f>
        <v>#N/A</v>
      </c>
      <c r="H145" s="919" t="str">
        <f>A145</f>
        <v>Li</v>
      </c>
      <c r="I145" s="194" t="str">
        <f>INDEX(SignSym,MOD(B145+MATCH(H145,SignSym,0)-1,12)+1)</f>
        <v>Sc</v>
      </c>
      <c r="J145" s="194" t="str">
        <f>INDEX(SignSym,MOD(B145+MATCH(I145,SignSym,0)-1,12)+1)</f>
        <v>Sg</v>
      </c>
      <c r="K145" s="194" t="str">
        <f>INDEX(SignSym,MOD(B145+MATCH(J145,SignSym,0)-1,12)+1)</f>
        <v>Cp</v>
      </c>
      <c r="L145" s="194" t="str">
        <f>INDEX(SignSym,MOD(B145+MATCH(K145,SignSym,0)-1,12)+1)</f>
        <v>Aq</v>
      </c>
      <c r="M145" s="194" t="str">
        <f>INDEX(SignSym,MOD(B145+MATCH(L145,SignSym,0)-1,12)+1)</f>
        <v>Pi</v>
      </c>
      <c r="N145" s="194" t="str">
        <f>INDEX(SignSym,MOD(B145+MATCH(M145,SignSym,0)-1,12)+1)</f>
        <v>Ar</v>
      </c>
      <c r="O145" s="194" t="str">
        <f>INDEX(SignSym,MOD(B145+MATCH(N145,SignSym,0)-1,12)+1)</f>
        <v>Ta</v>
      </c>
      <c r="P145" s="194" t="str">
        <f>INDEX(SignSym,MOD(B145+MATCH(O145,SignSym,0)-1,12)+1)</f>
        <v>Ge</v>
      </c>
      <c r="Q145" s="194" t="str">
        <f>INDEX(SignSym,MOD(B145+MATCH(P145,SignSym,0)-1,12)+1)</f>
        <v>Cn</v>
      </c>
      <c r="R145" s="194" t="str">
        <f>INDEX(SignSym,MOD(B145+MATCH(Q145,SignSym,0)-1,12)+1)</f>
        <v>Le</v>
      </c>
      <c r="S145" s="194" t="str">
        <f>INDEX(SignSym,MOD(B145+MATCH(R145,SignSym,0)-1,12)+1)</f>
        <v>Vi</v>
      </c>
    </row>
    <row r="146" spans="1:19" s="194" customFormat="1" ht="12.75" hidden="1" customHeight="1">
      <c r="C146" s="925"/>
      <c r="D146" s="925"/>
      <c r="F146" s="932"/>
      <c r="G146" s="932"/>
      <c r="H146" s="932" t="e">
        <f>F145</f>
        <v>#N/A</v>
      </c>
      <c r="I146" s="932" t="e">
        <f>H146+(E145*NDDaysInYEar/12)</f>
        <v>#N/A</v>
      </c>
      <c r="J146" s="932" t="e">
        <f>I146+(E145*NDDaysInYEar/12)</f>
        <v>#N/A</v>
      </c>
      <c r="K146" s="932" t="e">
        <f>J146+(E145*NDDaysInYEar/12)</f>
        <v>#N/A</v>
      </c>
      <c r="L146" s="932" t="e">
        <f>K146+(E145*NDDaysInYEar/12)</f>
        <v>#N/A</v>
      </c>
      <c r="M146" s="932" t="e">
        <f>L146+(E145*NDDaysInYEar/12)</f>
        <v>#N/A</v>
      </c>
      <c r="N146" s="932" t="e">
        <f>M146+(E145*NDDaysInYEar/12)</f>
        <v>#N/A</v>
      </c>
      <c r="O146" s="932" t="e">
        <f>N146+(E145*NDDaysInYEar/12)</f>
        <v>#N/A</v>
      </c>
      <c r="P146" s="932" t="e">
        <f>O146+(E145*NDDaysInYEar/12)</f>
        <v>#N/A</v>
      </c>
      <c r="Q146" s="932" t="e">
        <f>P146+(E145*NDDaysInYEar/12)</f>
        <v>#N/A</v>
      </c>
      <c r="R146" s="932" t="e">
        <f>Q146+(E145*NDDaysInYEar/12)</f>
        <v>#N/A</v>
      </c>
      <c r="S146" s="932" t="e">
        <f>R146+(E145*NDDaysInYEar/12)</f>
        <v>#N/A</v>
      </c>
    </row>
    <row r="147" spans="1:19" s="194" customFormat="1">
      <c r="A147" s="194" t="str">
        <f>VLOOKUP(C136,NDasaSeq,11,0)</f>
        <v>Vi</v>
      </c>
      <c r="B147" s="194">
        <f>VLOOKUP(A147,NDasaC,3,0)</f>
        <v>-1</v>
      </c>
      <c r="C147" s="925" t="e">
        <f>IF(MATCH(VLOOKUP(IF((A147="Aq"),VLOOKUP("AqLord",DivCharts,D135,0),IF((A147="Sc"),VLOOKUP("ScLord",DivCharts,D135,0),VLOOKUP(A147,RsInfo,9,0))),DivCharts,D135,0),RsTbl,0)=MATCH(VLOOKUP(IF((A147="Aq"),VLOOKUP("AqLord",DivCharts,D135,0),IF((A147="Sc"),VLOOKUP("ScLord",DivCharts,D135,0),VLOOKUP(A147,RsInfo,9,0))),PlanetData,8,0),RsTbl,0),1,IF(MATCH(VLOOKUP(IF((A147="Aq"),VLOOKUP("AqLord",DivCharts,D135,0),IF((A147="Sc"),VLOOKUP("ScLord",DivCharts,D135,0),VLOOKUP(A147,RsInfo,9,0))),DivCharts,D135,0),RsTbl,0)=MOD(MATCH(VLOOKUP(IF((A147="Aq"),VLOOKUP("AqLord",DivCharts,D135,0),IF((A147="Sc"),VLOOKUP("ScLord",DivCharts,D135,0),VLOOKUP(A147,RsInfo,9,0))),PlanetData,8,0),RsTbl,0)+6,12),-1,0))</f>
        <v>#N/A</v>
      </c>
      <c r="D147" s="925">
        <f>MOD((MATCH(VLOOKUP(IF((A147="Aq"),VLOOKUP("AqLord",DivCharts,D135,0),IF((A147="Sc"),VLOOKUP("ScLord",DivCharts,D135,0),VLOOKUP(A147,RsInfo,9,0))),DivCharts,D135,0),RsTbl,0)*B147)-(B147*MATCH(A147,RsTbl,0))+12,12)</f>
        <v>11</v>
      </c>
      <c r="E147" s="194" t="e">
        <f>IF(ISNA(MATCH((D147+C147),,0)),(D147+C147),12)</f>
        <v>#N/A</v>
      </c>
      <c r="F147" s="932" t="e">
        <f>G145</f>
        <v>#N/A</v>
      </c>
      <c r="G147" s="932" t="e">
        <f>F147+E147*NDDaysInYEar</f>
        <v>#N/A</v>
      </c>
      <c r="H147" s="919" t="s">
        <v>689</v>
      </c>
      <c r="I147" s="194" t="str">
        <f>INDEX(SignSym,MOD(B147+MATCH(H147,SignSym,0)-1,12)+1)</f>
        <v>Pi</v>
      </c>
      <c r="J147" s="194" t="str">
        <f>INDEX(SignSym,MOD(B147+MATCH(I147,SignSym,0)-1,12)+1)</f>
        <v>Aq</v>
      </c>
      <c r="K147" s="194" t="str">
        <f>INDEX(SignSym,MOD(B147+MATCH(J147,SignSym,0)-1,12)+1)</f>
        <v>Cp</v>
      </c>
      <c r="L147" s="194" t="str">
        <f>INDEX(SignSym,MOD(B147+MATCH(K147,SignSym,0)-1,12)+1)</f>
        <v>Sg</v>
      </c>
      <c r="M147" s="194" t="str">
        <f>INDEX(SignSym,MOD(B147+MATCH(L147,SignSym,0)-1,12)+1)</f>
        <v>Sc</v>
      </c>
      <c r="N147" s="194" t="str">
        <f>INDEX(SignSym,MOD(B147+MATCH(M147,SignSym,0)-1,12)+1)</f>
        <v>Li</v>
      </c>
      <c r="O147" s="194" t="str">
        <f>INDEX(SignSym,MOD(B147+MATCH(N147,SignSym,0)-1,12)+1)</f>
        <v>Vi</v>
      </c>
      <c r="P147" s="194" t="str">
        <f>INDEX(SignSym,MOD(B147+MATCH(O147,SignSym,0)-1,12)+1)</f>
        <v>Le</v>
      </c>
      <c r="Q147" s="194" t="str">
        <f>INDEX(SignSym,MOD(B147+MATCH(P147,SignSym,0)-1,12)+1)</f>
        <v>Cn</v>
      </c>
      <c r="R147" s="194" t="str">
        <f>INDEX(SignSym,MOD(B147+MATCH(Q147,SignSym,0)-1,12)+1)</f>
        <v>Ge</v>
      </c>
      <c r="S147" s="194" t="str">
        <f>INDEX(SignSym,MOD(B147+MATCH(R147,SignSym,0)-1,12)+1)</f>
        <v>Ta</v>
      </c>
    </row>
    <row r="148" spans="1:19" s="194" customFormat="1" hidden="1">
      <c r="C148" s="925"/>
      <c r="D148" s="925"/>
      <c r="F148" s="932"/>
      <c r="G148" s="932"/>
      <c r="H148" s="932" t="e">
        <f>F147</f>
        <v>#N/A</v>
      </c>
      <c r="I148" s="932" t="e">
        <f>H148+(E147*NDDaysInYEar/12)</f>
        <v>#N/A</v>
      </c>
      <c r="J148" s="932" t="e">
        <f>I148+(E147*NDDaysInYEar/12)</f>
        <v>#N/A</v>
      </c>
      <c r="K148" s="932" t="e">
        <f>J148+(E147*NDDaysInYEar/12)</f>
        <v>#N/A</v>
      </c>
      <c r="L148" s="932" t="e">
        <f>K148+(E147*NDDaysInYEar/12)</f>
        <v>#N/A</v>
      </c>
      <c r="M148" s="932" t="e">
        <f>L148+(E147*NDDaysInYEar/12)</f>
        <v>#N/A</v>
      </c>
      <c r="N148" s="932" t="e">
        <f>M148+(E147*NDDaysInYEar/12)</f>
        <v>#N/A</v>
      </c>
      <c r="O148" s="932" t="e">
        <f>N148+(E147*NDDaysInYEar/12)</f>
        <v>#N/A</v>
      </c>
      <c r="P148" s="932" t="e">
        <f>O148+(E147*NDDaysInYEar/12)</f>
        <v>#N/A</v>
      </c>
      <c r="Q148" s="932" t="e">
        <f>P148+(E147*NDDaysInYEar/12)</f>
        <v>#N/A</v>
      </c>
      <c r="R148" s="932" t="e">
        <f>Q148+(E147*NDDaysInYEar/12)</f>
        <v>#N/A</v>
      </c>
      <c r="S148" s="932" t="e">
        <f>R148+(E147*NDDaysInYEar/12)</f>
        <v>#N/A</v>
      </c>
    </row>
    <row r="149" spans="1:19" s="194" customFormat="1">
      <c r="A149" s="194" t="str">
        <f>VLOOKUP(C136,NDasaSeq,12,0)</f>
        <v>Le</v>
      </c>
      <c r="B149" s="194">
        <f>VLOOKUP(A149,NDasaC,3,0)</f>
        <v>-1</v>
      </c>
      <c r="C149" s="925" t="e">
        <f>IF(MATCH(VLOOKUP(IF((A149="Aq"),VLOOKUP("AqLord",DivCharts,D135,0),IF((A149="Sc"),VLOOKUP("ScLord",DivCharts,D135,0),VLOOKUP(A149,RsInfo,9,0))),DivCharts,D135,0),RsTbl,0)=MATCH(VLOOKUP(IF((A149="Aq"),VLOOKUP("AqLord",DivCharts,D135,0),IF((A149="Sc"),VLOOKUP("ScLord",DivCharts,D135,0),VLOOKUP(A149,RsInfo,9,0))),PlanetData,8,0),RsTbl,0),1,IF(MATCH(VLOOKUP(IF((A149="Aq"),VLOOKUP("AqLord",DivCharts,D135,0),IF((A149="Sc"),VLOOKUP("ScLord",DivCharts,D135,0),VLOOKUP(A149,RsInfo,9,0))),DivCharts,D135,0),RsTbl,0)=MOD(MATCH(VLOOKUP(IF((A149="Aq"),VLOOKUP("AqLord",DivCharts,D135,0),IF((A149="Sc"),VLOOKUP("ScLord",DivCharts,D135,0),VLOOKUP(A149,RsInfo,9,0))),PlanetData,8,0),RsTbl,0)+6,12),-1,0))</f>
        <v>#N/A</v>
      </c>
      <c r="D149" s="925">
        <f>MOD((MATCH(VLOOKUP(IF((A149="Aq"),VLOOKUP("AqLord",DivCharts,D135,0),IF((A149="Sc"),VLOOKUP("ScLord",DivCharts,D135,0),VLOOKUP(A149,RsInfo,9,0))),DivCharts,D135,0),RsTbl,0)*B149)-(B149*MATCH(A149,RsTbl,0))+12,12)</f>
        <v>3</v>
      </c>
      <c r="E149" s="194" t="e">
        <f>IF(ISNA(MATCH((D149+C149),,0)),(D149+C149),12)</f>
        <v>#N/A</v>
      </c>
      <c r="F149" s="932" t="e">
        <f>G147</f>
        <v>#N/A</v>
      </c>
      <c r="G149" s="932" t="e">
        <f>F149+E149*NDDaysInYEar</f>
        <v>#N/A</v>
      </c>
      <c r="H149" s="919" t="s">
        <v>711</v>
      </c>
      <c r="I149" s="194" t="str">
        <f>INDEX(SignSym,MOD(B149+MATCH(H149,SignSym,0)-1,12)+1)</f>
        <v>Le</v>
      </c>
      <c r="J149" s="194" t="str">
        <f>INDEX(SignSym,MOD(B149+MATCH(I149,SignSym,0)-1,12)+1)</f>
        <v>Cn</v>
      </c>
      <c r="K149" s="194" t="str">
        <f>INDEX(SignSym,MOD(B149+MATCH(J149,SignSym,0)-1,12)+1)</f>
        <v>Ge</v>
      </c>
      <c r="L149" s="194" t="str">
        <f>INDEX(SignSym,MOD(B149+MATCH(K149,SignSym,0)-1,12)+1)</f>
        <v>Ta</v>
      </c>
      <c r="M149" s="194" t="str">
        <f>INDEX(SignSym,MOD(B149+MATCH(L149,SignSym,0)-1,12)+1)</f>
        <v>Ar</v>
      </c>
      <c r="N149" s="194" t="str">
        <f>INDEX(SignSym,MOD(B149+MATCH(M149,SignSym,0)-1,12)+1)</f>
        <v>Pi</v>
      </c>
      <c r="O149" s="194" t="str">
        <f>INDEX(SignSym,MOD(B149+MATCH(N149,SignSym,0)-1,12)+1)</f>
        <v>Aq</v>
      </c>
      <c r="P149" s="194" t="str">
        <f>INDEX(SignSym,MOD(B149+MATCH(O149,SignSym,0)-1,12)+1)</f>
        <v>Cp</v>
      </c>
      <c r="Q149" s="194" t="str">
        <f>INDEX(SignSym,MOD(B149+MATCH(P149,SignSym,0)-1,12)+1)</f>
        <v>Sg</v>
      </c>
      <c r="R149" s="194" t="str">
        <f>INDEX(SignSym,MOD(B149+MATCH(Q149,SignSym,0)-1,12)+1)</f>
        <v>Sc</v>
      </c>
      <c r="S149" s="194" t="str">
        <f>INDEX(SignSym,MOD(B149+MATCH(R149,SignSym,0)-1,12)+1)</f>
        <v>Li</v>
      </c>
    </row>
    <row r="150" spans="1:19" s="194" customFormat="1" hidden="1">
      <c r="C150" s="925"/>
      <c r="D150" s="925"/>
      <c r="F150" s="932"/>
      <c r="G150" s="932"/>
      <c r="H150" s="932" t="e">
        <f>F149</f>
        <v>#N/A</v>
      </c>
      <c r="I150" s="932" t="e">
        <f>H150+(E149*NDDaysInYEar/12)</f>
        <v>#N/A</v>
      </c>
      <c r="J150" s="932" t="e">
        <f>I150+(E149*NDDaysInYEar/12)</f>
        <v>#N/A</v>
      </c>
      <c r="K150" s="932" t="e">
        <f>J150+(E149*NDDaysInYEar/12)</f>
        <v>#N/A</v>
      </c>
      <c r="L150" s="932" t="e">
        <f>K150+(E149*NDDaysInYEar/12)</f>
        <v>#N/A</v>
      </c>
      <c r="M150" s="932" t="e">
        <f>L150+(E149*NDDaysInYEar/12)</f>
        <v>#N/A</v>
      </c>
      <c r="N150" s="932" t="e">
        <f>M150+(E149*NDDaysInYEar/12)</f>
        <v>#N/A</v>
      </c>
      <c r="O150" s="932" t="e">
        <f>N150+(E149*NDDaysInYEar/12)</f>
        <v>#N/A</v>
      </c>
      <c r="P150" s="932" t="e">
        <f>O150+(E149*NDDaysInYEar/12)</f>
        <v>#N/A</v>
      </c>
      <c r="Q150" s="932" t="e">
        <f>P150+(E149*NDDaysInYEar/12)</f>
        <v>#N/A</v>
      </c>
      <c r="R150" s="932" t="e">
        <f>Q150+(E149*NDDaysInYEar/12)</f>
        <v>#N/A</v>
      </c>
      <c r="S150" s="932" t="e">
        <f>R150+(E149*NDDaysInYEar/12)</f>
        <v>#N/A</v>
      </c>
    </row>
    <row r="151" spans="1:19" s="194" customFormat="1">
      <c r="A151" s="194" t="str">
        <f>VLOOKUP(C136,NDasaSeq,13,0)</f>
        <v>Cn</v>
      </c>
      <c r="B151" s="194">
        <f>VLOOKUP(A151,NDasaC,3,0)</f>
        <v>-1</v>
      </c>
      <c r="C151" s="925" t="e">
        <f>IF(MATCH(VLOOKUP(IF((A151="Aq"),VLOOKUP("AqLord",DivCharts,D135,0),IF((A151="Sc"),VLOOKUP("ScLord",DivCharts,D135,0),VLOOKUP(A151,RsInfo,9,0))),DivCharts,D135,0),RsTbl,0)=MATCH(VLOOKUP(IF((A151="Aq"),VLOOKUP("AqLord",DivCharts,D135,0),IF((A151="Sc"),VLOOKUP("ScLord",DivCharts,D135,0),VLOOKUP(A151,RsInfo,9,0))),PlanetData,8,0),RsTbl,0),1,IF(MATCH(VLOOKUP(IF((A151="Aq"),VLOOKUP("AqLord",DivCharts,D135,0),IF((A151="Sc"),VLOOKUP("ScLord",DivCharts,D135,0),VLOOKUP(A151,RsInfo,9,0))),DivCharts,D135,0),RsTbl,0)=MOD(MATCH(VLOOKUP(IF((A151="Aq"),VLOOKUP("AqLord",DivCharts,D135,0),IF((A151="Sc"),VLOOKUP("ScLord",DivCharts,D135,0),VLOOKUP(A151,RsInfo,9,0))),PlanetData,8,0),RsTbl,0)+6,12),-1,0))</f>
        <v>#N/A</v>
      </c>
      <c r="D151" s="925">
        <f>MOD((MATCH(VLOOKUP(IF((A151="Aq"),VLOOKUP("AqLord",DivCharts,D135,0),IF((A151="Sc"),VLOOKUP("ScLord",DivCharts,D135,0),VLOOKUP(A151,RsInfo,9,0))),DivCharts,D135,0),RsTbl,0)*B151)-(B151*MATCH(A151,RsTbl,0))+12,12)</f>
        <v>4</v>
      </c>
      <c r="E151" s="194" t="e">
        <f>IF(ISNA(MATCH((D151+C151),,0)),(D151+C151),12)</f>
        <v>#N/A</v>
      </c>
      <c r="F151" s="932" t="e">
        <f>G149</f>
        <v>#N/A</v>
      </c>
      <c r="G151" s="932" t="e">
        <f>F151+E151*NDDaysInYEar</f>
        <v>#N/A</v>
      </c>
      <c r="H151" s="919" t="s">
        <v>699</v>
      </c>
      <c r="I151" s="194" t="str">
        <f>INDEX(SignSym,MOD(B151+MATCH(H151,SignSym,0)-1,12)+1)</f>
        <v>Cp</v>
      </c>
      <c r="J151" s="194" t="str">
        <f>INDEX(SignSym,MOD(B151+MATCH(I151,SignSym,0)-1,12)+1)</f>
        <v>Sg</v>
      </c>
      <c r="K151" s="194" t="str">
        <f>INDEX(SignSym,MOD(B151+MATCH(J151,SignSym,0)-1,12)+1)</f>
        <v>Sc</v>
      </c>
      <c r="L151" s="194" t="str">
        <f>INDEX(SignSym,MOD(B151+MATCH(K151,SignSym,0)-1,12)+1)</f>
        <v>Li</v>
      </c>
      <c r="M151" s="194" t="str">
        <f>INDEX(SignSym,MOD(B151+MATCH(L151,SignSym,0)-1,12)+1)</f>
        <v>Vi</v>
      </c>
      <c r="N151" s="194" t="str">
        <f>INDEX(SignSym,MOD(B151+MATCH(M151,SignSym,0)-1,12)+1)</f>
        <v>Le</v>
      </c>
      <c r="O151" s="194" t="str">
        <f>INDEX(SignSym,MOD(B151+MATCH(N151,SignSym,0)-1,12)+1)</f>
        <v>Cn</v>
      </c>
      <c r="P151" s="194" t="str">
        <f>INDEX(SignSym,MOD(B151+MATCH(O151,SignSym,0)-1,12)+1)</f>
        <v>Ge</v>
      </c>
      <c r="Q151" s="194" t="str">
        <f>INDEX(SignSym,MOD(B151+MATCH(P151,SignSym,0)-1,12)+1)</f>
        <v>Ta</v>
      </c>
      <c r="R151" s="194" t="str">
        <f>INDEX(SignSym,MOD(B151+MATCH(Q151,SignSym,0)-1,12)+1)</f>
        <v>Ar</v>
      </c>
      <c r="S151" s="194" t="str">
        <f>INDEX(SignSym,MOD(B151+MATCH(R151,SignSym,0)-1,12)+1)</f>
        <v>Pi</v>
      </c>
    </row>
    <row r="152" spans="1:19" s="194" customFormat="1" hidden="1">
      <c r="C152" s="925"/>
      <c r="D152" s="925"/>
      <c r="F152" s="932"/>
      <c r="G152" s="932"/>
      <c r="H152" s="932" t="e">
        <f>F151</f>
        <v>#N/A</v>
      </c>
      <c r="I152" s="932" t="e">
        <f>H152+(E151*NDDaysInYEar/12)</f>
        <v>#N/A</v>
      </c>
      <c r="J152" s="932" t="e">
        <f>I152+(E151*NDDaysInYEar/12)</f>
        <v>#N/A</v>
      </c>
      <c r="K152" s="932" t="e">
        <f>J152+(E151*NDDaysInYEar/12)</f>
        <v>#N/A</v>
      </c>
      <c r="L152" s="932" t="e">
        <f>K152+(E151*NDDaysInYEar/12)</f>
        <v>#N/A</v>
      </c>
      <c r="M152" s="932" t="e">
        <f>L152+(E151*NDDaysInYEar/12)</f>
        <v>#N/A</v>
      </c>
      <c r="N152" s="932" t="e">
        <f>M152+(E151*NDDaysInYEar/12)</f>
        <v>#N/A</v>
      </c>
      <c r="O152" s="932" t="e">
        <f>N152+(E151*NDDaysInYEar/12)</f>
        <v>#N/A</v>
      </c>
      <c r="P152" s="932" t="e">
        <f>O152+(E151*NDDaysInYEar/12)</f>
        <v>#N/A</v>
      </c>
      <c r="Q152" s="932" t="e">
        <f>P152+(E151*NDDaysInYEar/12)</f>
        <v>#N/A</v>
      </c>
      <c r="R152" s="932" t="e">
        <f>Q152+(E151*NDDaysInYEar/12)</f>
        <v>#N/A</v>
      </c>
      <c r="S152" s="932" t="e">
        <f>R152+(E151*NDDaysInYEar/12)</f>
        <v>#N/A</v>
      </c>
    </row>
    <row r="153" spans="1:19" s="194" customFormat="1">
      <c r="A153" s="194" t="str">
        <f>VLOOKUP(C136,NDasaSeq,14,0)</f>
        <v>Ge</v>
      </c>
      <c r="B153" s="194">
        <f>VLOOKUP(A153,NDasaC,3,0)</f>
        <v>1</v>
      </c>
      <c r="C153" s="925" t="e">
        <f>IF(MATCH(VLOOKUP(IF((A153="Aq"),VLOOKUP("AqLord",DivCharts,D135,0),IF((A153="Sc"),VLOOKUP("ScLord",DivCharts,D135,0),VLOOKUP(A153,RsInfo,9,0))),DivCharts,D135,0),RsTbl,0)=MATCH(VLOOKUP(IF((A153="Aq"),VLOOKUP("AqLord",DivCharts,D135,0),IF((A153="Sc"),VLOOKUP("ScLord",DivCharts,D135,0),VLOOKUP(A153,RsInfo,9,0))),PlanetData,8,0),RsTbl,0),1,IF(MATCH(VLOOKUP(IF((A153="Aq"),VLOOKUP("AqLord",DivCharts,D135,0),IF((A153="Sc"),VLOOKUP("ScLord",DivCharts,D135,0),VLOOKUP(A153,RsInfo,9,0))),DivCharts,D135,0),RsTbl,0)=MOD(MATCH(VLOOKUP(IF((A153="Aq"),VLOOKUP("AqLord",DivCharts,D135,0),IF((A153="Sc"),VLOOKUP("ScLord",DivCharts,D135,0),VLOOKUP(A153,RsInfo,9,0))),PlanetData,8,0),RsTbl,0)+6,12),-1,0))</f>
        <v>#N/A</v>
      </c>
      <c r="D153" s="925">
        <f>MOD((MATCH(VLOOKUP(IF((A153="Aq"),VLOOKUP("AqLord",DivCharts,D135,0),IF((A153="Sc"),VLOOKUP("ScLord",DivCharts,D135,0),VLOOKUP(A153,RsInfo,9,0))),DivCharts,D135,0),RsTbl,0)*B153)-(B153*MATCH(A153,RsTbl,0))+12,12)</f>
        <v>4</v>
      </c>
      <c r="E153" s="194" t="e">
        <f>IF(ISNA(MATCH((D153+C153),,0)),(D153+C153),12)</f>
        <v>#N/A</v>
      </c>
      <c r="F153" s="932" t="e">
        <f>G151</f>
        <v>#N/A</v>
      </c>
      <c r="G153" s="932" t="e">
        <f>F153+E153*NDDaysInYEar</f>
        <v>#N/A</v>
      </c>
      <c r="H153" s="919" t="s">
        <v>703</v>
      </c>
      <c r="I153" s="194" t="str">
        <f>INDEX(SignSym,MOD(B153+MATCH(H153,SignSym,0)-1,12)+1)</f>
        <v>Le</v>
      </c>
      <c r="J153" s="194" t="str">
        <f>INDEX(SignSym,MOD(B153+MATCH(I153,SignSym,0)-1,12)+1)</f>
        <v>Vi</v>
      </c>
      <c r="K153" s="194" t="str">
        <f>INDEX(SignSym,MOD(B153+MATCH(J153,SignSym,0)-1,12)+1)</f>
        <v>Li</v>
      </c>
      <c r="L153" s="194" t="str">
        <f>INDEX(SignSym,MOD(B153+MATCH(K153,SignSym,0)-1,12)+1)</f>
        <v>Sc</v>
      </c>
      <c r="M153" s="194" t="str">
        <f>INDEX(SignSym,MOD(B153+MATCH(L153,SignSym,0)-1,12)+1)</f>
        <v>Sg</v>
      </c>
      <c r="N153" s="194" t="str">
        <f>INDEX(SignSym,MOD(B153+MATCH(M153,SignSym,0)-1,12)+1)</f>
        <v>Cp</v>
      </c>
      <c r="O153" s="194" t="str">
        <f>INDEX(SignSym,MOD(B153+MATCH(N153,SignSym,0)-1,12)+1)</f>
        <v>Aq</v>
      </c>
      <c r="P153" s="194" t="str">
        <f>INDEX(SignSym,MOD(B153+MATCH(O153,SignSym,0)-1,12)+1)</f>
        <v>Pi</v>
      </c>
      <c r="Q153" s="194" t="str">
        <f>INDEX(SignSym,MOD(B153+MATCH(P153,SignSym,0)-1,12)+1)</f>
        <v>Ar</v>
      </c>
      <c r="R153" s="194" t="str">
        <f>INDEX(SignSym,MOD(B153+MATCH(Q153,SignSym,0)-1,12)+1)</f>
        <v>Ta</v>
      </c>
      <c r="S153" s="194" t="str">
        <f>INDEX(SignSym,MOD(B153+MATCH(R153,SignSym,0)-1,12)+1)</f>
        <v>Ge</v>
      </c>
    </row>
    <row r="154" spans="1:19" s="194" customFormat="1" hidden="1">
      <c r="C154" s="925"/>
      <c r="D154" s="925"/>
      <c r="F154" s="932"/>
      <c r="G154" s="932"/>
      <c r="H154" s="932" t="e">
        <f>F153</f>
        <v>#N/A</v>
      </c>
      <c r="I154" s="932" t="e">
        <f>H154+(E153*NDDaysInYEar/12)</f>
        <v>#N/A</v>
      </c>
      <c r="J154" s="932" t="e">
        <f>I154+(E153*NDDaysInYEar/12)</f>
        <v>#N/A</v>
      </c>
      <c r="K154" s="932" t="e">
        <f>J154+(E153*NDDaysInYEar/12)</f>
        <v>#N/A</v>
      </c>
      <c r="L154" s="932" t="e">
        <f>K154+(E153*NDDaysInYEar/12)</f>
        <v>#N/A</v>
      </c>
      <c r="M154" s="932" t="e">
        <f>L154+(E153*NDDaysInYEar/12)</f>
        <v>#N/A</v>
      </c>
      <c r="N154" s="932" t="e">
        <f>M154+(E153*NDDaysInYEar/12)</f>
        <v>#N/A</v>
      </c>
      <c r="O154" s="932" t="e">
        <f>N154+(E153*NDDaysInYEar/12)</f>
        <v>#N/A</v>
      </c>
      <c r="P154" s="932" t="e">
        <f>O154+(E153*NDDaysInYEar/12)</f>
        <v>#N/A</v>
      </c>
      <c r="Q154" s="932" t="e">
        <f>P154+(E153*NDDaysInYEar/12)</f>
        <v>#N/A</v>
      </c>
      <c r="R154" s="932" t="e">
        <f>Q154+(E153*NDDaysInYEar/12)</f>
        <v>#N/A</v>
      </c>
      <c r="S154" s="932" t="e">
        <f>R154+(E153*NDDaysInYEar/12)</f>
        <v>#N/A</v>
      </c>
    </row>
    <row r="155" spans="1:19" s="194" customFormat="1">
      <c r="A155" s="194" t="str">
        <f>VLOOKUP(C136,NDasaSeq,15,0)</f>
        <v>Ta</v>
      </c>
      <c r="B155" s="194">
        <f>VLOOKUP(A155,NDasaC,3,0)</f>
        <v>1</v>
      </c>
      <c r="C155" s="925" t="e">
        <f>IF(MATCH(VLOOKUP(IF((A155="Aq"),VLOOKUP("AqLord",DivCharts,D135,0),IF((A155="Sc"),VLOOKUP("ScLord",DivCharts,D135,0),VLOOKUP(A155,RsInfo,9,0))),DivCharts,D135,0),RsTbl,0)=MATCH(VLOOKUP(IF((A155="Aq"),VLOOKUP("AqLord",DivCharts,D135,0),IF((A155="Sc"),VLOOKUP("ScLord",DivCharts,D135,0),VLOOKUP(A155,RsInfo,9,0))),PlanetData,8,0),RsTbl,0),1,IF(MATCH(VLOOKUP(IF((A155="Aq"),VLOOKUP("AqLord",DivCharts,D135,0),IF((A155="Sc"),VLOOKUP("ScLord",DivCharts,D135,0),VLOOKUP(A155,RsInfo,9,0))),DivCharts,D135,0),RsTbl,0)=MOD(MATCH(VLOOKUP(IF((A155="Aq"),VLOOKUP("AqLord",DivCharts,D135,0),IF((A155="Sc"),VLOOKUP("ScLord",DivCharts,D135,0),VLOOKUP(A155,RsInfo,9,0))),PlanetData,8,0),RsTbl,0)+6,12),-1,0))</f>
        <v>#N/A</v>
      </c>
      <c r="D155" s="925">
        <f>MOD((MATCH(VLOOKUP(IF((A155="Aq"),VLOOKUP("AqLord",DivCharts,D135,0),IF((A155="Sc"),VLOOKUP("ScLord",DivCharts,D135,0),VLOOKUP(A155,RsInfo,9,0))),DivCharts,D135,0),RsTbl,0)*B155)-(B155*MATCH(A155,RsTbl,0))+12,12)</f>
        <v>5</v>
      </c>
      <c r="E155" s="194" t="e">
        <f>IF(ISNA(MATCH((D155+C155),,0)),(D155+C155),12)</f>
        <v>#N/A</v>
      </c>
      <c r="F155" s="932" t="e">
        <f>G153</f>
        <v>#N/A</v>
      </c>
      <c r="G155" s="932" t="e">
        <f>F155+E155*NDDaysInYEar</f>
        <v>#N/A</v>
      </c>
      <c r="H155" s="919" t="str">
        <f>A155</f>
        <v>Ta</v>
      </c>
      <c r="I155" s="194" t="str">
        <f>INDEX(SignSym,MOD(B155+MATCH(H155,SignSym,0)-1,12)+1)</f>
        <v>Ge</v>
      </c>
      <c r="J155" s="194" t="str">
        <f>INDEX(SignSym,MOD(B155+MATCH(I155,SignSym,0)-1,12)+1)</f>
        <v>Cn</v>
      </c>
      <c r="K155" s="194" t="str">
        <f>INDEX(SignSym,MOD(B155+MATCH(J155,SignSym,0)-1,12)+1)</f>
        <v>Le</v>
      </c>
      <c r="L155" s="194" t="str">
        <f>INDEX(SignSym,MOD(B155+MATCH(K155,SignSym,0)-1,12)+1)</f>
        <v>Vi</v>
      </c>
      <c r="M155" s="194" t="str">
        <f>INDEX(SignSym,MOD(B155+MATCH(L155,SignSym,0)-1,12)+1)</f>
        <v>Li</v>
      </c>
      <c r="N155" s="194" t="str">
        <f>INDEX(SignSym,MOD(B155+MATCH(M155,SignSym,0)-1,12)+1)</f>
        <v>Sc</v>
      </c>
      <c r="O155" s="194" t="str">
        <f>INDEX(SignSym,MOD(B155+MATCH(N155,SignSym,0)-1,12)+1)</f>
        <v>Sg</v>
      </c>
      <c r="P155" s="194" t="str">
        <f>INDEX(SignSym,MOD(B155+MATCH(O155,SignSym,0)-1,12)+1)</f>
        <v>Cp</v>
      </c>
      <c r="Q155" s="194" t="str">
        <f>INDEX(SignSym,MOD(B155+MATCH(P155,SignSym,0)-1,12)+1)</f>
        <v>Aq</v>
      </c>
      <c r="R155" s="194" t="str">
        <f>INDEX(SignSym,MOD(B155+MATCH(Q155,SignSym,0)-1,12)+1)</f>
        <v>Pi</v>
      </c>
      <c r="S155" s="194" t="str">
        <f>INDEX(SignSym,MOD(B155+MATCH(R155,SignSym,0)-1,12)+1)</f>
        <v>Ar</v>
      </c>
    </row>
    <row r="156" spans="1:19" s="194" customFormat="1" ht="12.75" hidden="1" customHeight="1">
      <c r="C156" s="925"/>
      <c r="D156" s="925"/>
      <c r="F156" s="932"/>
      <c r="G156" s="932"/>
      <c r="H156" s="932" t="e">
        <f>F155</f>
        <v>#N/A</v>
      </c>
      <c r="I156" s="932" t="e">
        <f>H156+(E155*NDDaysInYEar/12)</f>
        <v>#N/A</v>
      </c>
      <c r="J156" s="932" t="e">
        <f>I156+(E155*NDDaysInYEar/12)</f>
        <v>#N/A</v>
      </c>
      <c r="K156" s="932" t="e">
        <f>J156+(E155*NDDaysInYEar/12)</f>
        <v>#N/A</v>
      </c>
      <c r="L156" s="932" t="e">
        <f>K156+(E155*NDDaysInYEar/12)</f>
        <v>#N/A</v>
      </c>
      <c r="M156" s="932" t="e">
        <f>L156+(E155*NDDaysInYEar/12)</f>
        <v>#N/A</v>
      </c>
      <c r="N156" s="932" t="e">
        <f>M156+(E155*NDDaysInYEar/12)</f>
        <v>#N/A</v>
      </c>
      <c r="O156" s="932" t="e">
        <f>N156+(E155*NDDaysInYEar/12)</f>
        <v>#N/A</v>
      </c>
      <c r="P156" s="932" t="e">
        <f>O156+(E155*NDDaysInYEar/12)</f>
        <v>#N/A</v>
      </c>
      <c r="Q156" s="932" t="e">
        <f>P156+(E155*NDDaysInYEar/12)</f>
        <v>#N/A</v>
      </c>
      <c r="R156" s="932" t="e">
        <f>Q156+(E155*NDDaysInYEar/12)</f>
        <v>#N/A</v>
      </c>
      <c r="S156" s="932" t="e">
        <f>R156+(E155*NDDaysInYEar/12)</f>
        <v>#N/A</v>
      </c>
    </row>
    <row r="157" spans="1:19" s="194" customFormat="1">
      <c r="A157" s="194" t="str">
        <f>VLOOKUP(C136,NDasaSeq,16,0)</f>
        <v>Ar</v>
      </c>
      <c r="B157" s="194">
        <f>VLOOKUP(A157,NDasaC,3,0)</f>
        <v>1</v>
      </c>
      <c r="C157" s="925" t="e">
        <f>IF(MATCH(VLOOKUP(IF((A157="Aq"),VLOOKUP("AqLord",DivCharts,D135,0),IF((A157="Sc"),VLOOKUP("ScLord",DivCharts,D135,0),VLOOKUP(A157,RsInfo,9,0))),DivCharts,D135,0),RsTbl,0)=MATCH(VLOOKUP(IF((A157="Aq"),VLOOKUP("AqLord",DivCharts,D135,0),IF((A157="Sc"),VLOOKUP("ScLord",DivCharts,D135,0),VLOOKUP(A157,RsInfo,9,0))),PlanetData,8,0),RsTbl,0),1,IF(MATCH(VLOOKUP(IF((A157="Aq"),VLOOKUP("AqLord",DivCharts,D135,0),IF((A157="Sc"),VLOOKUP("ScLord",DivCharts,D135,0),VLOOKUP(A157,RsInfo,9,0))),DivCharts,D135,0),RsTbl,0)=MOD(MATCH(VLOOKUP(IF((A157="Aq"),VLOOKUP("AqLord",DivCharts,D135,0),IF((A157="Sc"),VLOOKUP("ScLord",DivCharts,D135,0),VLOOKUP(A157,RsInfo,9,0))),PlanetData,8,0),RsTbl,0)+6,12),-1,0))</f>
        <v>#N/A</v>
      </c>
      <c r="D157" s="925">
        <f>MOD((MATCH(VLOOKUP(IF((A157="Aq"),VLOOKUP("AqLord",DivCharts,D135,0),IF((A157="Sc"),VLOOKUP("ScLord",DivCharts,D135,0),VLOOKUP(A157,RsInfo,9,0))),DivCharts,D135,0),RsTbl,0)*B157)-(B157*MATCH(A157,RsTbl,0))+12,12)</f>
        <v>6</v>
      </c>
      <c r="E157" s="194" t="e">
        <f>IF(ISNA(MATCH((D157+C157),,0)),(D157+C157),12)</f>
        <v>#N/A</v>
      </c>
      <c r="F157" s="932" t="e">
        <f>G155</f>
        <v>#N/A</v>
      </c>
      <c r="G157" s="932" t="e">
        <f>F157+E157*NDDaysInYEar</f>
        <v>#N/A</v>
      </c>
      <c r="H157" s="919" t="str">
        <f>A157</f>
        <v>Ar</v>
      </c>
      <c r="I157" s="194" t="str">
        <f>INDEX(SignSym,MOD(B157+MATCH(H157,SignSym,0)-1,12)+1)</f>
        <v>Ta</v>
      </c>
      <c r="J157" s="194" t="str">
        <f>INDEX(SignSym,MOD(B157+MATCH(I157,SignSym,0)-1,12)+1)</f>
        <v>Ge</v>
      </c>
      <c r="K157" s="194" t="str">
        <f>INDEX(SignSym,MOD(B157+MATCH(J157,SignSym,0)-1,12)+1)</f>
        <v>Cn</v>
      </c>
      <c r="L157" s="194" t="str">
        <f>INDEX(SignSym,MOD(B157+MATCH(K157,SignSym,0)-1,12)+1)</f>
        <v>Le</v>
      </c>
      <c r="M157" s="194" t="str">
        <f>INDEX(SignSym,MOD(B157+MATCH(L157,SignSym,0)-1,12)+1)</f>
        <v>Vi</v>
      </c>
      <c r="N157" s="194" t="str">
        <f>INDEX(SignSym,MOD(B157+MATCH(M157,SignSym,0)-1,12)+1)</f>
        <v>Li</v>
      </c>
      <c r="O157" s="194" t="str">
        <f>INDEX(SignSym,MOD(B157+MATCH(N157,SignSym,0)-1,12)+1)</f>
        <v>Sc</v>
      </c>
      <c r="P157" s="194" t="str">
        <f>INDEX(SignSym,MOD(B157+MATCH(O157,SignSym,0)-1,12)+1)</f>
        <v>Sg</v>
      </c>
      <c r="Q157" s="194" t="str">
        <f>INDEX(SignSym,MOD(B157+MATCH(P157,SignSym,0)-1,12)+1)</f>
        <v>Cp</v>
      </c>
      <c r="R157" s="194" t="str">
        <f>INDEX(SignSym,MOD(B157+MATCH(Q157,SignSym,0)-1,12)+1)</f>
        <v>Aq</v>
      </c>
      <c r="S157" s="194" t="str">
        <f>INDEX(SignSym,MOD(B157+MATCH(R157,SignSym,0)-1,12)+1)</f>
        <v>Pi</v>
      </c>
    </row>
    <row r="158" spans="1:19" s="194" customFormat="1" ht="12.75" hidden="1" customHeight="1">
      <c r="C158" s="925"/>
      <c r="D158" s="925"/>
      <c r="F158" s="932"/>
      <c r="G158" s="932"/>
      <c r="H158" s="932" t="e">
        <f>F157</f>
        <v>#N/A</v>
      </c>
      <c r="I158" s="932" t="e">
        <f>H158+(E157*NDDaysInYEar/12)</f>
        <v>#N/A</v>
      </c>
      <c r="J158" s="932" t="e">
        <f>I158+(E157*NDDaysInYEar/12)</f>
        <v>#N/A</v>
      </c>
      <c r="K158" s="932" t="e">
        <f>J158+(E157*NDDaysInYEar/12)</f>
        <v>#N/A</v>
      </c>
      <c r="L158" s="932" t="e">
        <f>K158+(E157*NDDaysInYEar/12)</f>
        <v>#N/A</v>
      </c>
      <c r="M158" s="932" t="e">
        <f>L158+(E157*NDDaysInYEar/12)</f>
        <v>#N/A</v>
      </c>
      <c r="N158" s="932" t="e">
        <f>M158+(E157*NDDaysInYEar/12)</f>
        <v>#N/A</v>
      </c>
      <c r="O158" s="932" t="e">
        <f>N158+(E157*NDDaysInYEar/12)</f>
        <v>#N/A</v>
      </c>
      <c r="P158" s="932" t="e">
        <f>O158+(E157*NDDaysInYEar/12)</f>
        <v>#N/A</v>
      </c>
      <c r="Q158" s="932" t="e">
        <f>P158+(E157*NDDaysInYEar/12)</f>
        <v>#N/A</v>
      </c>
      <c r="R158" s="932" t="e">
        <f>Q158+(E157*NDDaysInYEar/12)</f>
        <v>#N/A</v>
      </c>
      <c r="S158" s="932" t="e">
        <f>R158+(E157*NDDaysInYEar/12)</f>
        <v>#N/A</v>
      </c>
    </row>
    <row r="159" spans="1:19" s="194" customFormat="1">
      <c r="A159" s="194" t="str">
        <f>VLOOKUP(C136,NDasaSeq,17,0)</f>
        <v>Pi</v>
      </c>
      <c r="B159" s="194">
        <f>VLOOKUP(A159,NDasaC,3,0)</f>
        <v>-1</v>
      </c>
      <c r="C159" s="925" t="e">
        <f>IF(MATCH(VLOOKUP(IF((A159="Aq"),VLOOKUP("AqLord",DivCharts,D135,0),IF((A159="Sc"),VLOOKUP("ScLord",DivCharts,D135,0),VLOOKUP(A159,RsInfo,9,0))),DivCharts,D135,0),RsTbl,0)=MATCH(VLOOKUP(IF((A159="Aq"),VLOOKUP("AqLord",DivCharts,D135,0),IF((A159="Sc"),VLOOKUP("ScLord",DivCharts,D135,0),VLOOKUP(A159,RsInfo,9,0))),PlanetData,8,0),RsTbl,0),1,IF(MATCH(VLOOKUP(IF((A159="Aq"),VLOOKUP("AqLord",DivCharts,D135,0),IF((A159="Sc"),VLOOKUP("ScLord",DivCharts,D135,0),VLOOKUP(A159,RsInfo,9,0))),DivCharts,D135,0),RsTbl,0)=MOD(MATCH(VLOOKUP(IF((A159="Aq"),VLOOKUP("AqLord",DivCharts,D135,0),IF((A159="Sc"),VLOOKUP("ScLord",DivCharts,D135,0),VLOOKUP(A159,RsInfo,9,0))),PlanetData,8,0),RsTbl,0)+6,12),-1,0))</f>
        <v>#N/A</v>
      </c>
      <c r="D159" s="925">
        <f>MOD((MATCH(VLOOKUP(IF((A159="Aq"),VLOOKUP("AqLord",DivCharts,D135,0),IF((A159="Sc"),VLOOKUP("ScLord",DivCharts,D135,0),VLOOKUP(A159,RsInfo,9,0))),DivCharts,D135,0),RsTbl,0)*B159)-(B159*MATCH(A159,RsTbl,0))+12,12)</f>
        <v>1</v>
      </c>
      <c r="E159" s="194" t="e">
        <f>IF(ISNA(MATCH((D159+C159),,0)),(D159+C159),12)</f>
        <v>#N/A</v>
      </c>
      <c r="F159" s="932" t="e">
        <f>G157</f>
        <v>#N/A</v>
      </c>
      <c r="G159" s="932" t="e">
        <f>F159+E159*NDDaysInYEar</f>
        <v>#N/A</v>
      </c>
      <c r="H159" s="919" t="str">
        <f>A159</f>
        <v>Pi</v>
      </c>
      <c r="I159" s="194" t="str">
        <f>INDEX(SignSym,MOD(B159+MATCH(H159,SignSym,0)-1,12)+1)</f>
        <v>Aq</v>
      </c>
      <c r="J159" s="194" t="str">
        <f>INDEX(SignSym,MOD(B159+MATCH(I159,SignSym,0)-1,12)+1)</f>
        <v>Cp</v>
      </c>
      <c r="K159" s="194" t="str">
        <f>INDEX(SignSym,MOD(B159+MATCH(J159,SignSym,0)-1,12)+1)</f>
        <v>Sg</v>
      </c>
      <c r="L159" s="194" t="str">
        <f>INDEX(SignSym,MOD(B159+MATCH(K159,SignSym,0)-1,12)+1)</f>
        <v>Sc</v>
      </c>
      <c r="M159" s="194" t="str">
        <f>INDEX(SignSym,MOD(B159+MATCH(L159,SignSym,0)-1,12)+1)</f>
        <v>Li</v>
      </c>
      <c r="N159" s="194" t="str">
        <f>INDEX(SignSym,MOD(B159+MATCH(M159,SignSym,0)-1,12)+1)</f>
        <v>Vi</v>
      </c>
      <c r="O159" s="194" t="str">
        <f>INDEX(SignSym,MOD(B159+MATCH(N159,SignSym,0)-1,12)+1)</f>
        <v>Le</v>
      </c>
      <c r="P159" s="194" t="str">
        <f>INDEX(SignSym,MOD(B159+MATCH(O159,SignSym,0)-1,12)+1)</f>
        <v>Cn</v>
      </c>
      <c r="Q159" s="194" t="str">
        <f>INDEX(SignSym,MOD(B159+MATCH(P159,SignSym,0)-1,12)+1)</f>
        <v>Ge</v>
      </c>
      <c r="R159" s="194" t="str">
        <f>INDEX(SignSym,MOD(B159+MATCH(Q159,SignSym,0)-1,12)+1)</f>
        <v>Ta</v>
      </c>
      <c r="S159" s="194" t="str">
        <f>INDEX(SignSym,MOD(B159+MATCH(R159,SignSym,0)-1,12)+1)</f>
        <v>Ar</v>
      </c>
    </row>
    <row r="160" spans="1:19" s="194" customFormat="1" ht="12.75" hidden="1" customHeight="1">
      <c r="C160" s="925"/>
      <c r="D160" s="925"/>
      <c r="F160" s="932"/>
      <c r="G160" s="932"/>
      <c r="H160" s="932" t="e">
        <f>F159</f>
        <v>#N/A</v>
      </c>
      <c r="I160" s="932" t="e">
        <f>H160+(E159*NDDaysInYEar/12)</f>
        <v>#N/A</v>
      </c>
      <c r="J160" s="932" t="e">
        <f>I160+(E159*NDDaysInYEar/12)</f>
        <v>#N/A</v>
      </c>
      <c r="K160" s="932" t="e">
        <f>J160+(E159*NDDaysInYEar/12)</f>
        <v>#N/A</v>
      </c>
      <c r="L160" s="932" t="e">
        <f>K160+(E159*NDDaysInYEar/12)</f>
        <v>#N/A</v>
      </c>
      <c r="M160" s="932" t="e">
        <f>L160+(E159*NDDaysInYEar/12)</f>
        <v>#N/A</v>
      </c>
      <c r="N160" s="932" t="e">
        <f>M160+(E159*NDDaysInYEar/12)</f>
        <v>#N/A</v>
      </c>
      <c r="O160" s="932" t="e">
        <f>N160+(E159*NDDaysInYEar/12)</f>
        <v>#N/A</v>
      </c>
      <c r="P160" s="932" t="e">
        <f>O160+(E159*NDDaysInYEar/12)</f>
        <v>#N/A</v>
      </c>
      <c r="Q160" s="932" t="e">
        <f>P160+(E159*NDDaysInYEar/12)</f>
        <v>#N/A</v>
      </c>
      <c r="R160" s="932" t="e">
        <f>Q160+(E159*NDDaysInYEar/12)</f>
        <v>#N/A</v>
      </c>
      <c r="S160" s="932" t="e">
        <f>R160+(E159*NDDaysInYEar/12)</f>
        <v>#N/A</v>
      </c>
    </row>
    <row r="161" spans="1:19" s="194" customFormat="1">
      <c r="A161" s="194" t="str">
        <f>VLOOKUP(C136,NDasaSeq,18,0)</f>
        <v>Aq</v>
      </c>
      <c r="B161" s="194">
        <f>VLOOKUP(A161,NDasaC,3,0)</f>
        <v>-1</v>
      </c>
      <c r="C161" s="925" t="e">
        <f>IF(MATCH(VLOOKUP(IF((A161="Aq"),VLOOKUP("AqLord",DivCharts,D135,0),IF((A161="Sc"),VLOOKUP("ScLord",DivCharts,D135,0),VLOOKUP(A161,RsInfo,9,0))),DivCharts,D135,0),RsTbl,0)=MATCH(VLOOKUP(IF((A161="Aq"),VLOOKUP("AqLord",DivCharts,D135,0),IF((A161="Sc"),VLOOKUP("ScLord",DivCharts,D135,0),VLOOKUP(A161,RsInfo,9,0))),PlanetData,8,0),RsTbl,0),1,IF(MATCH(VLOOKUP(IF((A161="Aq"),VLOOKUP("AqLord",DivCharts,D135,0),IF((A161="Sc"),VLOOKUP("ScLord",DivCharts,D135,0),VLOOKUP(A161,RsInfo,9,0))),DivCharts,D135,0),RsTbl,0)=MOD(MATCH(VLOOKUP(IF((A161="Aq"),VLOOKUP("AqLord",DivCharts,D135,0),IF((A161="Sc"),VLOOKUP("ScLord",DivCharts,D135,0),VLOOKUP(A161,RsInfo,9,0))),PlanetData,8,0),RsTbl,0)+6,12),-1,0))</f>
        <v>#N/A</v>
      </c>
      <c r="D161" s="925">
        <f>MOD((MATCH(VLOOKUP(IF((A161="Aq"),VLOOKUP("AqLord",DivCharts,D135,0),IF((A161="Sc"),VLOOKUP("ScLord",DivCharts,D135,0),VLOOKUP(A161,RsInfo,9,0))),DivCharts,D135,0),RsTbl,0)*B161)-(B161*MATCH(A161,RsTbl,0))+12,12)</f>
        <v>8</v>
      </c>
      <c r="E161" s="194" t="e">
        <f>IF(ISNA(MATCH((D161+C161),,0)),(D161+C161),12)</f>
        <v>#N/A</v>
      </c>
      <c r="F161" s="932" t="e">
        <f>G159</f>
        <v>#N/A</v>
      </c>
      <c r="G161" s="932" t="e">
        <f>F161+E161*NDDaysInYEar</f>
        <v>#N/A</v>
      </c>
      <c r="H161" s="919" t="str">
        <f>A161</f>
        <v>Aq</v>
      </c>
      <c r="I161" s="194" t="str">
        <f>INDEX(SignSym,MOD(B161+MATCH(H161,SignSym,0)-1,12)+1)</f>
        <v>Cp</v>
      </c>
      <c r="J161" s="194" t="str">
        <f>INDEX(SignSym,MOD(B161+MATCH(I161,SignSym,0)-1,12)+1)</f>
        <v>Sg</v>
      </c>
      <c r="K161" s="194" t="str">
        <f>INDEX(SignSym,MOD(B161+MATCH(J161,SignSym,0)-1,12)+1)</f>
        <v>Sc</v>
      </c>
      <c r="L161" s="194" t="str">
        <f>INDEX(SignSym,MOD(B161+MATCH(K161,SignSym,0)-1,12)+1)</f>
        <v>Li</v>
      </c>
      <c r="M161" s="194" t="str">
        <f>INDEX(SignSym,MOD(B161+MATCH(L161,SignSym,0)-1,12)+1)</f>
        <v>Vi</v>
      </c>
      <c r="N161" s="194" t="str">
        <f>INDEX(SignSym,MOD(B161+MATCH(M161,SignSym,0)-1,12)+1)</f>
        <v>Le</v>
      </c>
      <c r="O161" s="194" t="str">
        <f>INDEX(SignSym,MOD(B161+MATCH(N161,SignSym,0)-1,12)+1)</f>
        <v>Cn</v>
      </c>
      <c r="P161" s="194" t="str">
        <f>INDEX(SignSym,MOD(B161+MATCH(O161,SignSym,0)-1,12)+1)</f>
        <v>Ge</v>
      </c>
      <c r="Q161" s="194" t="str">
        <f>INDEX(SignSym,MOD(B161+MATCH(P161,SignSym,0)-1,12)+1)</f>
        <v>Ta</v>
      </c>
      <c r="R161" s="194" t="str">
        <f>INDEX(SignSym,MOD(B161+MATCH(Q161,SignSym,0)-1,12)+1)</f>
        <v>Ar</v>
      </c>
      <c r="S161" s="194" t="str">
        <f>INDEX(SignSym,MOD(B161+MATCH(R161,SignSym,0)-1,12)+1)</f>
        <v>Pi</v>
      </c>
    </row>
    <row r="162" spans="1:19" s="194" customFormat="1" hidden="1">
      <c r="D162" s="925"/>
      <c r="H162" s="932" t="e">
        <f>F161</f>
        <v>#N/A</v>
      </c>
      <c r="I162" s="932" t="e">
        <f>H162+(E161*NDDaysInYEar/12)</f>
        <v>#N/A</v>
      </c>
      <c r="J162" s="932" t="e">
        <f>I162+(E161*NDDaysInYEar/12)</f>
        <v>#N/A</v>
      </c>
      <c r="K162" s="932" t="e">
        <f>J162+(E161*NDDaysInYEar/12)</f>
        <v>#N/A</v>
      </c>
      <c r="L162" s="932" t="e">
        <f>K162+(E161*NDDaysInYEar/12)</f>
        <v>#N/A</v>
      </c>
      <c r="M162" s="932" t="e">
        <f>L162+(E161*NDDaysInYEar/12)</f>
        <v>#N/A</v>
      </c>
      <c r="N162" s="932" t="e">
        <f>M162+(E161*NDDaysInYEar/12)</f>
        <v>#N/A</v>
      </c>
      <c r="O162" s="932" t="e">
        <f>N162+(E161*NDDaysInYEar/12)</f>
        <v>#N/A</v>
      </c>
      <c r="P162" s="932" t="e">
        <f>O162+(E161*NDDaysInYEar/12)</f>
        <v>#N/A</v>
      </c>
      <c r="Q162" s="932" t="e">
        <f>P162+(E161*NDDaysInYEar/12)</f>
        <v>#N/A</v>
      </c>
      <c r="R162" s="932" t="e">
        <f>Q162+(E161*NDDaysInYEar/12)</f>
        <v>#N/A</v>
      </c>
      <c r="S162" s="932" t="e">
        <f>R162+(E161*NDDaysInYEar/12)</f>
        <v>#N/A</v>
      </c>
    </row>
    <row r="163" spans="1:19" s="194" customFormat="1">
      <c r="A163" s="931"/>
      <c r="B163" s="931"/>
      <c r="C163" s="931"/>
      <c r="D163" s="931"/>
      <c r="E163" s="931"/>
      <c r="F163" s="931"/>
      <c r="G163" s="931"/>
      <c r="H163" s="931"/>
      <c r="I163" s="931"/>
      <c r="J163" s="931"/>
      <c r="K163" s="931"/>
      <c r="L163" s="931"/>
      <c r="M163" s="931"/>
      <c r="N163" s="931"/>
      <c r="O163" s="931"/>
      <c r="P163" s="931"/>
      <c r="Q163" s="931"/>
      <c r="R163" s="931"/>
      <c r="S163" s="931"/>
    </row>
    <row r="164" spans="1:19" s="194" customFormat="1" hidden="1">
      <c r="H164" s="932"/>
      <c r="I164" s="932"/>
      <c r="J164" s="932"/>
      <c r="K164" s="932"/>
      <c r="L164" s="932"/>
      <c r="M164" s="932"/>
      <c r="N164" s="932"/>
      <c r="O164" s="932"/>
      <c r="P164" s="932"/>
      <c r="Q164" s="932"/>
      <c r="R164" s="932"/>
      <c r="S164" s="932"/>
    </row>
    <row r="165" spans="1:19" s="194" customFormat="1"/>
    <row r="170" spans="1:19">
      <c r="A170" s="913" t="s">
        <v>4199</v>
      </c>
      <c r="B170" s="914"/>
      <c r="C170" s="914"/>
      <c r="D170" s="914"/>
      <c r="E170" s="914"/>
      <c r="F170" s="914"/>
      <c r="G170" s="914"/>
      <c r="H170" s="914"/>
      <c r="I170" s="914"/>
      <c r="J170" s="914"/>
      <c r="K170" s="914"/>
      <c r="L170" s="915"/>
      <c r="M170" s="914"/>
      <c r="N170" s="914"/>
      <c r="O170" s="914"/>
      <c r="P170" s="914"/>
      <c r="Q170" s="914"/>
      <c r="R170" s="914"/>
      <c r="S170" s="914"/>
    </row>
    <row r="171" spans="1:19" s="194" customFormat="1">
      <c r="A171" s="1366" t="s">
        <v>4189</v>
      </c>
      <c r="B171" s="1366"/>
      <c r="C171" s="916">
        <v>24</v>
      </c>
      <c r="D171" s="917">
        <f>MATCH(C171,$18:$18,1)</f>
        <v>11</v>
      </c>
      <c r="I171" s="918"/>
      <c r="N171" s="918"/>
    </row>
    <row r="172" spans="1:19" s="194" customFormat="1">
      <c r="A172" s="1366" t="s">
        <v>4192</v>
      </c>
      <c r="B172" s="1366"/>
      <c r="C172" s="919" t="s">
        <v>997</v>
      </c>
      <c r="D172" s="920"/>
      <c r="H172" s="918"/>
      <c r="I172" s="918"/>
      <c r="J172" s="918"/>
      <c r="P172" s="918"/>
    </row>
    <row r="173" spans="1:19" s="194" customFormat="1">
      <c r="C173" s="918"/>
      <c r="E173" s="918"/>
      <c r="H173" s="918"/>
      <c r="I173" s="918"/>
      <c r="J173" s="918"/>
    </row>
    <row r="174" spans="1:19" s="194" customFormat="1">
      <c r="A174" s="934" t="s">
        <v>4060</v>
      </c>
      <c r="B174" s="934" t="s">
        <v>807</v>
      </c>
      <c r="C174" s="934" t="s">
        <v>4194</v>
      </c>
      <c r="D174" s="934" t="s">
        <v>4195</v>
      </c>
      <c r="E174" s="934" t="s">
        <v>400</v>
      </c>
      <c r="F174" s="934" t="s">
        <v>730</v>
      </c>
      <c r="G174" s="934" t="s">
        <v>805</v>
      </c>
      <c r="H174" s="934" t="s">
        <v>4197</v>
      </c>
      <c r="I174" s="918"/>
      <c r="J174" s="918"/>
    </row>
    <row r="175" spans="1:19" s="194" customFormat="1">
      <c r="A175" s="194" t="str">
        <f>VLOOKUP(C172,NDasaSeq,7,0)</f>
        <v>Aq</v>
      </c>
      <c r="B175" s="194">
        <f>VLOOKUP(A175,NDasaC,3,0)</f>
        <v>-1</v>
      </c>
      <c r="C175" s="925" t="e">
        <f>IF(MATCH(VLOOKUP(IF((A175="Aq"),VLOOKUP("AqLord",DivCharts,D171,0),IF((A175="Sc"),VLOOKUP("ScLord",DivCharts,D171,0),VLOOKUP(A175,RsInfo,9,0))),DivCharts,D171,0),RsTbl,0)=MATCH(VLOOKUP(IF((A175="Aq"),VLOOKUP("AqLord",DivCharts,D171,0),IF((A175="Sc"),VLOOKUP("ScLord",DivCharts,D171,0),VLOOKUP(A175,RsInfo,9,0))),PlanetData,8,0),RsTbl,0),1,IF(MATCH(VLOOKUP(IF((A175="Aq"),VLOOKUP("AqLord",DivCharts,D171,0),IF((A175="Sc"),VLOOKUP("ScLord",DivCharts,D171,0),VLOOKUP(A175,RsInfo,9,0))),DivCharts,D171,0),RsTbl,0)=MOD(MATCH(VLOOKUP(IF((A175="Aq"),VLOOKUP("AqLord",DivCharts,D171,0),IF((A175="Sc"),VLOOKUP("ScLord",DivCharts,D171,0),VLOOKUP(A175,RsInfo,9,0))),PlanetData,8,0),RsTbl,0)+6,12),-1,0))</f>
        <v>#N/A</v>
      </c>
      <c r="D175" s="925">
        <f>MOD((MATCH(VLOOKUP(IF((A175="Aq"),VLOOKUP("AqLord",DivCharts,D171,0),IF((A175="Sc"),VLOOKUP("ScLord",DivCharts,D171,0),VLOOKUP(A175,RsInfo,9,0))),DivCharts,D171,0),RsTbl,0)*B175)-(B175*MATCH(A175,RsTbl,0))+12,12)</f>
        <v>2</v>
      </c>
      <c r="E175" s="194" t="e">
        <f>IF(ISNA(MATCH((D175+C175),,0)),(D175+C175),12)</f>
        <v>#N/A</v>
      </c>
      <c r="F175" s="932">
        <v>11569</v>
      </c>
      <c r="G175" s="932" t="e">
        <f>F175+E175*NDDaysInYEar</f>
        <v>#N/A</v>
      </c>
      <c r="H175" s="919" t="str">
        <f>A175</f>
        <v>Aq</v>
      </c>
      <c r="I175" s="194" t="str">
        <f>INDEX(SignSym,MOD(B175+MATCH(H175,SignSym,0)-1,12)+1)</f>
        <v>Cp</v>
      </c>
      <c r="J175" s="194" t="str">
        <f>INDEX(SignSym,MOD(B175+MATCH(I175,SignSym,0)-1,12)+1)</f>
        <v>Sg</v>
      </c>
      <c r="K175" s="194" t="str">
        <f>INDEX(SignSym,MOD(B175+MATCH(J175,SignSym,0)-1,12)+1)</f>
        <v>Sc</v>
      </c>
      <c r="L175" s="194" t="str">
        <f>INDEX(SignSym,MOD(B175+MATCH(K175,SignSym,0)-1,12)+1)</f>
        <v>Li</v>
      </c>
      <c r="M175" s="194" t="str">
        <f>INDEX(SignSym,MOD(B175+MATCH(L175,SignSym,0)-1,12)+1)</f>
        <v>Vi</v>
      </c>
      <c r="N175" s="194" t="str">
        <f>INDEX(SignSym,MOD(B175+MATCH(M175,SignSym,0)-1,12)+1)</f>
        <v>Le</v>
      </c>
      <c r="O175" s="194" t="str">
        <f>INDEX(SignSym,MOD(B175+MATCH(N175,SignSym,0)-1,12)+1)</f>
        <v>Cn</v>
      </c>
      <c r="P175" s="194" t="str">
        <f>INDEX(SignSym,MOD(B175+MATCH(O175,SignSym,0)-1,12)+1)</f>
        <v>Ge</v>
      </c>
      <c r="Q175" s="194" t="str">
        <f>INDEX(SignSym,MOD(B175+MATCH(P175,SignSym,0)-1,12)+1)</f>
        <v>Ta</v>
      </c>
      <c r="R175" s="194" t="str">
        <f>INDEX(SignSym,MOD(B175+MATCH(Q175,SignSym,0)-1,12)+1)</f>
        <v>Ar</v>
      </c>
      <c r="S175" s="194" t="str">
        <f>INDEX(SignSym,MOD(B175+MATCH(R175,SignSym,0)-1,12)+1)</f>
        <v>Pi</v>
      </c>
    </row>
    <row r="176" spans="1:19" s="194" customFormat="1" ht="12.75" hidden="1" customHeight="1">
      <c r="C176" s="925"/>
      <c r="D176" s="925"/>
      <c r="F176" s="932"/>
      <c r="G176" s="932"/>
      <c r="H176" s="932">
        <f>F175</f>
        <v>11569</v>
      </c>
      <c r="I176" s="932" t="e">
        <f>H176+(E175*NDDaysInYEar/12)</f>
        <v>#N/A</v>
      </c>
      <c r="J176" s="932" t="e">
        <f>I176+(E175*NDDaysInYEar/12)</f>
        <v>#N/A</v>
      </c>
      <c r="K176" s="932" t="e">
        <f>J176+(E175*NDDaysInYEar/12)</f>
        <v>#N/A</v>
      </c>
      <c r="L176" s="932" t="e">
        <f>K176+(E175*NDDaysInYEar/12)</f>
        <v>#N/A</v>
      </c>
      <c r="M176" s="932" t="e">
        <f>L176+(E175*NDDaysInYEar/12)</f>
        <v>#N/A</v>
      </c>
      <c r="N176" s="932" t="e">
        <f>M176+(E175*NDDaysInYEar/12)</f>
        <v>#N/A</v>
      </c>
      <c r="O176" s="932" t="e">
        <f>N176+(E175*NDDaysInYEar/12)</f>
        <v>#N/A</v>
      </c>
      <c r="P176" s="932" t="e">
        <f>O176+(E175*NDDaysInYEar/12)</f>
        <v>#N/A</v>
      </c>
      <c r="Q176" s="932" t="e">
        <f>P176+(E175*NDDaysInYEar/12)</f>
        <v>#N/A</v>
      </c>
      <c r="R176" s="932" t="e">
        <f>Q176+(E175*NDDaysInYEar/12)</f>
        <v>#N/A</v>
      </c>
      <c r="S176" s="932" t="e">
        <f>R176+(E175*NDDaysInYEar/12)</f>
        <v>#N/A</v>
      </c>
    </row>
    <row r="177" spans="1:19" s="194" customFormat="1">
      <c r="A177" s="194" t="str">
        <f>VLOOKUP(C172,NDasaSeq,8,0)</f>
        <v>Cn</v>
      </c>
      <c r="B177" s="194">
        <f>VLOOKUP(A177,NDasaC,3,0)</f>
        <v>-1</v>
      </c>
      <c r="C177" s="925" t="e">
        <f>IF(MATCH(VLOOKUP(IF((A177="Aq"),VLOOKUP("AqLord",DivCharts,D171,0),IF((A177="Sc"),VLOOKUP("ScLord",DivCharts,D171,0),VLOOKUP(A177,RsInfo,9,0))),DivCharts,D171,0),RsTbl,0)=MATCH(VLOOKUP(IF((A177="Aq"),VLOOKUP("AqLord",DivCharts,D171,0),IF((A177="Sc"),VLOOKUP("ScLord",DivCharts,D171,0),VLOOKUP(A177,RsInfo,9,0))),PlanetData,8,0),RsTbl,0),1,IF(MATCH(VLOOKUP(IF((A177="Aq"),VLOOKUP("AqLord",DivCharts,D171,0),IF((A177="Sc"),VLOOKUP("ScLord",DivCharts,D171,0),VLOOKUP(A177,RsInfo,9,0))),DivCharts,D171,0),RsTbl,0)=MOD(MATCH(VLOOKUP(IF((A177="Aq"),VLOOKUP("AqLord",DivCharts,D171,0),IF((A177="Sc"),VLOOKUP("ScLord",DivCharts,D171,0),VLOOKUP(A177,RsInfo,9,0))),PlanetData,8,0),RsTbl,0)+6,12),-1,0))</f>
        <v>#N/A</v>
      </c>
      <c r="D177" s="925">
        <f>MOD((MATCH(VLOOKUP(IF((A177="Aq"),VLOOKUP("AqLord",DivCharts,D171,0),IF((A177="Sc"),VLOOKUP("ScLord",DivCharts,D171,0),VLOOKUP(A177,RsInfo,9,0))),DivCharts,D171,0),RsTbl,0)*B177)-(B177*MATCH(A177,RsTbl,0))+12,12)</f>
        <v>8</v>
      </c>
      <c r="E177" s="194" t="e">
        <f>IF(ISNA(MATCH((D177+C177),,0)),(D177+C177),12)</f>
        <v>#N/A</v>
      </c>
      <c r="F177" s="932" t="e">
        <f>G175</f>
        <v>#N/A</v>
      </c>
      <c r="G177" s="932" t="e">
        <f>F177+E177*NDDaysInYEar</f>
        <v>#N/A</v>
      </c>
      <c r="H177" s="919" t="str">
        <f>A177</f>
        <v>Cn</v>
      </c>
      <c r="I177" s="194" t="str">
        <f>INDEX(SignSym,MOD(B177+MATCH(H177,SignSym,0)-1,12)+1)</f>
        <v>Ge</v>
      </c>
      <c r="J177" s="194" t="str">
        <f>INDEX(SignSym,MOD(B177+MATCH(I177,SignSym,0)-1,12)+1)</f>
        <v>Ta</v>
      </c>
      <c r="K177" s="194" t="str">
        <f>INDEX(SignSym,MOD(B177+MATCH(J177,SignSym,0)-1,12)+1)</f>
        <v>Ar</v>
      </c>
      <c r="L177" s="194" t="str">
        <f>INDEX(SignSym,MOD(B177+MATCH(K177,SignSym,0)-1,12)+1)</f>
        <v>Pi</v>
      </c>
      <c r="M177" s="194" t="str">
        <f>INDEX(SignSym,MOD(B177+MATCH(L177,SignSym,0)-1,12)+1)</f>
        <v>Aq</v>
      </c>
      <c r="N177" s="194" t="str">
        <f>INDEX(SignSym,MOD(B177+MATCH(M177,SignSym,0)-1,12)+1)</f>
        <v>Cp</v>
      </c>
      <c r="O177" s="194" t="str">
        <f>INDEX(SignSym,MOD(B177+MATCH(N177,SignSym,0)-1,12)+1)</f>
        <v>Sg</v>
      </c>
      <c r="P177" s="194" t="str">
        <f>INDEX(SignSym,MOD(B177+MATCH(O177,SignSym,0)-1,12)+1)</f>
        <v>Sc</v>
      </c>
      <c r="Q177" s="194" t="str">
        <f>INDEX(SignSym,MOD(B177+MATCH(P177,SignSym,0)-1,12)+1)</f>
        <v>Li</v>
      </c>
      <c r="R177" s="194" t="str">
        <f>INDEX(SignSym,MOD(B177+MATCH(Q177,SignSym,0)-1,12)+1)</f>
        <v>Vi</v>
      </c>
      <c r="S177" s="194" t="str">
        <f>INDEX(SignSym,MOD(B177+MATCH(R177,SignSym,0)-1,12)+1)</f>
        <v>Le</v>
      </c>
    </row>
    <row r="178" spans="1:19" s="194" customFormat="1" ht="12.75" hidden="1" customHeight="1">
      <c r="C178" s="925"/>
      <c r="D178" s="925"/>
      <c r="F178" s="932"/>
      <c r="G178" s="932"/>
      <c r="H178" s="932" t="e">
        <f>F177</f>
        <v>#N/A</v>
      </c>
      <c r="I178" s="932" t="e">
        <f>H178+(E177*NDDaysInYEar/12)</f>
        <v>#N/A</v>
      </c>
      <c r="J178" s="932" t="e">
        <f>I178+(E177*NDDaysInYEar/12)</f>
        <v>#N/A</v>
      </c>
      <c r="K178" s="932" t="e">
        <f>J178+(E177*NDDaysInYEar/12)</f>
        <v>#N/A</v>
      </c>
      <c r="L178" s="932" t="e">
        <f>K178+(E177*NDDaysInYEar/12)</f>
        <v>#N/A</v>
      </c>
      <c r="M178" s="932" t="e">
        <f>L178+(E177*NDDaysInYEar/12)</f>
        <v>#N/A</v>
      </c>
      <c r="N178" s="932" t="e">
        <f>M178+(E177*NDDaysInYEar/12)</f>
        <v>#N/A</v>
      </c>
      <c r="O178" s="932" t="e">
        <f>N178+(E177*NDDaysInYEar/12)</f>
        <v>#N/A</v>
      </c>
      <c r="P178" s="932" t="e">
        <f>O178+(E177*NDDaysInYEar/12)</f>
        <v>#N/A</v>
      </c>
      <c r="Q178" s="932" t="e">
        <f>P178+(E177*NDDaysInYEar/12)</f>
        <v>#N/A</v>
      </c>
      <c r="R178" s="932" t="e">
        <f>Q178+(E177*NDDaysInYEar/12)</f>
        <v>#N/A</v>
      </c>
      <c r="S178" s="932" t="e">
        <f>R178+(E177*NDDaysInYEar/12)</f>
        <v>#N/A</v>
      </c>
    </row>
    <row r="179" spans="1:19" s="194" customFormat="1">
      <c r="A179" s="194" t="str">
        <f>VLOOKUP(C172,NDasaSeq,9,0)</f>
        <v>Sg</v>
      </c>
      <c r="B179" s="194">
        <f>VLOOKUP(A179,NDasaC,3,0)</f>
        <v>1</v>
      </c>
      <c r="C179" s="925" t="e">
        <f>IF(MATCH(VLOOKUP(IF((A179="Aq"),VLOOKUP("AqLord",DivCharts,D171,0),IF((A179="Sc"),VLOOKUP("ScLord",DivCharts,D171,0),VLOOKUP(A179,RsInfo,9,0))),DivCharts,D171,0),RsTbl,0)=MATCH(VLOOKUP(IF((A179="Aq"),VLOOKUP("AqLord",DivCharts,D171,0),IF((A179="Sc"),VLOOKUP("ScLord",DivCharts,D171,0),VLOOKUP(A179,RsInfo,9,0))),PlanetData,8,0),RsTbl,0),1,IF(MATCH(VLOOKUP(IF((A179="Aq"),VLOOKUP("AqLord",DivCharts,D171,0),IF((A179="Sc"),VLOOKUP("ScLord",DivCharts,D171,0),VLOOKUP(A179,RsInfo,9,0))),DivCharts,D171,0),RsTbl,0)=MOD(MATCH(VLOOKUP(IF((A179="Aq"),VLOOKUP("AqLord",DivCharts,D171,0),IF((A179="Sc"),VLOOKUP("ScLord",DivCharts,D171,0),VLOOKUP(A179,RsInfo,9,0))),PlanetData,8,0),RsTbl,0)+6,12),-1,0))</f>
        <v>#N/A</v>
      </c>
      <c r="D179" s="925">
        <f>MOD((MATCH(VLOOKUP(IF((A179="Aq"),VLOOKUP("AqLord",DivCharts,D171,0),IF((A179="Sc"),VLOOKUP("ScLord",DivCharts,D171,0),VLOOKUP(A179,RsInfo,9,0))),DivCharts,D171,0),RsTbl,0)*B179)-(B179*MATCH(A179,RsTbl,0))+12,12)</f>
        <v>6</v>
      </c>
      <c r="E179" s="194" t="e">
        <f>IF(ISNA(MATCH((D179+C179),,0)),(D179+C179),12)</f>
        <v>#N/A</v>
      </c>
      <c r="F179" s="932" t="e">
        <f>G177</f>
        <v>#N/A</v>
      </c>
      <c r="G179" s="932" t="e">
        <f>F179+E179*NDDaysInYEar</f>
        <v>#N/A</v>
      </c>
      <c r="H179" s="919" t="str">
        <f>A179</f>
        <v>Sg</v>
      </c>
      <c r="I179" s="194" t="str">
        <f>INDEX(SignSym,MOD(B179+MATCH(H179,SignSym,0)-1,12)+1)</f>
        <v>Cp</v>
      </c>
      <c r="J179" s="194" t="str">
        <f>INDEX(SignSym,MOD(B179+MATCH(I179,SignSym,0)-1,12)+1)</f>
        <v>Aq</v>
      </c>
      <c r="K179" s="194" t="str">
        <f>INDEX(SignSym,MOD(B179+MATCH(J179,SignSym,0)-1,12)+1)</f>
        <v>Pi</v>
      </c>
      <c r="L179" s="194" t="str">
        <f>INDEX(SignSym,MOD(B179+MATCH(K179,SignSym,0)-1,12)+1)</f>
        <v>Ar</v>
      </c>
      <c r="M179" s="194" t="str">
        <f>INDEX(SignSym,MOD(B179+MATCH(L179,SignSym,0)-1,12)+1)</f>
        <v>Ta</v>
      </c>
      <c r="N179" s="194" t="str">
        <f>INDEX(SignSym,MOD(B179+MATCH(M179,SignSym,0)-1,12)+1)</f>
        <v>Ge</v>
      </c>
      <c r="O179" s="194" t="str">
        <f>INDEX(SignSym,MOD(B179+MATCH(N179,SignSym,0)-1,12)+1)</f>
        <v>Cn</v>
      </c>
      <c r="P179" s="194" t="str">
        <f>INDEX(SignSym,MOD(B179+MATCH(O179,SignSym,0)-1,12)+1)</f>
        <v>Le</v>
      </c>
      <c r="Q179" s="194" t="str">
        <f>INDEX(SignSym,MOD(B179+MATCH(P179,SignSym,0)-1,12)+1)</f>
        <v>Vi</v>
      </c>
      <c r="R179" s="194" t="str">
        <f>INDEX(SignSym,MOD(B179+MATCH(Q179,SignSym,0)-1,12)+1)</f>
        <v>Li</v>
      </c>
      <c r="S179" s="194" t="str">
        <f>INDEX(SignSym,MOD(B179+MATCH(R179,SignSym,0)-1,12)+1)</f>
        <v>Sc</v>
      </c>
    </row>
    <row r="180" spans="1:19" s="194" customFormat="1" ht="12.75" hidden="1" customHeight="1">
      <c r="C180" s="925"/>
      <c r="D180" s="925"/>
      <c r="F180" s="932"/>
      <c r="G180" s="932"/>
      <c r="H180" s="932" t="e">
        <f>F179</f>
        <v>#N/A</v>
      </c>
      <c r="I180" s="932" t="e">
        <f>H180+(E179*NDDaysInYEar/12)</f>
        <v>#N/A</v>
      </c>
      <c r="J180" s="932" t="e">
        <f>I180+(E179*NDDaysInYEar/12)</f>
        <v>#N/A</v>
      </c>
      <c r="K180" s="932" t="e">
        <f>J180+(E179*NDDaysInYEar/12)</f>
        <v>#N/A</v>
      </c>
      <c r="L180" s="932" t="e">
        <f>K180+(E179*NDDaysInYEar/12)</f>
        <v>#N/A</v>
      </c>
      <c r="M180" s="932" t="e">
        <f>L180+(E179*NDDaysInYEar/12)</f>
        <v>#N/A</v>
      </c>
      <c r="N180" s="932" t="e">
        <f>M180+(E179*NDDaysInYEar/12)</f>
        <v>#N/A</v>
      </c>
      <c r="O180" s="932" t="e">
        <f>N180+(E179*NDDaysInYEar/12)</f>
        <v>#N/A</v>
      </c>
      <c r="P180" s="932" t="e">
        <f>O180+(E179*NDDaysInYEar/12)</f>
        <v>#N/A</v>
      </c>
      <c r="Q180" s="932" t="e">
        <f>P180+(E179*NDDaysInYEar/12)</f>
        <v>#N/A</v>
      </c>
      <c r="R180" s="932" t="e">
        <f>Q180+(E179*NDDaysInYEar/12)</f>
        <v>#N/A</v>
      </c>
      <c r="S180" s="932" t="e">
        <f>R180+(E179*NDDaysInYEar/12)</f>
        <v>#N/A</v>
      </c>
    </row>
    <row r="181" spans="1:19" s="194" customFormat="1">
      <c r="A181" s="194" t="str">
        <f>VLOOKUP(C172,NDasaSeq,10,0)</f>
        <v>Ta</v>
      </c>
      <c r="B181" s="194">
        <f>VLOOKUP(A181,NDasaC,3,0)</f>
        <v>1</v>
      </c>
      <c r="C181" s="925" t="e">
        <f>IF(MATCH(VLOOKUP(IF((A181="Aq"),VLOOKUP("AqLord",DivCharts,D171,0),IF((A181="Sc"),VLOOKUP("ScLord",DivCharts,D171,0),VLOOKUP(A181,RsInfo,9,0))),DivCharts,D171,0),RsTbl,0)=MATCH(VLOOKUP(IF((A181="Aq"),VLOOKUP("AqLord",DivCharts,D171,0),IF((A181="Sc"),VLOOKUP("ScLord",DivCharts,D171,0),VLOOKUP(A181,RsInfo,9,0))),PlanetData,8,0),RsTbl,0),1,IF(MATCH(VLOOKUP(IF((A181="Aq"),VLOOKUP("AqLord",DivCharts,D171,0),IF((A181="Sc"),VLOOKUP("ScLord",DivCharts,D171,0),VLOOKUP(A181,RsInfo,9,0))),DivCharts,D171,0),RsTbl,0)=MOD(MATCH(VLOOKUP(IF((A181="Aq"),VLOOKUP("AqLord",DivCharts,D171,0),IF((A181="Sc"),VLOOKUP("ScLord",DivCharts,D171,0),VLOOKUP(A181,RsInfo,9,0))),PlanetData,8,0),RsTbl,0)+6,12),-1,0))</f>
        <v>#N/A</v>
      </c>
      <c r="D181" s="925">
        <f>MOD((MATCH(VLOOKUP(IF((A181="Aq"),VLOOKUP("AqLord",DivCharts,D171,0),IF((A181="Sc"),VLOOKUP("ScLord",DivCharts,D171,0),VLOOKUP(A181,RsInfo,9,0))),DivCharts,D171,0),RsTbl,0)*B181)-(B181*MATCH(A181,RsTbl,0))+12,12)</f>
        <v>8</v>
      </c>
      <c r="E181" s="194" t="e">
        <f>IF(ISNA(MATCH((D181+C181),,0)),(D181+C181),12)</f>
        <v>#N/A</v>
      </c>
      <c r="F181" s="932" t="e">
        <f>G179</f>
        <v>#N/A</v>
      </c>
      <c r="G181" s="932" t="e">
        <f>F181+E181*NDDaysInYEar</f>
        <v>#N/A</v>
      </c>
      <c r="H181" s="919" t="str">
        <f>A181</f>
        <v>Ta</v>
      </c>
      <c r="I181" s="194" t="str">
        <f>INDEX(SignSym,MOD(B181+MATCH(H181,SignSym,0)-1,12)+1)</f>
        <v>Ge</v>
      </c>
      <c r="J181" s="194" t="str">
        <f>INDEX(SignSym,MOD(B181+MATCH(I181,SignSym,0)-1,12)+1)</f>
        <v>Cn</v>
      </c>
      <c r="K181" s="194" t="str">
        <f>INDEX(SignSym,MOD(B181+MATCH(J181,SignSym,0)-1,12)+1)</f>
        <v>Le</v>
      </c>
      <c r="L181" s="194" t="str">
        <f>INDEX(SignSym,MOD(B181+MATCH(K181,SignSym,0)-1,12)+1)</f>
        <v>Vi</v>
      </c>
      <c r="M181" s="194" t="str">
        <f>INDEX(SignSym,MOD(B181+MATCH(L181,SignSym,0)-1,12)+1)</f>
        <v>Li</v>
      </c>
      <c r="N181" s="194" t="str">
        <f>INDEX(SignSym,MOD(B181+MATCH(M181,SignSym,0)-1,12)+1)</f>
        <v>Sc</v>
      </c>
      <c r="O181" s="194" t="str">
        <f>INDEX(SignSym,MOD(B181+MATCH(N181,SignSym,0)-1,12)+1)</f>
        <v>Sg</v>
      </c>
      <c r="P181" s="194" t="str">
        <f>INDEX(SignSym,MOD(B181+MATCH(O181,SignSym,0)-1,12)+1)</f>
        <v>Cp</v>
      </c>
      <c r="Q181" s="194" t="str">
        <f>INDEX(SignSym,MOD(B181+MATCH(P181,SignSym,0)-1,12)+1)</f>
        <v>Aq</v>
      </c>
      <c r="R181" s="194" t="str">
        <f>INDEX(SignSym,MOD(B181+MATCH(Q181,SignSym,0)-1,12)+1)</f>
        <v>Pi</v>
      </c>
      <c r="S181" s="194" t="str">
        <f>INDEX(SignSym,MOD(B181+MATCH(R181,SignSym,0)-1,12)+1)</f>
        <v>Ar</v>
      </c>
    </row>
    <row r="182" spans="1:19" s="194" customFormat="1" ht="12.75" hidden="1" customHeight="1">
      <c r="C182" s="925"/>
      <c r="D182" s="925"/>
      <c r="F182" s="932"/>
      <c r="G182" s="932"/>
      <c r="H182" s="932" t="e">
        <f>F181</f>
        <v>#N/A</v>
      </c>
      <c r="I182" s="932" t="e">
        <f>H182+(E181*NDDaysInYEar/12)</f>
        <v>#N/A</v>
      </c>
      <c r="J182" s="932" t="e">
        <f>I182+(E181*NDDaysInYEar/12)</f>
        <v>#N/A</v>
      </c>
      <c r="K182" s="932" t="e">
        <f>J182+(E181*NDDaysInYEar/12)</f>
        <v>#N/A</v>
      </c>
      <c r="L182" s="932" t="e">
        <f>K182+(E181*NDDaysInYEar/12)</f>
        <v>#N/A</v>
      </c>
      <c r="M182" s="932" t="e">
        <f>L182+(E181*NDDaysInYEar/12)</f>
        <v>#N/A</v>
      </c>
      <c r="N182" s="932" t="e">
        <f>M182+(E181*NDDaysInYEar/12)</f>
        <v>#N/A</v>
      </c>
      <c r="O182" s="932" t="e">
        <f>N182+(E181*NDDaysInYEar/12)</f>
        <v>#N/A</v>
      </c>
      <c r="P182" s="932" t="e">
        <f>O182+(E181*NDDaysInYEar/12)</f>
        <v>#N/A</v>
      </c>
      <c r="Q182" s="932" t="e">
        <f>P182+(E181*NDDaysInYEar/12)</f>
        <v>#N/A</v>
      </c>
      <c r="R182" s="932" t="e">
        <f>Q182+(E181*NDDaysInYEar/12)</f>
        <v>#N/A</v>
      </c>
      <c r="S182" s="932" t="e">
        <f>R182+(E181*NDDaysInYEar/12)</f>
        <v>#N/A</v>
      </c>
    </row>
    <row r="183" spans="1:19" s="194" customFormat="1">
      <c r="A183" s="194" t="str">
        <f>VLOOKUP(C172,NDasaSeq,11,0)</f>
        <v>Li</v>
      </c>
      <c r="B183" s="194">
        <f>VLOOKUP(A183,NDasaC,3,0)</f>
        <v>1</v>
      </c>
      <c r="C183" s="925" t="e">
        <f>IF(MATCH(VLOOKUP(IF((A183="Aq"),VLOOKUP("AqLord",DivCharts,D171,0),IF((A183="Sc"),VLOOKUP("ScLord",DivCharts,D171,0),VLOOKUP(A183,RsInfo,9,0))),DivCharts,D171,0),RsTbl,0)=MATCH(VLOOKUP(IF((A183="Aq"),VLOOKUP("AqLord",DivCharts,D171,0),IF((A183="Sc"),VLOOKUP("ScLord",DivCharts,D171,0),VLOOKUP(A183,RsInfo,9,0))),PlanetData,8,0),RsTbl,0),1,IF(MATCH(VLOOKUP(IF((A183="Aq"),VLOOKUP("AqLord",DivCharts,D171,0),IF((A183="Sc"),VLOOKUP("ScLord",DivCharts,D171,0),VLOOKUP(A183,RsInfo,9,0))),DivCharts,D171,0),RsTbl,0)=MOD(MATCH(VLOOKUP(IF((A183="Aq"),VLOOKUP("AqLord",DivCharts,D171,0),IF((A183="Sc"),VLOOKUP("ScLord",DivCharts,D171,0),VLOOKUP(A183,RsInfo,9,0))),PlanetData,8,0),RsTbl,0)+6,12),-1,0))</f>
        <v>#N/A</v>
      </c>
      <c r="D183" s="925">
        <f>MOD((MATCH(VLOOKUP(IF((A183="Aq"),VLOOKUP("AqLord",DivCharts,D171,0),IF((A183="Sc"),VLOOKUP("ScLord",DivCharts,D171,0),VLOOKUP(A183,RsInfo,9,0))),DivCharts,D171,0),RsTbl,0)*B183)-(B183*MATCH(A183,RsTbl,0))+12,12)</f>
        <v>3</v>
      </c>
      <c r="E183" s="194" t="e">
        <f>IF(ISNA(MATCH((D183+C183),,0)),(D183+C183),12)</f>
        <v>#N/A</v>
      </c>
      <c r="F183" s="932" t="e">
        <f>G181</f>
        <v>#N/A</v>
      </c>
      <c r="G183" s="932" t="e">
        <f>F183+E183*NDDaysInYEar</f>
        <v>#N/A</v>
      </c>
      <c r="H183" s="919" t="str">
        <f>A183</f>
        <v>Li</v>
      </c>
      <c r="I183" s="194" t="str">
        <f>INDEX(SignSym,MOD(B183+MATCH(H183,SignSym,0)-1,12)+1)</f>
        <v>Sc</v>
      </c>
      <c r="J183" s="194" t="str">
        <f>INDEX(SignSym,MOD(B183+MATCH(I183,SignSym,0)-1,12)+1)</f>
        <v>Sg</v>
      </c>
      <c r="K183" s="194" t="str">
        <f>INDEX(SignSym,MOD(B183+MATCH(J183,SignSym,0)-1,12)+1)</f>
        <v>Cp</v>
      </c>
      <c r="L183" s="194" t="str">
        <f>INDEX(SignSym,MOD(B183+MATCH(K183,SignSym,0)-1,12)+1)</f>
        <v>Aq</v>
      </c>
      <c r="M183" s="194" t="str">
        <f>INDEX(SignSym,MOD(B183+MATCH(L183,SignSym,0)-1,12)+1)</f>
        <v>Pi</v>
      </c>
      <c r="N183" s="194" t="str">
        <f>INDEX(SignSym,MOD(B183+MATCH(M183,SignSym,0)-1,12)+1)</f>
        <v>Ar</v>
      </c>
      <c r="O183" s="194" t="str">
        <f>INDEX(SignSym,MOD(B183+MATCH(N183,SignSym,0)-1,12)+1)</f>
        <v>Ta</v>
      </c>
      <c r="P183" s="194" t="str">
        <f>INDEX(SignSym,MOD(B183+MATCH(O183,SignSym,0)-1,12)+1)</f>
        <v>Ge</v>
      </c>
      <c r="Q183" s="194" t="str">
        <f>INDEX(SignSym,MOD(B183+MATCH(P183,SignSym,0)-1,12)+1)</f>
        <v>Cn</v>
      </c>
      <c r="R183" s="194" t="str">
        <f>INDEX(SignSym,MOD(B183+MATCH(Q183,SignSym,0)-1,12)+1)</f>
        <v>Le</v>
      </c>
      <c r="S183" s="194" t="str">
        <f>INDEX(SignSym,MOD(B183+MATCH(R183,SignSym,0)-1,12)+1)</f>
        <v>Vi</v>
      </c>
    </row>
    <row r="184" spans="1:19" s="194" customFormat="1" hidden="1">
      <c r="C184" s="925"/>
      <c r="D184" s="925"/>
      <c r="F184" s="932"/>
      <c r="G184" s="932"/>
      <c r="H184" s="932" t="e">
        <f>F183</f>
        <v>#N/A</v>
      </c>
      <c r="I184" s="932" t="e">
        <f>H184+(E183*NDDaysInYEar/12)</f>
        <v>#N/A</v>
      </c>
      <c r="J184" s="932" t="e">
        <f>I184+(E183*NDDaysInYEar/12)</f>
        <v>#N/A</v>
      </c>
      <c r="K184" s="932" t="e">
        <f>J184+(E183*NDDaysInYEar/12)</f>
        <v>#N/A</v>
      </c>
      <c r="L184" s="932" t="e">
        <f>K184+(E183*NDDaysInYEar/12)</f>
        <v>#N/A</v>
      </c>
      <c r="M184" s="932" t="e">
        <f>L184+(E183*NDDaysInYEar/12)</f>
        <v>#N/A</v>
      </c>
      <c r="N184" s="932" t="e">
        <f>M184+(E183*NDDaysInYEar/12)</f>
        <v>#N/A</v>
      </c>
      <c r="O184" s="932" t="e">
        <f>N184+(E183*NDDaysInYEar/12)</f>
        <v>#N/A</v>
      </c>
      <c r="P184" s="932" t="e">
        <f>O184+(E183*NDDaysInYEar/12)</f>
        <v>#N/A</v>
      </c>
      <c r="Q184" s="932" t="e">
        <f>P184+(E183*NDDaysInYEar/12)</f>
        <v>#N/A</v>
      </c>
      <c r="R184" s="932" t="e">
        <f>Q184+(E183*NDDaysInYEar/12)</f>
        <v>#N/A</v>
      </c>
      <c r="S184" s="932" t="e">
        <f>R184+(E183*NDDaysInYEar/12)</f>
        <v>#N/A</v>
      </c>
    </row>
    <row r="185" spans="1:19" s="194" customFormat="1">
      <c r="A185" s="194" t="str">
        <f>VLOOKUP(C172,NDasaSeq,12,0)</f>
        <v>Pi</v>
      </c>
      <c r="B185" s="194">
        <f>VLOOKUP(A185,NDasaC,3,0)</f>
        <v>-1</v>
      </c>
      <c r="C185" s="925" t="e">
        <f>IF(MATCH(VLOOKUP(IF((A185="Aq"),VLOOKUP("AqLord",DivCharts,D171,0),IF((A185="Sc"),VLOOKUP("ScLord",DivCharts,D171,0),VLOOKUP(A185,RsInfo,9,0))),DivCharts,D171,0),RsTbl,0)=MATCH(VLOOKUP(IF((A185="Aq"),VLOOKUP("AqLord",DivCharts,D171,0),IF((A185="Sc"),VLOOKUP("ScLord",DivCharts,D171,0),VLOOKUP(A185,RsInfo,9,0))),PlanetData,8,0),RsTbl,0),1,IF(MATCH(VLOOKUP(IF((A185="Aq"),VLOOKUP("AqLord",DivCharts,D171,0),IF((A185="Sc"),VLOOKUP("ScLord",DivCharts,D171,0),VLOOKUP(A185,RsInfo,9,0))),DivCharts,D171,0),RsTbl,0)=MOD(MATCH(VLOOKUP(IF((A185="Aq"),VLOOKUP("AqLord",DivCharts,D171,0),IF((A185="Sc"),VLOOKUP("ScLord",DivCharts,D171,0),VLOOKUP(A185,RsInfo,9,0))),PlanetData,8,0),RsTbl,0)+6,12),-1,0))</f>
        <v>#N/A</v>
      </c>
      <c r="D185" s="925">
        <f>MOD((MATCH(VLOOKUP(IF((A185="Aq"),VLOOKUP("AqLord",DivCharts,D171,0),IF((A185="Sc"),VLOOKUP("ScLord",DivCharts,D171,0),VLOOKUP(A185,RsInfo,9,0))),DivCharts,D171,0),RsTbl,0)*B185)-(B185*MATCH(A185,RsTbl,0))+12,12)</f>
        <v>9</v>
      </c>
      <c r="E185" s="194" t="e">
        <f>IF(ISNA(MATCH((D185+C185),,0)),(D185+C185),12)</f>
        <v>#N/A</v>
      </c>
      <c r="F185" s="932" t="e">
        <f>G183</f>
        <v>#N/A</v>
      </c>
      <c r="G185" s="932" t="e">
        <f>F185+E185*NDDaysInYEar</f>
        <v>#N/A</v>
      </c>
      <c r="H185" s="919" t="s">
        <v>703</v>
      </c>
      <c r="I185" s="194" t="str">
        <f>INDEX(SignSym,MOD(B185+MATCH(H185,SignSym,0)-1,12)+1)</f>
        <v>Ge</v>
      </c>
      <c r="J185" s="194" t="str">
        <f>INDEX(SignSym,MOD(B185+MATCH(I185,SignSym,0)-1,12)+1)</f>
        <v>Ta</v>
      </c>
      <c r="K185" s="194" t="str">
        <f>INDEX(SignSym,MOD(B185+MATCH(J185,SignSym,0)-1,12)+1)</f>
        <v>Ar</v>
      </c>
      <c r="L185" s="194" t="str">
        <f>INDEX(SignSym,MOD(B185+MATCH(K185,SignSym,0)-1,12)+1)</f>
        <v>Pi</v>
      </c>
      <c r="M185" s="194" t="str">
        <f>INDEX(SignSym,MOD(B185+MATCH(L185,SignSym,0)-1,12)+1)</f>
        <v>Aq</v>
      </c>
      <c r="N185" s="194" t="str">
        <f>INDEX(SignSym,MOD(B185+MATCH(M185,SignSym,0)-1,12)+1)</f>
        <v>Cp</v>
      </c>
      <c r="O185" s="194" t="str">
        <f>INDEX(SignSym,MOD(B185+MATCH(N185,SignSym,0)-1,12)+1)</f>
        <v>Sg</v>
      </c>
      <c r="P185" s="194" t="str">
        <f>INDEX(SignSym,MOD(B185+MATCH(O185,SignSym,0)-1,12)+1)</f>
        <v>Sc</v>
      </c>
      <c r="Q185" s="194" t="str">
        <f>INDEX(SignSym,MOD(B185+MATCH(P185,SignSym,0)-1,12)+1)</f>
        <v>Li</v>
      </c>
      <c r="R185" s="194" t="str">
        <f>INDEX(SignSym,MOD(B185+MATCH(Q185,SignSym,0)-1,12)+1)</f>
        <v>Vi</v>
      </c>
      <c r="S185" s="194" t="str">
        <f>INDEX(SignSym,MOD(B185+MATCH(R185,SignSym,0)-1,12)+1)</f>
        <v>Le</v>
      </c>
    </row>
    <row r="186" spans="1:19" s="194" customFormat="1" hidden="1">
      <c r="C186" s="925"/>
      <c r="D186" s="925"/>
      <c r="F186" s="932"/>
      <c r="G186" s="932"/>
      <c r="H186" s="932" t="e">
        <f>F185</f>
        <v>#N/A</v>
      </c>
      <c r="I186" s="932" t="e">
        <f>H186+(E185*NDDaysInYEar/12)</f>
        <v>#N/A</v>
      </c>
      <c r="J186" s="932" t="e">
        <f>I186+(E185*NDDaysInYEar/12)</f>
        <v>#N/A</v>
      </c>
      <c r="K186" s="932" t="e">
        <f>J186+(E185*NDDaysInYEar/12)</f>
        <v>#N/A</v>
      </c>
      <c r="L186" s="932" t="e">
        <f>K186+(E185*NDDaysInYEar/12)</f>
        <v>#N/A</v>
      </c>
      <c r="M186" s="932" t="e">
        <f>L186+(E185*NDDaysInYEar/12)</f>
        <v>#N/A</v>
      </c>
      <c r="N186" s="932" t="e">
        <f>M186+(E185*NDDaysInYEar/12)</f>
        <v>#N/A</v>
      </c>
      <c r="O186" s="932" t="e">
        <f>N186+(E185*NDDaysInYEar/12)</f>
        <v>#N/A</v>
      </c>
      <c r="P186" s="932" t="e">
        <f>O186+(E185*NDDaysInYEar/12)</f>
        <v>#N/A</v>
      </c>
      <c r="Q186" s="932" t="e">
        <f>P186+(E185*NDDaysInYEar/12)</f>
        <v>#N/A</v>
      </c>
      <c r="R186" s="932" t="e">
        <f>Q186+(E185*NDDaysInYEar/12)</f>
        <v>#N/A</v>
      </c>
      <c r="S186" s="932" t="e">
        <f>R186+(E185*NDDaysInYEar/12)</f>
        <v>#N/A</v>
      </c>
    </row>
    <row r="187" spans="1:19" s="194" customFormat="1">
      <c r="A187" s="194" t="str">
        <f>VLOOKUP(C172,NDasaSeq,13,0)</f>
        <v>Le</v>
      </c>
      <c r="B187" s="194">
        <f>VLOOKUP(A187,NDasaC,3,0)</f>
        <v>-1</v>
      </c>
      <c r="C187" s="925" t="e">
        <f>IF(MATCH(VLOOKUP(IF((A187="Aq"),VLOOKUP("AqLord",DivCharts,D171,0),IF((A187="Sc"),VLOOKUP("ScLord",DivCharts,D171,0),VLOOKUP(A187,RsInfo,9,0))),DivCharts,D171,0),RsTbl,0)=MATCH(VLOOKUP(IF((A187="Aq"),VLOOKUP("AqLord",DivCharts,D171,0),IF((A187="Sc"),VLOOKUP("ScLord",DivCharts,D171,0),VLOOKUP(A187,RsInfo,9,0))),PlanetData,8,0),RsTbl,0),1,IF(MATCH(VLOOKUP(IF((A187="Aq"),VLOOKUP("AqLord",DivCharts,D171,0),IF((A187="Sc"),VLOOKUP("ScLord",DivCharts,D171,0),VLOOKUP(A187,RsInfo,9,0))),DivCharts,D171,0),RsTbl,0)=MOD(MATCH(VLOOKUP(IF((A187="Aq"),VLOOKUP("AqLord",DivCharts,D171,0),IF((A187="Sc"),VLOOKUP("ScLord",DivCharts,D171,0),VLOOKUP(A187,RsInfo,9,0))),PlanetData,8,0),RsTbl,0)+6,12),-1,0))</f>
        <v>#N/A</v>
      </c>
      <c r="D187" s="925">
        <f>MOD((MATCH(VLOOKUP(IF((A187="Aq"),VLOOKUP("AqLord",DivCharts,D171,0),IF((A187="Sc"),VLOOKUP("ScLord",DivCharts,D171,0),VLOOKUP(A187,RsInfo,9,0))),DivCharts,D171,0),RsTbl,0)*B187)-(B187*MATCH(A187,RsTbl,0))+12,12)</f>
        <v>6</v>
      </c>
      <c r="E187" s="194" t="e">
        <f>IF(ISNA(MATCH((D187+C187),,0)),(D187+C187),12)</f>
        <v>#N/A</v>
      </c>
      <c r="F187" s="932" t="e">
        <f>G185</f>
        <v>#N/A</v>
      </c>
      <c r="G187" s="932" t="e">
        <f>F187+E187*NDDaysInYEar</f>
        <v>#N/A</v>
      </c>
      <c r="H187" s="919" t="s">
        <v>699</v>
      </c>
      <c r="I187" s="194" t="str">
        <f>INDEX(SignSym,MOD(B187+MATCH(H187,SignSym,0)-1,12)+1)</f>
        <v>Cp</v>
      </c>
      <c r="J187" s="194" t="str">
        <f>INDEX(SignSym,MOD(B187+MATCH(I187,SignSym,0)-1,12)+1)</f>
        <v>Sg</v>
      </c>
      <c r="K187" s="194" t="str">
        <f>INDEX(SignSym,MOD(B187+MATCH(J187,SignSym,0)-1,12)+1)</f>
        <v>Sc</v>
      </c>
      <c r="L187" s="194" t="str">
        <f>INDEX(SignSym,MOD(B187+MATCH(K187,SignSym,0)-1,12)+1)</f>
        <v>Li</v>
      </c>
      <c r="M187" s="194" t="str">
        <f>INDEX(SignSym,MOD(B187+MATCH(L187,SignSym,0)-1,12)+1)</f>
        <v>Vi</v>
      </c>
      <c r="N187" s="194" t="str">
        <f>INDEX(SignSym,MOD(B187+MATCH(M187,SignSym,0)-1,12)+1)</f>
        <v>Le</v>
      </c>
      <c r="O187" s="194" t="str">
        <f>INDEX(SignSym,MOD(B187+MATCH(N187,SignSym,0)-1,12)+1)</f>
        <v>Cn</v>
      </c>
      <c r="P187" s="194" t="str">
        <f>INDEX(SignSym,MOD(B187+MATCH(O187,SignSym,0)-1,12)+1)</f>
        <v>Ge</v>
      </c>
      <c r="Q187" s="194" t="str">
        <f>INDEX(SignSym,MOD(B187+MATCH(P187,SignSym,0)-1,12)+1)</f>
        <v>Ta</v>
      </c>
      <c r="R187" s="194" t="str">
        <f>INDEX(SignSym,MOD(B187+MATCH(Q187,SignSym,0)-1,12)+1)</f>
        <v>Ar</v>
      </c>
      <c r="S187" s="194" t="str">
        <f>INDEX(SignSym,MOD(B187+MATCH(R187,SignSym,0)-1,12)+1)</f>
        <v>Pi</v>
      </c>
    </row>
    <row r="188" spans="1:19" s="194" customFormat="1" hidden="1">
      <c r="C188" s="925"/>
      <c r="D188" s="925"/>
      <c r="F188" s="932"/>
      <c r="G188" s="932"/>
      <c r="H188" s="932" t="e">
        <f>F187</f>
        <v>#N/A</v>
      </c>
      <c r="I188" s="932" t="e">
        <f>H188+(E187*NDDaysInYEar/12)</f>
        <v>#N/A</v>
      </c>
      <c r="J188" s="932" t="e">
        <f>I188+(E187*NDDaysInYEar/12)</f>
        <v>#N/A</v>
      </c>
      <c r="K188" s="932" t="e">
        <f>J188+(E187*NDDaysInYEar/12)</f>
        <v>#N/A</v>
      </c>
      <c r="L188" s="932" t="e">
        <f>K188+(E187*NDDaysInYEar/12)</f>
        <v>#N/A</v>
      </c>
      <c r="M188" s="932" t="e">
        <f>L188+(E187*NDDaysInYEar/12)</f>
        <v>#N/A</v>
      </c>
      <c r="N188" s="932" t="e">
        <f>M188+(E187*NDDaysInYEar/12)</f>
        <v>#N/A</v>
      </c>
      <c r="O188" s="932" t="e">
        <f>N188+(E187*NDDaysInYEar/12)</f>
        <v>#N/A</v>
      </c>
      <c r="P188" s="932" t="e">
        <f>O188+(E187*NDDaysInYEar/12)</f>
        <v>#N/A</v>
      </c>
      <c r="Q188" s="932" t="e">
        <f>P188+(E187*NDDaysInYEar/12)</f>
        <v>#N/A</v>
      </c>
      <c r="R188" s="932" t="e">
        <f>Q188+(E187*NDDaysInYEar/12)</f>
        <v>#N/A</v>
      </c>
      <c r="S188" s="932" t="e">
        <f>R188+(E187*NDDaysInYEar/12)</f>
        <v>#N/A</v>
      </c>
    </row>
    <row r="189" spans="1:19" s="194" customFormat="1">
      <c r="A189" s="194" t="str">
        <f>VLOOKUP(C172,NDasaSeq,14,0)</f>
        <v>Cp</v>
      </c>
      <c r="B189" s="194">
        <f>VLOOKUP(A189,NDasaC,3,0)</f>
        <v>-1</v>
      </c>
      <c r="C189" s="925" t="e">
        <f>IF(MATCH(VLOOKUP(IF((A189="Aq"),VLOOKUP("AqLord",DivCharts,D171,0),IF((A189="Sc"),VLOOKUP("ScLord",DivCharts,D171,0),VLOOKUP(A189,RsInfo,9,0))),DivCharts,D171,0),RsTbl,0)=MATCH(VLOOKUP(IF((A189="Aq"),VLOOKUP("AqLord",DivCharts,D171,0),IF((A189="Sc"),VLOOKUP("ScLord",DivCharts,D171,0),VLOOKUP(A189,RsInfo,9,0))),PlanetData,8,0),RsTbl,0),1,IF(MATCH(VLOOKUP(IF((A189="Aq"),VLOOKUP("AqLord",DivCharts,D171,0),IF((A189="Sc"),VLOOKUP("ScLord",DivCharts,D171,0),VLOOKUP(A189,RsInfo,9,0))),DivCharts,D171,0),RsTbl,0)=MOD(MATCH(VLOOKUP(IF((A189="Aq"),VLOOKUP("AqLord",DivCharts,D171,0),IF((A189="Sc"),VLOOKUP("ScLord",DivCharts,D171,0),VLOOKUP(A189,RsInfo,9,0))),PlanetData,8,0),RsTbl,0)+6,12),-1,0))</f>
        <v>#N/A</v>
      </c>
      <c r="D189" s="925">
        <f>MOD((MATCH(VLOOKUP(IF((A189="Aq"),VLOOKUP("AqLord",DivCharts,D171,0),IF((A189="Sc"),VLOOKUP("ScLord",DivCharts,D171,0),VLOOKUP(A189,RsInfo,9,0))),DivCharts,D171,0),RsTbl,0)*B189)-(B189*MATCH(A189,RsTbl,0))+12,12)</f>
        <v>1</v>
      </c>
      <c r="E189" s="194" t="e">
        <f>IF(ISNA(MATCH((D189+C189),,0)),(D189+C189),12)</f>
        <v>#N/A</v>
      </c>
      <c r="F189" s="932" t="e">
        <f>G187</f>
        <v>#N/A</v>
      </c>
      <c r="G189" s="932" t="e">
        <f>F189+E189*NDDaysInYEar</f>
        <v>#N/A</v>
      </c>
      <c r="H189" s="919" t="s">
        <v>693</v>
      </c>
      <c r="I189" s="194" t="str">
        <f>INDEX(SignSym,MOD(B189+MATCH(H189,SignSym,0)-1,12)+1)</f>
        <v>Ar</v>
      </c>
      <c r="J189" s="194" t="str">
        <f>INDEX(SignSym,MOD(B189+MATCH(I189,SignSym,0)-1,12)+1)</f>
        <v>Pi</v>
      </c>
      <c r="K189" s="194" t="str">
        <f>INDEX(SignSym,MOD(B189+MATCH(J189,SignSym,0)-1,12)+1)</f>
        <v>Aq</v>
      </c>
      <c r="L189" s="194" t="str">
        <f>INDEX(SignSym,MOD(B189+MATCH(K189,SignSym,0)-1,12)+1)</f>
        <v>Cp</v>
      </c>
      <c r="M189" s="194" t="str">
        <f>INDEX(SignSym,MOD(B189+MATCH(L189,SignSym,0)-1,12)+1)</f>
        <v>Sg</v>
      </c>
      <c r="N189" s="194" t="str">
        <f>INDEX(SignSym,MOD(B189+MATCH(M189,SignSym,0)-1,12)+1)</f>
        <v>Sc</v>
      </c>
      <c r="O189" s="194" t="str">
        <f>INDEX(SignSym,MOD(B189+MATCH(N189,SignSym,0)-1,12)+1)</f>
        <v>Li</v>
      </c>
      <c r="P189" s="194" t="str">
        <f>INDEX(SignSym,MOD(B189+MATCH(O189,SignSym,0)-1,12)+1)</f>
        <v>Vi</v>
      </c>
      <c r="Q189" s="194" t="str">
        <f>INDEX(SignSym,MOD(B189+MATCH(P189,SignSym,0)-1,12)+1)</f>
        <v>Le</v>
      </c>
      <c r="R189" s="194" t="str">
        <f>INDEX(SignSym,MOD(B189+MATCH(Q189,SignSym,0)-1,12)+1)</f>
        <v>Cn</v>
      </c>
      <c r="S189" s="194" t="str">
        <f>INDEX(SignSym,MOD(B189+MATCH(R189,SignSym,0)-1,12)+1)</f>
        <v>Ge</v>
      </c>
    </row>
    <row r="190" spans="1:19" s="194" customFormat="1" hidden="1">
      <c r="C190" s="925"/>
      <c r="D190" s="925"/>
      <c r="F190" s="932"/>
      <c r="G190" s="932"/>
      <c r="H190" s="932" t="e">
        <f>F189</f>
        <v>#N/A</v>
      </c>
      <c r="I190" s="932" t="e">
        <f>H190+(E189*NDDaysInYEar/12)</f>
        <v>#N/A</v>
      </c>
      <c r="J190" s="932" t="e">
        <f>I190+(E189*NDDaysInYEar/12)</f>
        <v>#N/A</v>
      </c>
      <c r="K190" s="932" t="e">
        <f>J190+(E189*NDDaysInYEar/12)</f>
        <v>#N/A</v>
      </c>
      <c r="L190" s="932" t="e">
        <f>K190+(E189*NDDaysInYEar/12)</f>
        <v>#N/A</v>
      </c>
      <c r="M190" s="932" t="e">
        <f>L190+(E189*NDDaysInYEar/12)</f>
        <v>#N/A</v>
      </c>
      <c r="N190" s="932" t="e">
        <f>M190+(E189*NDDaysInYEar/12)</f>
        <v>#N/A</v>
      </c>
      <c r="O190" s="932" t="e">
        <f>N190+(E189*NDDaysInYEar/12)</f>
        <v>#N/A</v>
      </c>
      <c r="P190" s="932" t="e">
        <f>O190+(E189*NDDaysInYEar/12)</f>
        <v>#N/A</v>
      </c>
      <c r="Q190" s="932" t="e">
        <f>P190+(E189*NDDaysInYEar/12)</f>
        <v>#N/A</v>
      </c>
      <c r="R190" s="932" t="e">
        <f>Q190+(E189*NDDaysInYEar/12)</f>
        <v>#N/A</v>
      </c>
      <c r="S190" s="932" t="e">
        <f>R190+(E189*NDDaysInYEar/12)</f>
        <v>#N/A</v>
      </c>
    </row>
    <row r="191" spans="1:19" s="194" customFormat="1">
      <c r="A191" s="194" t="str">
        <f>VLOOKUP(C172,NDasaSeq,15,0)</f>
        <v>Ge</v>
      </c>
      <c r="B191" s="194">
        <f>VLOOKUP(A191,NDasaC,3,0)</f>
        <v>1</v>
      </c>
      <c r="C191" s="925" t="e">
        <f>IF(MATCH(VLOOKUP(IF((A191="Aq"),VLOOKUP("AqLord",DivCharts,D171,0),IF((A191="Sc"),VLOOKUP("ScLord",DivCharts,D171,0),VLOOKUP(A191,RsInfo,9,0))),DivCharts,D171,0),RsTbl,0)=MATCH(VLOOKUP(IF((A191="Aq"),VLOOKUP("AqLord",DivCharts,D171,0),IF((A191="Sc"),VLOOKUP("ScLord",DivCharts,D171,0),VLOOKUP(A191,RsInfo,9,0))),PlanetData,8,0),RsTbl,0),1,IF(MATCH(VLOOKUP(IF((A191="Aq"),VLOOKUP("AqLord",DivCharts,D171,0),IF((A191="Sc"),VLOOKUP("ScLord",DivCharts,D171,0),VLOOKUP(A191,RsInfo,9,0))),DivCharts,D171,0),RsTbl,0)=MOD(MATCH(VLOOKUP(IF((A191="Aq"),VLOOKUP("AqLord",DivCharts,D171,0),IF((A191="Sc"),VLOOKUP("ScLord",DivCharts,D171,0),VLOOKUP(A191,RsInfo,9,0))),PlanetData,8,0),RsTbl,0)+6,12),-1,0))</f>
        <v>#N/A</v>
      </c>
      <c r="D191" s="925">
        <f>MOD((MATCH(VLOOKUP(IF((A191="Aq"),VLOOKUP("AqLord",DivCharts,D171,0),IF((A191="Sc"),VLOOKUP("ScLord",DivCharts,D171,0),VLOOKUP(A191,RsInfo,9,0))),DivCharts,D171,0),RsTbl,0)*B191)-(B191*MATCH(A191,RsTbl,0))+12,12)</f>
        <v>8</v>
      </c>
      <c r="E191" s="194" t="e">
        <f>IF(ISNA(MATCH((D191+C191),,0)),(D191+C191),12)</f>
        <v>#N/A</v>
      </c>
      <c r="F191" s="932" t="e">
        <f>G189</f>
        <v>#N/A</v>
      </c>
      <c r="G191" s="932" t="e">
        <f>F191+E191*NDDaysInYEar</f>
        <v>#N/A</v>
      </c>
      <c r="H191" s="919" t="str">
        <f>A191</f>
        <v>Ge</v>
      </c>
      <c r="I191" s="194" t="str">
        <f>INDEX(SignSym,MOD(B191+MATCH(H191,SignSym,0)-1,12)+1)</f>
        <v>Cn</v>
      </c>
      <c r="J191" s="194" t="str">
        <f>INDEX(SignSym,MOD(B191+MATCH(I191,SignSym,0)-1,12)+1)</f>
        <v>Le</v>
      </c>
      <c r="K191" s="194" t="str">
        <f>INDEX(SignSym,MOD(B191+MATCH(J191,SignSym,0)-1,12)+1)</f>
        <v>Vi</v>
      </c>
      <c r="L191" s="194" t="str">
        <f>INDEX(SignSym,MOD(B191+MATCH(K191,SignSym,0)-1,12)+1)</f>
        <v>Li</v>
      </c>
      <c r="M191" s="194" t="str">
        <f>INDEX(SignSym,MOD(B191+MATCH(L191,SignSym,0)-1,12)+1)</f>
        <v>Sc</v>
      </c>
      <c r="N191" s="194" t="str">
        <f>INDEX(SignSym,MOD(B191+MATCH(M191,SignSym,0)-1,12)+1)</f>
        <v>Sg</v>
      </c>
      <c r="O191" s="194" t="str">
        <f>INDEX(SignSym,MOD(B191+MATCH(N191,SignSym,0)-1,12)+1)</f>
        <v>Cp</v>
      </c>
      <c r="P191" s="194" t="str">
        <f>INDEX(SignSym,MOD(B191+MATCH(O191,SignSym,0)-1,12)+1)</f>
        <v>Aq</v>
      </c>
      <c r="Q191" s="194" t="str">
        <f>INDEX(SignSym,MOD(B191+MATCH(P191,SignSym,0)-1,12)+1)</f>
        <v>Pi</v>
      </c>
      <c r="R191" s="194" t="str">
        <f>INDEX(SignSym,MOD(B191+MATCH(Q191,SignSym,0)-1,12)+1)</f>
        <v>Ar</v>
      </c>
      <c r="S191" s="194" t="str">
        <f>INDEX(SignSym,MOD(B191+MATCH(R191,SignSym,0)-1,12)+1)</f>
        <v>Ta</v>
      </c>
    </row>
    <row r="192" spans="1:19" s="194" customFormat="1" ht="12.75" hidden="1" customHeight="1">
      <c r="C192" s="925"/>
      <c r="D192" s="925"/>
      <c r="F192" s="932"/>
      <c r="G192" s="932"/>
      <c r="H192" s="932" t="e">
        <f>F191</f>
        <v>#N/A</v>
      </c>
      <c r="I192" s="932" t="e">
        <f>H192+(E191*NDDaysInYEar/12)</f>
        <v>#N/A</v>
      </c>
      <c r="J192" s="932" t="e">
        <f>I192+(E191*NDDaysInYEar/12)</f>
        <v>#N/A</v>
      </c>
      <c r="K192" s="932" t="e">
        <f>J192+(E191*NDDaysInYEar/12)</f>
        <v>#N/A</v>
      </c>
      <c r="L192" s="932" t="e">
        <f>K192+(E191*NDDaysInYEar/12)</f>
        <v>#N/A</v>
      </c>
      <c r="M192" s="932" t="e">
        <f>L192+(E191*NDDaysInYEar/12)</f>
        <v>#N/A</v>
      </c>
      <c r="N192" s="932" t="e">
        <f>M192+(E191*NDDaysInYEar/12)</f>
        <v>#N/A</v>
      </c>
      <c r="O192" s="932" t="e">
        <f>N192+(E191*NDDaysInYEar/12)</f>
        <v>#N/A</v>
      </c>
      <c r="P192" s="932" t="e">
        <f>O192+(E191*NDDaysInYEar/12)</f>
        <v>#N/A</v>
      </c>
      <c r="Q192" s="932" t="e">
        <f>P192+(E191*NDDaysInYEar/12)</f>
        <v>#N/A</v>
      </c>
      <c r="R192" s="932" t="e">
        <f>Q192+(E191*NDDaysInYEar/12)</f>
        <v>#N/A</v>
      </c>
      <c r="S192" s="932" t="e">
        <f>R192+(E191*NDDaysInYEar/12)</f>
        <v>#N/A</v>
      </c>
    </row>
    <row r="193" spans="1:19" s="194" customFormat="1">
      <c r="A193" s="194" t="str">
        <f>VLOOKUP(C172,NDasaSeq,16,0)</f>
        <v>Sc</v>
      </c>
      <c r="B193" s="194">
        <f>VLOOKUP(A193,NDasaC,3,0)</f>
        <v>1</v>
      </c>
      <c r="C193" s="925" t="e">
        <f>IF(MATCH(VLOOKUP(IF((A193="Aq"),VLOOKUP("AqLord",DivCharts,D171,0),IF((A193="Sc"),VLOOKUP("ScLord",DivCharts,D171,0),VLOOKUP(A193,RsInfo,9,0))),DivCharts,D171,0),RsTbl,0)=MATCH(VLOOKUP(IF((A193="Aq"),VLOOKUP("AqLord",DivCharts,D171,0),IF((A193="Sc"),VLOOKUP("ScLord",DivCharts,D171,0),VLOOKUP(A193,RsInfo,9,0))),PlanetData,8,0),RsTbl,0),1,IF(MATCH(VLOOKUP(IF((A193="Aq"),VLOOKUP("AqLord",DivCharts,D171,0),IF((A193="Sc"),VLOOKUP("ScLord",DivCharts,D171,0),VLOOKUP(A193,RsInfo,9,0))),DivCharts,D171,0),RsTbl,0)=MOD(MATCH(VLOOKUP(IF((A193="Aq"),VLOOKUP("AqLord",DivCharts,D171,0),IF((A193="Sc"),VLOOKUP("ScLord",DivCharts,D171,0),VLOOKUP(A193,RsInfo,9,0))),PlanetData,8,0),RsTbl,0)+6,12),-1,0))</f>
        <v>#N/A</v>
      </c>
      <c r="D193" s="925">
        <f>MOD((MATCH(VLOOKUP(IF((A193="Aq"),VLOOKUP("AqLord",DivCharts,D171,0),IF((A193="Sc"),VLOOKUP("ScLord",DivCharts,D171,0),VLOOKUP(A193,RsInfo,9,0))),DivCharts,D171,0),RsTbl,0)*B193)-(B193*MATCH(A193,RsTbl,0))+12,12)</f>
        <v>8</v>
      </c>
      <c r="E193" s="194" t="e">
        <f>IF(ISNA(MATCH((D193+C193),,0)),(D193+C193),12)</f>
        <v>#N/A</v>
      </c>
      <c r="F193" s="932" t="e">
        <f>G191</f>
        <v>#N/A</v>
      </c>
      <c r="G193" s="932" t="e">
        <f>F193+E193*NDDaysInYEar</f>
        <v>#N/A</v>
      </c>
      <c r="H193" s="919" t="str">
        <f>A193</f>
        <v>Sc</v>
      </c>
      <c r="I193" s="194" t="str">
        <f>INDEX(SignSym,MOD(B193+MATCH(H193,SignSym,0)-1,12)+1)</f>
        <v>Sg</v>
      </c>
      <c r="J193" s="194" t="str">
        <f>INDEX(SignSym,MOD(B193+MATCH(I193,SignSym,0)-1,12)+1)</f>
        <v>Cp</v>
      </c>
      <c r="K193" s="194" t="str">
        <f>INDEX(SignSym,MOD(B193+MATCH(J193,SignSym,0)-1,12)+1)</f>
        <v>Aq</v>
      </c>
      <c r="L193" s="194" t="str">
        <f>INDEX(SignSym,MOD(B193+MATCH(K193,SignSym,0)-1,12)+1)</f>
        <v>Pi</v>
      </c>
      <c r="M193" s="194" t="str">
        <f>INDEX(SignSym,MOD(B193+MATCH(L193,SignSym,0)-1,12)+1)</f>
        <v>Ar</v>
      </c>
      <c r="N193" s="194" t="str">
        <f>INDEX(SignSym,MOD(B193+MATCH(M193,SignSym,0)-1,12)+1)</f>
        <v>Ta</v>
      </c>
      <c r="O193" s="194" t="str">
        <f>INDEX(SignSym,MOD(B193+MATCH(N193,SignSym,0)-1,12)+1)</f>
        <v>Ge</v>
      </c>
      <c r="P193" s="194" t="str">
        <f>INDEX(SignSym,MOD(B193+MATCH(O193,SignSym,0)-1,12)+1)</f>
        <v>Cn</v>
      </c>
      <c r="Q193" s="194" t="str">
        <f>INDEX(SignSym,MOD(B193+MATCH(P193,SignSym,0)-1,12)+1)</f>
        <v>Le</v>
      </c>
      <c r="R193" s="194" t="str">
        <f>INDEX(SignSym,MOD(B193+MATCH(Q193,SignSym,0)-1,12)+1)</f>
        <v>Vi</v>
      </c>
      <c r="S193" s="194" t="str">
        <f>INDEX(SignSym,MOD(B193+MATCH(R193,SignSym,0)-1,12)+1)</f>
        <v>Li</v>
      </c>
    </row>
    <row r="194" spans="1:19" s="194" customFormat="1" ht="12.75" hidden="1" customHeight="1">
      <c r="C194" s="925"/>
      <c r="D194" s="925"/>
      <c r="F194" s="932"/>
      <c r="G194" s="932"/>
      <c r="H194" s="932" t="e">
        <f>F193</f>
        <v>#N/A</v>
      </c>
      <c r="I194" s="932" t="e">
        <f>H194+(E193*NDDaysInYEar/12)</f>
        <v>#N/A</v>
      </c>
      <c r="J194" s="932" t="e">
        <f>I194+(E193*NDDaysInYEar/12)</f>
        <v>#N/A</v>
      </c>
      <c r="K194" s="932" t="e">
        <f>J194+(E193*NDDaysInYEar/12)</f>
        <v>#N/A</v>
      </c>
      <c r="L194" s="932" t="e">
        <f>K194+(E193*NDDaysInYEar/12)</f>
        <v>#N/A</v>
      </c>
      <c r="M194" s="932" t="e">
        <f>L194+(E193*NDDaysInYEar/12)</f>
        <v>#N/A</v>
      </c>
      <c r="N194" s="932" t="e">
        <f>M194+(E193*NDDaysInYEar/12)</f>
        <v>#N/A</v>
      </c>
      <c r="O194" s="932" t="e">
        <f>N194+(E193*NDDaysInYEar/12)</f>
        <v>#N/A</v>
      </c>
      <c r="P194" s="932" t="e">
        <f>O194+(E193*NDDaysInYEar/12)</f>
        <v>#N/A</v>
      </c>
      <c r="Q194" s="932" t="e">
        <f>P194+(E193*NDDaysInYEar/12)</f>
        <v>#N/A</v>
      </c>
      <c r="R194" s="932" t="e">
        <f>Q194+(E193*NDDaysInYEar/12)</f>
        <v>#N/A</v>
      </c>
      <c r="S194" s="932" t="e">
        <f>R194+(E193*NDDaysInYEar/12)</f>
        <v>#N/A</v>
      </c>
    </row>
    <row r="195" spans="1:19" s="194" customFormat="1">
      <c r="A195" s="194" t="str">
        <f>VLOOKUP(C172,NDasaSeq,17,0)</f>
        <v>Ar</v>
      </c>
      <c r="B195" s="194">
        <f>VLOOKUP(A195,NDasaC,3,0)</f>
        <v>1</v>
      </c>
      <c r="C195" s="925" t="e">
        <f>IF(MATCH(VLOOKUP(IF((A195="Aq"),VLOOKUP("AqLord",DivCharts,D171,0),IF((A195="Sc"),VLOOKUP("ScLord",DivCharts,D171,0),VLOOKUP(A195,RsInfo,9,0))),DivCharts,D171,0),RsTbl,0)=MATCH(VLOOKUP(IF((A195="Aq"),VLOOKUP("AqLord",DivCharts,D171,0),IF((A195="Sc"),VLOOKUP("ScLord",DivCharts,D171,0),VLOOKUP(A195,RsInfo,9,0))),PlanetData,8,0),RsTbl,0),1,IF(MATCH(VLOOKUP(IF((A195="Aq"),VLOOKUP("AqLord",DivCharts,D171,0),IF((A195="Sc"),VLOOKUP("ScLord",DivCharts,D171,0),VLOOKUP(A195,RsInfo,9,0))),DivCharts,D171,0),RsTbl,0)=MOD(MATCH(VLOOKUP(IF((A195="Aq"),VLOOKUP("AqLord",DivCharts,D171,0),IF((A195="Sc"),VLOOKUP("ScLord",DivCharts,D171,0),VLOOKUP(A195,RsInfo,9,0))),PlanetData,8,0),RsTbl,0)+6,12),-1,0))</f>
        <v>#N/A</v>
      </c>
      <c r="D195" s="925">
        <f>MOD((MATCH(VLOOKUP(IF((A195="Aq"),VLOOKUP("AqLord",DivCharts,D171,0),IF((A195="Sc"),VLOOKUP("ScLord",DivCharts,D171,0),VLOOKUP(A195,RsInfo,9,0))),DivCharts,D171,0),RsTbl,0)*B195)-(B195*MATCH(A195,RsTbl,0))+12,12)</f>
        <v>3</v>
      </c>
      <c r="E195" s="194" t="e">
        <f>IF(ISNA(MATCH((D195+C195),,0)),(D195+C195),12)</f>
        <v>#N/A</v>
      </c>
      <c r="F195" s="932" t="e">
        <f>G193</f>
        <v>#N/A</v>
      </c>
      <c r="G195" s="932" t="e">
        <f>F195+E195*NDDaysInYEar</f>
        <v>#N/A</v>
      </c>
      <c r="H195" s="919" t="str">
        <f>A195</f>
        <v>Ar</v>
      </c>
      <c r="I195" s="194" t="str">
        <f>INDEX(SignSym,MOD(B195+MATCH(H195,SignSym,0)-1,12)+1)</f>
        <v>Ta</v>
      </c>
      <c r="J195" s="194" t="str">
        <f>INDEX(SignSym,MOD(B195+MATCH(I195,SignSym,0)-1,12)+1)</f>
        <v>Ge</v>
      </c>
      <c r="K195" s="194" t="str">
        <f>INDEX(SignSym,MOD(B195+MATCH(J195,SignSym,0)-1,12)+1)</f>
        <v>Cn</v>
      </c>
      <c r="L195" s="194" t="str">
        <f>INDEX(SignSym,MOD(B195+MATCH(K195,SignSym,0)-1,12)+1)</f>
        <v>Le</v>
      </c>
      <c r="M195" s="194" t="str">
        <f>INDEX(SignSym,MOD(B195+MATCH(L195,SignSym,0)-1,12)+1)</f>
        <v>Vi</v>
      </c>
      <c r="N195" s="194" t="str">
        <f>INDEX(SignSym,MOD(B195+MATCH(M195,SignSym,0)-1,12)+1)</f>
        <v>Li</v>
      </c>
      <c r="O195" s="194" t="str">
        <f>INDEX(SignSym,MOD(B195+MATCH(N195,SignSym,0)-1,12)+1)</f>
        <v>Sc</v>
      </c>
      <c r="P195" s="194" t="str">
        <f>INDEX(SignSym,MOD(B195+MATCH(O195,SignSym,0)-1,12)+1)</f>
        <v>Sg</v>
      </c>
      <c r="Q195" s="194" t="str">
        <f>INDEX(SignSym,MOD(B195+MATCH(P195,SignSym,0)-1,12)+1)</f>
        <v>Cp</v>
      </c>
      <c r="R195" s="194" t="str">
        <f>INDEX(SignSym,MOD(B195+MATCH(Q195,SignSym,0)-1,12)+1)</f>
        <v>Aq</v>
      </c>
      <c r="S195" s="194" t="str">
        <f>INDEX(SignSym,MOD(B195+MATCH(R195,SignSym,0)-1,12)+1)</f>
        <v>Pi</v>
      </c>
    </row>
    <row r="196" spans="1:19" s="194" customFormat="1" ht="12.75" hidden="1" customHeight="1">
      <c r="C196" s="925"/>
      <c r="D196" s="925"/>
      <c r="F196" s="932"/>
      <c r="G196" s="932"/>
      <c r="H196" s="932" t="e">
        <f>F195</f>
        <v>#N/A</v>
      </c>
      <c r="I196" s="932" t="e">
        <f>H196+(E195*NDDaysInYEar/12)</f>
        <v>#N/A</v>
      </c>
      <c r="J196" s="932" t="e">
        <f>I196+(E195*NDDaysInYEar/12)</f>
        <v>#N/A</v>
      </c>
      <c r="K196" s="932" t="e">
        <f>J196+(E195*NDDaysInYEar/12)</f>
        <v>#N/A</v>
      </c>
      <c r="L196" s="932" t="e">
        <f>K196+(E195*NDDaysInYEar/12)</f>
        <v>#N/A</v>
      </c>
      <c r="M196" s="932" t="e">
        <f>L196+(E195*NDDaysInYEar/12)</f>
        <v>#N/A</v>
      </c>
      <c r="N196" s="932" t="e">
        <f>M196+(E195*NDDaysInYEar/12)</f>
        <v>#N/A</v>
      </c>
      <c r="O196" s="932" t="e">
        <f>N196+(E195*NDDaysInYEar/12)</f>
        <v>#N/A</v>
      </c>
      <c r="P196" s="932" t="e">
        <f>O196+(E195*NDDaysInYEar/12)</f>
        <v>#N/A</v>
      </c>
      <c r="Q196" s="932" t="e">
        <f>P196+(E195*NDDaysInYEar/12)</f>
        <v>#N/A</v>
      </c>
      <c r="R196" s="932" t="e">
        <f>Q196+(E195*NDDaysInYEar/12)</f>
        <v>#N/A</v>
      </c>
      <c r="S196" s="932" t="e">
        <f>R196+(E195*NDDaysInYEar/12)</f>
        <v>#N/A</v>
      </c>
    </row>
    <row r="197" spans="1:19" s="194" customFormat="1">
      <c r="A197" s="194" t="str">
        <f>VLOOKUP(C172,NDasaSeq,18,0)</f>
        <v>Vi</v>
      </c>
      <c r="B197" s="194">
        <f>VLOOKUP(A197,NDasaC,3,0)</f>
        <v>-1</v>
      </c>
      <c r="C197" s="925" t="e">
        <f>IF(MATCH(VLOOKUP(IF((A197="Aq"),VLOOKUP("AqLord",DivCharts,D171,0),IF((A197="Sc"),VLOOKUP("ScLord",DivCharts,D171,0),VLOOKUP(A197,RsInfo,9,0))),DivCharts,D171,0),RsTbl,0)=MATCH(VLOOKUP(IF((A197="Aq"),VLOOKUP("AqLord",DivCharts,D171,0),IF((A197="Sc"),VLOOKUP("ScLord",DivCharts,D171,0),VLOOKUP(A197,RsInfo,9,0))),PlanetData,8,0),RsTbl,0),1,IF(MATCH(VLOOKUP(IF((A197="Aq"),VLOOKUP("AqLord",DivCharts,D171,0),IF((A197="Sc"),VLOOKUP("ScLord",DivCharts,D171,0),VLOOKUP(A197,RsInfo,9,0))),DivCharts,D171,0),RsTbl,0)=MOD(MATCH(VLOOKUP(IF((A197="Aq"),VLOOKUP("AqLord",DivCharts,D171,0),IF((A197="Sc"),VLOOKUP("ScLord",DivCharts,D171,0),VLOOKUP(A197,RsInfo,9,0))),PlanetData,8,0),RsTbl,0)+6,12),-1,0))</f>
        <v>#N/A</v>
      </c>
      <c r="D197" s="925">
        <f>MOD((MATCH(VLOOKUP(IF((A197="Aq"),VLOOKUP("AqLord",DivCharts,D171,0),IF((A197="Sc"),VLOOKUP("ScLord",DivCharts,D171,0),VLOOKUP(A197,RsInfo,9,0))),DivCharts,D171,0),RsTbl,0)*B197)-(B197*MATCH(A197,RsTbl,0))+12,12)</f>
        <v>7</v>
      </c>
      <c r="E197" s="194" t="e">
        <f>IF(ISNA(MATCH((D197+C197),,0)),(D197+C197),12)</f>
        <v>#N/A</v>
      </c>
      <c r="F197" s="932" t="e">
        <f>G195</f>
        <v>#N/A</v>
      </c>
      <c r="G197" s="932" t="e">
        <f>F197+E197*NDDaysInYEar</f>
        <v>#N/A</v>
      </c>
      <c r="H197" s="919" t="str">
        <f>A197</f>
        <v>Vi</v>
      </c>
      <c r="I197" s="194" t="str">
        <f>INDEX(SignSym,MOD(B197+MATCH(H197,SignSym,0)-1,12)+1)</f>
        <v>Le</v>
      </c>
      <c r="J197" s="194" t="str">
        <f>INDEX(SignSym,MOD(B197+MATCH(I197,SignSym,0)-1,12)+1)</f>
        <v>Cn</v>
      </c>
      <c r="K197" s="194" t="str">
        <f>INDEX(SignSym,MOD(B197+MATCH(J197,SignSym,0)-1,12)+1)</f>
        <v>Ge</v>
      </c>
      <c r="L197" s="194" t="str">
        <f>INDEX(SignSym,MOD(B197+MATCH(K197,SignSym,0)-1,12)+1)</f>
        <v>Ta</v>
      </c>
      <c r="M197" s="194" t="str">
        <f>INDEX(SignSym,MOD(B197+MATCH(L197,SignSym,0)-1,12)+1)</f>
        <v>Ar</v>
      </c>
      <c r="N197" s="194" t="str">
        <f>INDEX(SignSym,MOD(B197+MATCH(M197,SignSym,0)-1,12)+1)</f>
        <v>Pi</v>
      </c>
      <c r="O197" s="194" t="str">
        <f>INDEX(SignSym,MOD(B197+MATCH(N197,SignSym,0)-1,12)+1)</f>
        <v>Aq</v>
      </c>
      <c r="P197" s="194" t="str">
        <f>INDEX(SignSym,MOD(B197+MATCH(O197,SignSym,0)-1,12)+1)</f>
        <v>Cp</v>
      </c>
      <c r="Q197" s="194" t="str">
        <f>INDEX(SignSym,MOD(B197+MATCH(P197,SignSym,0)-1,12)+1)</f>
        <v>Sg</v>
      </c>
      <c r="R197" s="194" t="str">
        <f>INDEX(SignSym,MOD(B197+MATCH(Q197,SignSym,0)-1,12)+1)</f>
        <v>Sc</v>
      </c>
      <c r="S197" s="194" t="str">
        <f>INDEX(SignSym,MOD(B197+MATCH(R197,SignSym,0)-1,12)+1)</f>
        <v>Li</v>
      </c>
    </row>
    <row r="198" spans="1:19" s="194" customFormat="1" hidden="1">
      <c r="D198" s="925"/>
      <c r="H198" s="932" t="e">
        <f>F197</f>
        <v>#N/A</v>
      </c>
      <c r="I198" s="932" t="e">
        <f>H198+(E197*NDDaysInYEar/12)</f>
        <v>#N/A</v>
      </c>
      <c r="J198" s="932" t="e">
        <f>I198+(E197*NDDaysInYEar/12)</f>
        <v>#N/A</v>
      </c>
      <c r="K198" s="932" t="e">
        <f>J198+(E197*NDDaysInYEar/12)</f>
        <v>#N/A</v>
      </c>
      <c r="L198" s="932" t="e">
        <f>K198+(E197*NDDaysInYEar/12)</f>
        <v>#N/A</v>
      </c>
      <c r="M198" s="932" t="e">
        <f>L198+(E197*NDDaysInYEar/12)</f>
        <v>#N/A</v>
      </c>
      <c r="N198" s="932" t="e">
        <f>M198+(E197*NDDaysInYEar/12)</f>
        <v>#N/A</v>
      </c>
      <c r="O198" s="932" t="e">
        <f>N198+(E197*NDDaysInYEar/12)</f>
        <v>#N/A</v>
      </c>
      <c r="P198" s="932" t="e">
        <f>O198+(E197*NDDaysInYEar/12)</f>
        <v>#N/A</v>
      </c>
      <c r="Q198" s="932" t="e">
        <f>P198+(E197*NDDaysInYEar/12)</f>
        <v>#N/A</v>
      </c>
      <c r="R198" s="932" t="e">
        <f>Q198+(E197*NDDaysInYEar/12)</f>
        <v>#N/A</v>
      </c>
      <c r="S198" s="932" t="e">
        <f>R198+(E197*NDDaysInYEar/12)</f>
        <v>#N/A</v>
      </c>
    </row>
    <row r="199" spans="1:19" s="194" customFormat="1">
      <c r="A199" s="931"/>
      <c r="B199" s="931"/>
      <c r="C199" s="931"/>
      <c r="D199" s="931"/>
      <c r="E199" s="931"/>
      <c r="F199" s="931"/>
      <c r="G199" s="931"/>
      <c r="H199" s="931"/>
      <c r="I199" s="931"/>
      <c r="J199" s="931"/>
      <c r="K199" s="931"/>
      <c r="L199" s="931"/>
      <c r="M199" s="931"/>
      <c r="N199" s="931"/>
      <c r="O199" s="931"/>
      <c r="P199" s="931"/>
      <c r="Q199" s="931"/>
      <c r="R199" s="931"/>
      <c r="S199" s="931"/>
    </row>
    <row r="200" spans="1:19" s="194" customFormat="1" hidden="1">
      <c r="H200" s="932"/>
      <c r="I200" s="932"/>
      <c r="J200" s="932"/>
      <c r="K200" s="932"/>
      <c r="L200" s="932"/>
      <c r="M200" s="932"/>
      <c r="N200" s="932"/>
      <c r="O200" s="932"/>
      <c r="P200" s="932"/>
      <c r="Q200" s="932"/>
      <c r="R200" s="932"/>
      <c r="S200" s="932"/>
    </row>
    <row r="201" spans="1:19" s="194" customFormat="1"/>
    <row r="205" spans="1:19">
      <c r="A205" s="913" t="s">
        <v>4188</v>
      </c>
      <c r="B205" s="914"/>
      <c r="C205" s="914"/>
      <c r="D205" s="914"/>
      <c r="E205" s="914"/>
      <c r="F205" s="914"/>
      <c r="G205" s="914"/>
      <c r="H205" s="914"/>
      <c r="I205" s="914"/>
      <c r="J205" s="914"/>
      <c r="K205" s="914"/>
      <c r="L205" s="915"/>
      <c r="M205" s="914"/>
      <c r="N205" s="914"/>
      <c r="O205" s="914"/>
      <c r="P205" s="914"/>
      <c r="Q205" s="914"/>
      <c r="R205" s="914"/>
      <c r="S205" s="914"/>
    </row>
    <row r="206" spans="1:19" s="194" customFormat="1">
      <c r="A206" s="1366" t="s">
        <v>4189</v>
      </c>
      <c r="B206" s="1366"/>
      <c r="C206" s="916">
        <v>9</v>
      </c>
      <c r="D206" s="917">
        <f>MATCH(C206,$18:$18,1)</f>
        <v>6</v>
      </c>
      <c r="I206" s="918"/>
      <c r="N206" s="918"/>
    </row>
    <row r="207" spans="1:19" s="194" customFormat="1">
      <c r="A207" s="1366" t="s">
        <v>4192</v>
      </c>
      <c r="B207" s="1366"/>
      <c r="C207" s="919" t="s">
        <v>1006</v>
      </c>
      <c r="D207" s="920"/>
      <c r="H207" s="918"/>
      <c r="I207" s="918"/>
      <c r="J207" s="918"/>
      <c r="P207" s="918"/>
    </row>
    <row r="208" spans="1:19" s="194" customFormat="1">
      <c r="C208" s="918"/>
      <c r="E208" s="918"/>
      <c r="H208" s="918"/>
      <c r="I208" s="918"/>
      <c r="J208" s="918"/>
    </row>
    <row r="209" spans="1:19" s="194" customFormat="1">
      <c r="A209" s="934" t="s">
        <v>4060</v>
      </c>
      <c r="B209" s="934" t="s">
        <v>807</v>
      </c>
      <c r="C209" s="934" t="s">
        <v>4194</v>
      </c>
      <c r="D209" s="934" t="s">
        <v>4195</v>
      </c>
      <c r="E209" s="934" t="s">
        <v>400</v>
      </c>
      <c r="F209" s="934" t="s">
        <v>730</v>
      </c>
      <c r="G209" s="934" t="s">
        <v>805</v>
      </c>
      <c r="H209" s="934" t="s">
        <v>4197</v>
      </c>
      <c r="I209" s="918"/>
      <c r="J209" s="918"/>
    </row>
    <row r="210" spans="1:19" s="194" customFormat="1">
      <c r="A210" s="194" t="str">
        <f>VLOOKUP(C207,NDasaSeq,7,0)</f>
        <v>Pi</v>
      </c>
      <c r="B210" s="194">
        <f>VLOOKUP(A210,NDasaC,3,0)</f>
        <v>-1</v>
      </c>
      <c r="C210" s="925" t="e">
        <f>IF(MATCH(VLOOKUP(IF((A210="Aq"),VLOOKUP("AqLord",DivCharts,D206,0),IF((A210="Sc"),VLOOKUP("ScLord",DivCharts,D206,0),VLOOKUP(A210,RsInfo,9,0))),DivCharts,D206,0),RsTbl,0)=MATCH(VLOOKUP(IF((A210="Aq"),VLOOKUP("AqLord",DivCharts,D206,0),IF((A210="Sc"),VLOOKUP("ScLord",DivCharts,D206,0),VLOOKUP(A210,RsInfo,9,0))),PlanetData,8,0),RsTbl,0),1,IF(MATCH(VLOOKUP(IF((A210="Aq"),VLOOKUP("AqLord",DivCharts,D206,0),IF((A210="Sc"),VLOOKUP("ScLord",DivCharts,D206,0),VLOOKUP(A210,RsInfo,9,0))),DivCharts,D206,0),RsTbl,0)=MOD(MATCH(VLOOKUP(IF((A210="Aq"),VLOOKUP("AqLord",DivCharts,D206,0),IF((A210="Sc"),VLOOKUP("ScLord",DivCharts,D206,0),VLOOKUP(A210,RsInfo,9,0))),PlanetData,8,0),RsTbl,0)+6,12),-1,0))</f>
        <v>#N/A</v>
      </c>
      <c r="D210" s="925">
        <f>MOD((MATCH(VLOOKUP(IF((A210="Aq"),VLOOKUP("AqLord",DivCharts,D206,0),IF((A210="Sc"),VLOOKUP("ScLord",DivCharts,D206,0),VLOOKUP(A210,RsInfo,9,0))),DivCharts,D206,0),RsTbl,0)*B210)-(B210*MATCH(A210,RsTbl,0))+12,12)</f>
        <v>8</v>
      </c>
      <c r="E210" s="194" t="e">
        <f>IF(ISNA(MATCH((D210+C210),,0)),(D210+C210),12)</f>
        <v>#N/A</v>
      </c>
      <c r="F210" s="932">
        <f>NDDoB</f>
        <v>26133.384143518517</v>
      </c>
      <c r="G210" s="932" t="e">
        <f>F210+E210*NDDaysInYEar</f>
        <v>#N/A</v>
      </c>
      <c r="H210" s="919" t="str">
        <f>A210</f>
        <v>Pi</v>
      </c>
      <c r="I210" s="194" t="str">
        <f>INDEX(SignSym,MOD(B210+MATCH(H210,SignSym,0)-1,12)+1)</f>
        <v>Aq</v>
      </c>
      <c r="J210" s="194" t="str">
        <f>INDEX(SignSym,MOD(B210+MATCH(I210,SignSym,0)-1,12)+1)</f>
        <v>Cp</v>
      </c>
      <c r="K210" s="194" t="str">
        <f>INDEX(SignSym,MOD(B210+MATCH(J210,SignSym,0)-1,12)+1)</f>
        <v>Sg</v>
      </c>
      <c r="L210" s="194" t="str">
        <f>INDEX(SignSym,MOD(B210+MATCH(K210,SignSym,0)-1,12)+1)</f>
        <v>Sc</v>
      </c>
      <c r="M210" s="194" t="str">
        <f>INDEX(SignSym,MOD(B210+MATCH(L210,SignSym,0)-1,12)+1)</f>
        <v>Li</v>
      </c>
      <c r="N210" s="194" t="str">
        <f>INDEX(SignSym,MOD(B210+MATCH(M210,SignSym,0)-1,12)+1)</f>
        <v>Vi</v>
      </c>
      <c r="O210" s="194" t="str">
        <f>INDEX(SignSym,MOD(B210+MATCH(N210,SignSym,0)-1,12)+1)</f>
        <v>Le</v>
      </c>
      <c r="P210" s="194" t="str">
        <f>INDEX(SignSym,MOD(B210+MATCH(O210,SignSym,0)-1,12)+1)</f>
        <v>Cn</v>
      </c>
      <c r="Q210" s="194" t="str">
        <f>INDEX(SignSym,MOD(B210+MATCH(P210,SignSym,0)-1,12)+1)</f>
        <v>Ge</v>
      </c>
      <c r="R210" s="194" t="str">
        <f>INDEX(SignSym,MOD(B210+MATCH(Q210,SignSym,0)-1,12)+1)</f>
        <v>Ta</v>
      </c>
      <c r="S210" s="194" t="str">
        <f>INDEX(SignSym,MOD(B210+MATCH(R210,SignSym,0)-1,12)+1)</f>
        <v>Ar</v>
      </c>
    </row>
    <row r="211" spans="1:19" s="194" customFormat="1" ht="12.75" hidden="1" customHeight="1">
      <c r="C211" s="925"/>
      <c r="D211" s="925"/>
      <c r="F211" s="932"/>
      <c r="G211" s="932"/>
      <c r="H211" s="932">
        <f>F210</f>
        <v>26133.384143518517</v>
      </c>
      <c r="I211" s="932" t="e">
        <f>H211+(E210*NDDaysInYEar/12)</f>
        <v>#N/A</v>
      </c>
      <c r="J211" s="932" t="e">
        <f>I211+(E210*NDDaysInYEar/12)</f>
        <v>#N/A</v>
      </c>
      <c r="K211" s="932" t="e">
        <f>J211+(E210*NDDaysInYEar/12)</f>
        <v>#N/A</v>
      </c>
      <c r="L211" s="932" t="e">
        <f>K211+(E210*NDDaysInYEar/12)</f>
        <v>#N/A</v>
      </c>
      <c r="M211" s="932" t="e">
        <f>L211+(E210*NDDaysInYEar/12)</f>
        <v>#N/A</v>
      </c>
      <c r="N211" s="932" t="e">
        <f>M211+(E210*NDDaysInYEar/12)</f>
        <v>#N/A</v>
      </c>
      <c r="O211" s="932" t="e">
        <f>N211+(E210*NDDaysInYEar/12)</f>
        <v>#N/A</v>
      </c>
      <c r="P211" s="932" t="e">
        <f>O211+(E210*NDDaysInYEar/12)</f>
        <v>#N/A</v>
      </c>
      <c r="Q211" s="932" t="e">
        <f>P211+(E210*NDDaysInYEar/12)</f>
        <v>#N/A</v>
      </c>
      <c r="R211" s="932" t="e">
        <f>Q211+(E210*NDDaysInYEar/12)</f>
        <v>#N/A</v>
      </c>
      <c r="S211" s="932" t="e">
        <f>R211+(E210*NDDaysInYEar/12)</f>
        <v>#N/A</v>
      </c>
    </row>
    <row r="212" spans="1:19" s="194" customFormat="1">
      <c r="A212" s="194" t="s">
        <v>689</v>
      </c>
      <c r="B212" s="194">
        <f>VLOOKUP(A212,NDasaC,3,0)</f>
        <v>1</v>
      </c>
      <c r="C212" s="925" t="e">
        <f>IF(MATCH(VLOOKUP(IF((A212="Aq"),VLOOKUP("AqLord",DivCharts,D206,0),IF((A212="Sc"),VLOOKUP("ScLord",DivCharts,D206,0),VLOOKUP(A212,RsInfo,9,0))),DivCharts,D206,0),RsTbl,0)=MATCH(VLOOKUP(IF((A212="Aq"),VLOOKUP("AqLord",DivCharts,D206,0),IF((A212="Sc"),VLOOKUP("ScLord",DivCharts,D206,0),VLOOKUP(A212,RsInfo,9,0))),PlanetData,8,0),RsTbl,0),1,IF(MATCH(VLOOKUP(IF((A212="Aq"),VLOOKUP("AqLord",DivCharts,D206,0),IF((A212="Sc"),VLOOKUP("ScLord",DivCharts,D206,0),VLOOKUP(A212,RsInfo,9,0))),DivCharts,D206,0),RsTbl,0)=MOD(MATCH(VLOOKUP(IF((A212="Aq"),VLOOKUP("AqLord",DivCharts,D206,0),IF((A212="Sc"),VLOOKUP("ScLord",DivCharts,D206,0),VLOOKUP(A212,RsInfo,9,0))),PlanetData,8,0),RsTbl,0)+6,12),-1,0))</f>
        <v>#N/A</v>
      </c>
      <c r="D212" s="925">
        <f>MOD((MATCH(VLOOKUP(IF((A212="Aq"),VLOOKUP("AqLord",DivCharts,D206,0),IF((A212="Sc"),VLOOKUP("ScLord",DivCharts,D206,0),VLOOKUP(A212,RsInfo,9,0))),DivCharts,D206,0),RsTbl,0)*B212)-(B212*MATCH(A212,RsTbl,0))+12,12)</f>
        <v>5</v>
      </c>
      <c r="E212" s="194" t="e">
        <f>IF(ISNA(MATCH((D212+C212),,0)),(D212+C212),12)</f>
        <v>#N/A</v>
      </c>
      <c r="F212" s="932" t="e">
        <f>G210</f>
        <v>#N/A</v>
      </c>
      <c r="G212" s="932" t="e">
        <f>F212+E212*NDDaysInYEar</f>
        <v>#N/A</v>
      </c>
      <c r="H212" s="919" t="str">
        <f>A212</f>
        <v>Ar</v>
      </c>
      <c r="I212" s="194" t="str">
        <f>INDEX(SignSym,MOD(B212+MATCH(H212,SignSym,0)-1,12)+1)</f>
        <v>Ta</v>
      </c>
      <c r="J212" s="194" t="str">
        <f>INDEX(SignSym,MOD(B212+MATCH(I212,SignSym,0)-1,12)+1)</f>
        <v>Ge</v>
      </c>
      <c r="K212" s="194" t="str">
        <f>INDEX(SignSym,MOD(B212+MATCH(J212,SignSym,0)-1,12)+1)</f>
        <v>Cn</v>
      </c>
      <c r="L212" s="194" t="str">
        <f>INDEX(SignSym,MOD(B212+MATCH(K212,SignSym,0)-1,12)+1)</f>
        <v>Le</v>
      </c>
      <c r="M212" s="194" t="str">
        <f>INDEX(SignSym,MOD(B212+MATCH(L212,SignSym,0)-1,12)+1)</f>
        <v>Vi</v>
      </c>
      <c r="N212" s="194" t="str">
        <f>INDEX(SignSym,MOD(B212+MATCH(M212,SignSym,0)-1,12)+1)</f>
        <v>Li</v>
      </c>
      <c r="O212" s="194" t="str">
        <f>INDEX(SignSym,MOD(B212+MATCH(N212,SignSym,0)-1,12)+1)</f>
        <v>Sc</v>
      </c>
      <c r="P212" s="194" t="str">
        <f>INDEX(SignSym,MOD(B212+MATCH(O212,SignSym,0)-1,12)+1)</f>
        <v>Sg</v>
      </c>
      <c r="Q212" s="194" t="str">
        <f>INDEX(SignSym,MOD(B212+MATCH(P212,SignSym,0)-1,12)+1)</f>
        <v>Cp</v>
      </c>
      <c r="R212" s="194" t="str">
        <f>INDEX(SignSym,MOD(B212+MATCH(Q212,SignSym,0)-1,12)+1)</f>
        <v>Aq</v>
      </c>
      <c r="S212" s="194" t="str">
        <f>INDEX(SignSym,MOD(B212+MATCH(R212,SignSym,0)-1,12)+1)</f>
        <v>Pi</v>
      </c>
    </row>
    <row r="213" spans="1:19" s="194" customFormat="1" ht="12.75" hidden="1" customHeight="1">
      <c r="C213" s="925"/>
      <c r="D213" s="925"/>
      <c r="F213" s="932"/>
      <c r="G213" s="932"/>
      <c r="H213" s="932" t="e">
        <f>F212</f>
        <v>#N/A</v>
      </c>
      <c r="I213" s="932" t="e">
        <f>H213+(E212*NDDaysInYEar/12)</f>
        <v>#N/A</v>
      </c>
      <c r="J213" s="932" t="e">
        <f>I213+(E212*NDDaysInYEar/12)</f>
        <v>#N/A</v>
      </c>
      <c r="K213" s="932" t="e">
        <f>J213+(E212*NDDaysInYEar/12)</f>
        <v>#N/A</v>
      </c>
      <c r="L213" s="932" t="e">
        <f>K213+(E212*NDDaysInYEar/12)</f>
        <v>#N/A</v>
      </c>
      <c r="M213" s="932" t="e">
        <f>L213+(E212*NDDaysInYEar/12)</f>
        <v>#N/A</v>
      </c>
      <c r="N213" s="932" t="e">
        <f>M213+(E212*NDDaysInYEar/12)</f>
        <v>#N/A</v>
      </c>
      <c r="O213" s="932" t="e">
        <f>N213+(E212*NDDaysInYEar/12)</f>
        <v>#N/A</v>
      </c>
      <c r="P213" s="932" t="e">
        <f>O213+(E212*NDDaysInYEar/12)</f>
        <v>#N/A</v>
      </c>
      <c r="Q213" s="932" t="e">
        <f>P213+(E212*NDDaysInYEar/12)</f>
        <v>#N/A</v>
      </c>
      <c r="R213" s="932" t="e">
        <f>Q213+(E212*NDDaysInYEar/12)</f>
        <v>#N/A</v>
      </c>
      <c r="S213" s="932" t="e">
        <f>R213+(E212*NDDaysInYEar/12)</f>
        <v>#N/A</v>
      </c>
    </row>
    <row r="214" spans="1:19" s="194" customFormat="1">
      <c r="A214" s="194" t="s">
        <v>693</v>
      </c>
      <c r="B214" s="194">
        <v>-1</v>
      </c>
      <c r="C214" s="925" t="e">
        <f>IF(MATCH(VLOOKUP(IF((A214="Aq"),VLOOKUP("AqLord",DivCharts,D206,0),IF((A214="Sc"),VLOOKUP("ScLord",DivCharts,D206,0),VLOOKUP(A214,RsInfo,9,0))),DivCharts,D206,0),RsTbl,0)=MATCH(VLOOKUP(IF((A214="Aq"),VLOOKUP("AqLord",DivCharts,D206,0),IF((A214="Sc"),VLOOKUP("ScLord",DivCharts,D206,0),VLOOKUP(A214,RsInfo,9,0))),PlanetData,8,0),RsTbl,0),1,IF(MATCH(VLOOKUP(IF((A214="Aq"),VLOOKUP("AqLord",DivCharts,D206,0),IF((A214="Sc"),VLOOKUP("ScLord",DivCharts,D206,0),VLOOKUP(A214,RsInfo,9,0))),DivCharts,D206,0),RsTbl,0)=MOD(MATCH(VLOOKUP(IF((A214="Aq"),VLOOKUP("AqLord",DivCharts,D206,0),IF((A214="Sc"),VLOOKUP("ScLord",DivCharts,D206,0),VLOOKUP(A214,RsInfo,9,0))),PlanetData,8,0),RsTbl,0)+6,12),-1,0))</f>
        <v>#N/A</v>
      </c>
      <c r="D214" s="925">
        <f>MOD((MATCH(VLOOKUP(IF((A214="Aq"),VLOOKUP("AqLord",DivCharts,D206,0),IF((A214="Sc"),VLOOKUP("ScLord",DivCharts,D206,0),VLOOKUP(A214,RsInfo,9,0))),DivCharts,D206,0),RsTbl,0)*B214)-(B214*MATCH(A214,RsTbl,0))+12,12)</f>
        <v>1</v>
      </c>
      <c r="E214" s="194" t="e">
        <f>IF(ISNA(MATCH((D214+C214),,0)),(D214+C214),12)</f>
        <v>#N/A</v>
      </c>
      <c r="F214" s="932" t="e">
        <f>G212</f>
        <v>#N/A</v>
      </c>
      <c r="G214" s="932" t="e">
        <f>F214+E214*NDDaysInYEar</f>
        <v>#N/A</v>
      </c>
      <c r="H214" s="919" t="s">
        <v>711</v>
      </c>
      <c r="I214" s="194" t="str">
        <f>INDEX(SignSym,MOD(B214+MATCH(H214,SignSym,0)-1,12)+1)</f>
        <v>Le</v>
      </c>
      <c r="J214" s="194" t="str">
        <f>INDEX(SignSym,MOD(B214+MATCH(I214,SignSym,0)-1,12)+1)</f>
        <v>Cn</v>
      </c>
      <c r="K214" s="194" t="str">
        <f>INDEX(SignSym,MOD(B214+MATCH(J214,SignSym,0)-1,12)+1)</f>
        <v>Ge</v>
      </c>
      <c r="L214" s="194" t="str">
        <f>INDEX(SignSym,MOD(B214+MATCH(K214,SignSym,0)-1,12)+1)</f>
        <v>Ta</v>
      </c>
      <c r="M214" s="194" t="str">
        <f>INDEX(SignSym,MOD(B214+MATCH(L214,SignSym,0)-1,12)+1)</f>
        <v>Ar</v>
      </c>
      <c r="N214" s="194" t="str">
        <f>INDEX(SignSym,MOD(B214+MATCH(M214,SignSym,0)-1,12)+1)</f>
        <v>Pi</v>
      </c>
      <c r="O214" s="194" t="str">
        <f>INDEX(SignSym,MOD(B214+MATCH(N214,SignSym,0)-1,12)+1)</f>
        <v>Aq</v>
      </c>
      <c r="P214" s="194" t="str">
        <f>INDEX(SignSym,MOD(B214+MATCH(O214,SignSym,0)-1,12)+1)</f>
        <v>Cp</v>
      </c>
      <c r="Q214" s="194" t="str">
        <f>INDEX(SignSym,MOD(B214+MATCH(P214,SignSym,0)-1,12)+1)</f>
        <v>Sg</v>
      </c>
      <c r="R214" s="194" t="str">
        <f>INDEX(SignSym,MOD(B214+MATCH(Q214,SignSym,0)-1,12)+1)</f>
        <v>Sc</v>
      </c>
      <c r="S214" s="194" t="str">
        <f>INDEX(SignSym,MOD(B214+MATCH(R214,SignSym,0)-1,12)+1)</f>
        <v>Li</v>
      </c>
    </row>
    <row r="215" spans="1:19" s="194" customFormat="1" ht="12.75" hidden="1" customHeight="1">
      <c r="C215" s="925"/>
      <c r="D215" s="925"/>
      <c r="F215" s="932"/>
      <c r="G215" s="932"/>
      <c r="H215" s="932" t="e">
        <f>F214</f>
        <v>#N/A</v>
      </c>
      <c r="I215" s="932" t="e">
        <f>H215+(E214*NDDaysInYEar/12)</f>
        <v>#N/A</v>
      </c>
      <c r="J215" s="932" t="e">
        <f>I215+(E214*NDDaysInYEar/12)</f>
        <v>#N/A</v>
      </c>
      <c r="K215" s="932" t="e">
        <f>J215+(E214*NDDaysInYEar/12)</f>
        <v>#N/A</v>
      </c>
      <c r="L215" s="932" t="e">
        <f>K215+(E214*NDDaysInYEar/12)</f>
        <v>#N/A</v>
      </c>
      <c r="M215" s="932" t="e">
        <f>L215+(E214*NDDaysInYEar/12)</f>
        <v>#N/A</v>
      </c>
      <c r="N215" s="932" t="e">
        <f>M215+(E214*NDDaysInYEar/12)</f>
        <v>#N/A</v>
      </c>
      <c r="O215" s="932" t="e">
        <f>N215+(E214*NDDaysInYEar/12)</f>
        <v>#N/A</v>
      </c>
      <c r="P215" s="932" t="e">
        <f>O215+(E214*NDDaysInYEar/12)</f>
        <v>#N/A</v>
      </c>
      <c r="Q215" s="932" t="e">
        <f>P215+(E214*NDDaysInYEar/12)</f>
        <v>#N/A</v>
      </c>
      <c r="R215" s="932" t="e">
        <f>Q215+(E214*NDDaysInYEar/12)</f>
        <v>#N/A</v>
      </c>
      <c r="S215" s="932" t="e">
        <f>R215+(E214*NDDaysInYEar/12)</f>
        <v>#N/A</v>
      </c>
    </row>
    <row r="216" spans="1:19" s="194" customFormat="1">
      <c r="A216" s="194" t="s">
        <v>695</v>
      </c>
      <c r="B216" s="194">
        <v>-1</v>
      </c>
      <c r="C216" s="925" t="e">
        <f>IF(MATCH(VLOOKUP(IF((A216="Aq"),VLOOKUP("AqLord",DivCharts,D206,0),IF((A216="Sc"),VLOOKUP("ScLord",DivCharts,D206,0),VLOOKUP(A216,RsInfo,9,0))),DivCharts,D206,0),RsTbl,0)=MATCH(VLOOKUP(IF((A216="Aq"),VLOOKUP("AqLord",DivCharts,D206,0),IF((A216="Sc"),VLOOKUP("ScLord",DivCharts,D206,0),VLOOKUP(A216,RsInfo,9,0))),PlanetData,8,0),RsTbl,0),1,IF(MATCH(VLOOKUP(IF((A216="Aq"),VLOOKUP("AqLord",DivCharts,D206,0),IF((A216="Sc"),VLOOKUP("ScLord",DivCharts,D206,0),VLOOKUP(A216,RsInfo,9,0))),DivCharts,D206,0),RsTbl,0)=MOD(MATCH(VLOOKUP(IF((A216="Aq"),VLOOKUP("AqLord",DivCharts,D206,0),IF((A216="Sc"),VLOOKUP("ScLord",DivCharts,D206,0),VLOOKUP(A216,RsInfo,9,0))),PlanetData,8,0),RsTbl,0)+6,12),-1,0))</f>
        <v>#N/A</v>
      </c>
      <c r="D216" s="925">
        <f>MOD((MATCH(VLOOKUP(IF((A216="Aq"),VLOOKUP("AqLord",DivCharts,D206,0),IF((A216="Sc"),VLOOKUP("ScLord",DivCharts,D206,0),VLOOKUP(A216,RsInfo,9,0))),DivCharts,D206,0),RsTbl,0)*B216)-(B216*MATCH(A216,RsTbl,0))+12,12)</f>
        <v>3</v>
      </c>
      <c r="E216" s="194" t="e">
        <f>IF(ISNA(MATCH((D216+C216),,0)),(D216+C216),12)</f>
        <v>#N/A</v>
      </c>
      <c r="F216" s="932" t="e">
        <f>G214</f>
        <v>#N/A</v>
      </c>
      <c r="G216" s="932" t="e">
        <f>F216+E216*NDDaysInYEar</f>
        <v>#N/A</v>
      </c>
      <c r="H216" s="919" t="s">
        <v>703</v>
      </c>
      <c r="I216" s="194" t="str">
        <f>INDEX(SignSym,MOD(B216+MATCH(H216,SignSym,0)-1,12)+1)</f>
        <v>Ge</v>
      </c>
      <c r="J216" s="194" t="str">
        <f>INDEX(SignSym,MOD(B216+MATCH(I216,SignSym,0)-1,12)+1)</f>
        <v>Ta</v>
      </c>
      <c r="K216" s="194" t="str">
        <f>INDEX(SignSym,MOD(B216+MATCH(J216,SignSym,0)-1,12)+1)</f>
        <v>Ar</v>
      </c>
      <c r="L216" s="194" t="str">
        <f>INDEX(SignSym,MOD(B216+MATCH(K216,SignSym,0)-1,12)+1)</f>
        <v>Pi</v>
      </c>
      <c r="M216" s="194" t="str">
        <f>INDEX(SignSym,MOD(B216+MATCH(L216,SignSym,0)-1,12)+1)</f>
        <v>Aq</v>
      </c>
      <c r="N216" s="194" t="str">
        <f>INDEX(SignSym,MOD(B216+MATCH(M216,SignSym,0)-1,12)+1)</f>
        <v>Cp</v>
      </c>
      <c r="O216" s="194" t="str">
        <f>INDEX(SignSym,MOD(B216+MATCH(N216,SignSym,0)-1,12)+1)</f>
        <v>Sg</v>
      </c>
      <c r="P216" s="194" t="str">
        <f>INDEX(SignSym,MOD(B216+MATCH(O216,SignSym,0)-1,12)+1)</f>
        <v>Sc</v>
      </c>
      <c r="Q216" s="194" t="str">
        <f>INDEX(SignSym,MOD(B216+MATCH(P216,SignSym,0)-1,12)+1)</f>
        <v>Li</v>
      </c>
      <c r="R216" s="194" t="str">
        <f>INDEX(SignSym,MOD(B216+MATCH(Q216,SignSym,0)-1,12)+1)</f>
        <v>Vi</v>
      </c>
      <c r="S216" s="194" t="str">
        <f>INDEX(SignSym,MOD(B216+MATCH(R216,SignSym,0)-1,12)+1)</f>
        <v>Le</v>
      </c>
    </row>
    <row r="217" spans="1:19" s="194" customFormat="1" ht="12.75" hidden="1" customHeight="1">
      <c r="C217" s="925"/>
      <c r="D217" s="925"/>
      <c r="F217" s="932"/>
      <c r="G217" s="932"/>
      <c r="H217" s="932" t="e">
        <f>F216</f>
        <v>#N/A</v>
      </c>
      <c r="I217" s="932" t="e">
        <f>H217+(E216*NDDaysInYEar/12)</f>
        <v>#N/A</v>
      </c>
      <c r="J217" s="932" t="e">
        <f>I217+(E216*NDDaysInYEar/12)</f>
        <v>#N/A</v>
      </c>
      <c r="K217" s="932" t="e">
        <f>J217+(E216*NDDaysInYEar/12)</f>
        <v>#N/A</v>
      </c>
      <c r="L217" s="932" t="e">
        <f>K217+(E216*NDDaysInYEar/12)</f>
        <v>#N/A</v>
      </c>
      <c r="M217" s="932" t="e">
        <f>L217+(E216*NDDaysInYEar/12)</f>
        <v>#N/A</v>
      </c>
      <c r="N217" s="932" t="e">
        <f>M217+(E216*NDDaysInYEar/12)</f>
        <v>#N/A</v>
      </c>
      <c r="O217" s="932" t="e">
        <f>N217+(E216*NDDaysInYEar/12)</f>
        <v>#N/A</v>
      </c>
      <c r="P217" s="932" t="e">
        <f>O217+(E216*NDDaysInYEar/12)</f>
        <v>#N/A</v>
      </c>
      <c r="Q217" s="932" t="e">
        <f>P217+(E216*NDDaysInYEar/12)</f>
        <v>#N/A</v>
      </c>
      <c r="R217" s="932" t="e">
        <f>Q217+(E216*NDDaysInYEar/12)</f>
        <v>#N/A</v>
      </c>
      <c r="S217" s="932" t="e">
        <f>R217+(E216*NDDaysInYEar/12)</f>
        <v>#N/A</v>
      </c>
    </row>
    <row r="218" spans="1:19" s="194" customFormat="1">
      <c r="A218" s="194" t="s">
        <v>703</v>
      </c>
      <c r="B218" s="194">
        <v>-1</v>
      </c>
      <c r="C218" s="925" t="e">
        <f>IF(MATCH(VLOOKUP(IF((A218="Aq"),VLOOKUP("AqLord",DivCharts,D206,0),IF((A218="Sc"),VLOOKUP("ScLord",DivCharts,D206,0),VLOOKUP(A218,RsInfo,9,0))),DivCharts,D206,0),RsTbl,0)=MATCH(VLOOKUP(IF((A218="Aq"),VLOOKUP("AqLord",DivCharts,D206,0),IF((A218="Sc"),VLOOKUP("ScLord",DivCharts,D206,0),VLOOKUP(A218,RsInfo,9,0))),PlanetData,8,0),RsTbl,0),1,IF(MATCH(VLOOKUP(IF((A218="Aq"),VLOOKUP("AqLord",DivCharts,D206,0),IF((A218="Sc"),VLOOKUP("ScLord",DivCharts,D206,0),VLOOKUP(A218,RsInfo,9,0))),DivCharts,D206,0),RsTbl,0)=MOD(MATCH(VLOOKUP(IF((A218="Aq"),VLOOKUP("AqLord",DivCharts,D206,0),IF((A218="Sc"),VLOOKUP("ScLord",DivCharts,D206,0),VLOOKUP(A218,RsInfo,9,0))),PlanetData,8,0),RsTbl,0)+6,12),-1,0))</f>
        <v>#N/A</v>
      </c>
      <c r="D218" s="925">
        <f>MOD((MATCH(VLOOKUP(IF((A218="Aq"),VLOOKUP("AqLord",DivCharts,D206,0),IF((A218="Sc"),VLOOKUP("ScLord",DivCharts,D206,0),VLOOKUP(A218,RsInfo,9,0))),DivCharts,D206,0),RsTbl,0)*B218)-(B218*MATCH(A218,RsTbl,0))+12,12)</f>
        <v>0</v>
      </c>
      <c r="E218" s="194" t="e">
        <f>IF(ISNA(MATCH((D218+C218),,0)),(D218+C218),12)</f>
        <v>#N/A</v>
      </c>
      <c r="F218" s="932" t="e">
        <f>G216</f>
        <v>#N/A</v>
      </c>
      <c r="G218" s="932" t="e">
        <f>F218+E218*NDDaysInYEar</f>
        <v>#N/A</v>
      </c>
      <c r="H218" s="919" t="s">
        <v>703</v>
      </c>
      <c r="I218" s="194" t="str">
        <f>INDEX(SignSym,MOD(B218+MATCH(H218,SignSym,0)-1,12)+1)</f>
        <v>Ge</v>
      </c>
      <c r="J218" s="194" t="str">
        <f>INDEX(SignSym,MOD(B218+MATCH(I218,SignSym,0)-1,12)+1)</f>
        <v>Ta</v>
      </c>
      <c r="K218" s="194" t="str">
        <f>INDEX(SignSym,MOD(B218+MATCH(J218,SignSym,0)-1,12)+1)</f>
        <v>Ar</v>
      </c>
      <c r="L218" s="194" t="str">
        <f>INDEX(SignSym,MOD(B218+MATCH(K218,SignSym,0)-1,12)+1)</f>
        <v>Pi</v>
      </c>
      <c r="M218" s="194" t="str">
        <f>INDEX(SignSym,MOD(B218+MATCH(L218,SignSym,0)-1,12)+1)</f>
        <v>Aq</v>
      </c>
      <c r="N218" s="194" t="str">
        <f>INDEX(SignSym,MOD(B218+MATCH(M218,SignSym,0)-1,12)+1)</f>
        <v>Cp</v>
      </c>
      <c r="O218" s="194" t="str">
        <f>INDEX(SignSym,MOD(B218+MATCH(N218,SignSym,0)-1,12)+1)</f>
        <v>Sg</v>
      </c>
      <c r="P218" s="194" t="str">
        <f>INDEX(SignSym,MOD(B218+MATCH(O218,SignSym,0)-1,12)+1)</f>
        <v>Sc</v>
      </c>
      <c r="Q218" s="194" t="str">
        <f>INDEX(SignSym,MOD(B218+MATCH(P218,SignSym,0)-1,12)+1)</f>
        <v>Li</v>
      </c>
      <c r="R218" s="194" t="str">
        <f>INDEX(SignSym,MOD(B218+MATCH(Q218,SignSym,0)-1,12)+1)</f>
        <v>Vi</v>
      </c>
      <c r="S218" s="194" t="str">
        <f>INDEX(SignSym,MOD(B218+MATCH(R218,SignSym,0)-1,12)+1)</f>
        <v>Le</v>
      </c>
    </row>
    <row r="219" spans="1:19" s="194" customFormat="1">
      <c r="C219" s="925"/>
      <c r="D219" s="925"/>
      <c r="F219" s="932"/>
      <c r="G219" s="932"/>
      <c r="H219" s="932" t="e">
        <f>F218</f>
        <v>#N/A</v>
      </c>
      <c r="I219" s="932" t="e">
        <f>H219+(E218*NDDaysInYEar/12)</f>
        <v>#N/A</v>
      </c>
      <c r="J219" s="935" t="e">
        <f>I219+(E218*NDDaysInYEar/12)</f>
        <v>#N/A</v>
      </c>
      <c r="K219" s="932" t="e">
        <f>J219+(E218*NDDaysInYEar/12)</f>
        <v>#N/A</v>
      </c>
      <c r="L219" s="932" t="e">
        <f>K219+(E218*NDDaysInYEar/12)</f>
        <v>#N/A</v>
      </c>
      <c r="M219" s="932" t="e">
        <f>L219+(E218*NDDaysInYEar/12)</f>
        <v>#N/A</v>
      </c>
      <c r="N219" s="932" t="e">
        <f>M219+(E218*NDDaysInYEar/12)</f>
        <v>#N/A</v>
      </c>
      <c r="O219" s="932" t="e">
        <f>N219+(E218*NDDaysInYEar/12)</f>
        <v>#N/A</v>
      </c>
      <c r="P219" s="932" t="e">
        <f>O219+(E218*NDDaysInYEar/12)</f>
        <v>#N/A</v>
      </c>
      <c r="Q219" s="932" t="e">
        <f>P219+(E218*NDDaysInYEar/12)</f>
        <v>#N/A</v>
      </c>
      <c r="R219" s="932" t="e">
        <f>Q219+(E218*NDDaysInYEar/12)</f>
        <v>#N/A</v>
      </c>
      <c r="S219" s="935" t="e">
        <f>R219+(E218*NDDaysInYEar/12)</f>
        <v>#N/A</v>
      </c>
    </row>
    <row r="220" spans="1:19" s="194" customFormat="1">
      <c r="A220" s="194" t="s">
        <v>701</v>
      </c>
      <c r="B220" s="194">
        <v>-1</v>
      </c>
      <c r="C220" s="925" t="e">
        <f>IF(MATCH(VLOOKUP(IF((A220="Aq"),VLOOKUP("AqLord",DivCharts,D206,0),IF((A220="Sc"),VLOOKUP("ScLord",DivCharts,D206,0),VLOOKUP(A220,RsInfo,9,0))),DivCharts,D206,0),RsTbl,0)=MATCH(VLOOKUP(IF((A220="Aq"),VLOOKUP("AqLord",DivCharts,D206,0),IF((A220="Sc"),VLOOKUP("ScLord",DivCharts,D206,0),VLOOKUP(A220,RsInfo,9,0))),PlanetData,8,0),RsTbl,0),1,IF(MATCH(VLOOKUP(IF((A220="Aq"),VLOOKUP("AqLord",DivCharts,D206,0),IF((A220="Sc"),VLOOKUP("ScLord",DivCharts,D206,0),VLOOKUP(A220,RsInfo,9,0))),DivCharts,D206,0),RsTbl,0)=MOD(MATCH(VLOOKUP(IF((A220="Aq"),VLOOKUP("AqLord",DivCharts,D206,0),IF((A220="Sc"),VLOOKUP("ScLord",DivCharts,D206,0),VLOOKUP(A220,RsInfo,9,0))),PlanetData,8,0),RsTbl,0)+6,12),-1,0))</f>
        <v>#N/A</v>
      </c>
      <c r="D220" s="925">
        <f>MOD((MATCH(VLOOKUP(IF((A220="Aq"),VLOOKUP("AqLord",DivCharts,D206,0),IF((A220="Sc"),VLOOKUP("ScLord",DivCharts,D206,0),VLOOKUP(A220,RsInfo,9,0))),DivCharts,D206,0),RsTbl,0)*B220)-(B220*MATCH(A220,RsTbl,0))+12,12)</f>
        <v>1</v>
      </c>
      <c r="E220" s="194" t="e">
        <f>IF(ISNA(MATCH((D220+C220),,0)),(D220+C220),12)</f>
        <v>#N/A</v>
      </c>
      <c r="F220" s="932" t="e">
        <f>G218</f>
        <v>#N/A</v>
      </c>
      <c r="G220" s="932" t="e">
        <f>F220+E220*NDDaysInYEar</f>
        <v>#N/A</v>
      </c>
      <c r="H220" s="919" t="s">
        <v>703</v>
      </c>
      <c r="I220" s="194" t="str">
        <f>INDEX(SignSym,MOD(B220+MATCH(H220,SignSym,0)-1,12)+1)</f>
        <v>Ge</v>
      </c>
      <c r="J220" s="194" t="str">
        <f>INDEX(SignSym,MOD(B220+MATCH(I220,SignSym,0)-1,12)+1)</f>
        <v>Ta</v>
      </c>
      <c r="K220" s="194" t="str">
        <f>INDEX(SignSym,MOD(B220+MATCH(J220,SignSym,0)-1,12)+1)</f>
        <v>Ar</v>
      </c>
      <c r="L220" s="194" t="str">
        <f>INDEX(SignSym,MOD(B220+MATCH(K220,SignSym,0)-1,12)+1)</f>
        <v>Pi</v>
      </c>
      <c r="M220" s="194" t="str">
        <f>INDEX(SignSym,MOD(B220+MATCH(L220,SignSym,0)-1,12)+1)</f>
        <v>Aq</v>
      </c>
      <c r="N220" s="194" t="str">
        <f>INDEX(SignSym,MOD(B220+MATCH(M220,SignSym,0)-1,12)+1)</f>
        <v>Cp</v>
      </c>
      <c r="O220" s="194" t="str">
        <f>INDEX(SignSym,MOD(B220+MATCH(N220,SignSym,0)-1,12)+1)</f>
        <v>Sg</v>
      </c>
      <c r="P220" s="194" t="str">
        <f>INDEX(SignSym,MOD(B220+MATCH(O220,SignSym,0)-1,12)+1)</f>
        <v>Sc</v>
      </c>
      <c r="Q220" s="194" t="str">
        <f>INDEX(SignSym,MOD(B220+MATCH(P220,SignSym,0)-1,12)+1)</f>
        <v>Li</v>
      </c>
      <c r="R220" s="194" t="str">
        <f>INDEX(SignSym,MOD(B220+MATCH(Q220,SignSym,0)-1,12)+1)</f>
        <v>Vi</v>
      </c>
      <c r="S220" s="194" t="str">
        <f>INDEX(SignSym,MOD(B220+MATCH(R220,SignSym,0)-1,12)+1)</f>
        <v>Le</v>
      </c>
    </row>
    <row r="221" spans="1:19" s="194" customFormat="1">
      <c r="C221" s="925"/>
      <c r="D221" s="925"/>
      <c r="F221" s="932"/>
      <c r="G221" s="932"/>
      <c r="H221" s="935" t="e">
        <f>F220</f>
        <v>#N/A</v>
      </c>
      <c r="I221" s="932" t="e">
        <f>H221+(E220*NDDaysInYEar/12)</f>
        <v>#N/A</v>
      </c>
      <c r="J221" s="932" t="e">
        <f>I221+(E220*NDDaysInYEar/12)</f>
        <v>#N/A</v>
      </c>
      <c r="K221" s="932" t="e">
        <f>J221+(E220*NDDaysInYEar/12)</f>
        <v>#N/A</v>
      </c>
      <c r="L221" s="935" t="e">
        <f>K221+(E220*NDDaysInYEar/12)</f>
        <v>#N/A</v>
      </c>
      <c r="M221" s="932" t="e">
        <f>L221+(E220*NDDaysInYEar/12)</f>
        <v>#N/A</v>
      </c>
      <c r="N221" s="932" t="e">
        <f>M221+(E220*NDDaysInYEar/12)</f>
        <v>#N/A</v>
      </c>
      <c r="O221" s="932" t="e">
        <f>N221+(E220*NDDaysInYEar/12)</f>
        <v>#N/A</v>
      </c>
      <c r="P221" s="932" t="e">
        <f>O221+(E220*NDDaysInYEar/12)</f>
        <v>#N/A</v>
      </c>
      <c r="Q221" s="932" t="e">
        <f>P221+(E220*NDDaysInYEar/12)</f>
        <v>#N/A</v>
      </c>
      <c r="R221" s="932" t="e">
        <f>Q221+(E220*NDDaysInYEar/12)</f>
        <v>#N/A</v>
      </c>
      <c r="S221" s="932" t="e">
        <f>R221+(E220*NDDaysInYEar/12)</f>
        <v>#N/A</v>
      </c>
    </row>
    <row r="222" spans="1:19" s="194" customFormat="1">
      <c r="A222" s="194" t="s">
        <v>711</v>
      </c>
      <c r="B222" s="194">
        <f>VLOOKUP(A222,NDasaC,3,0)</f>
        <v>-1</v>
      </c>
      <c r="C222" s="925" t="e">
        <f>IF(MATCH(VLOOKUP(IF((A222="Aq"),VLOOKUP("AqLord",DivCharts,D206,0),IF((A222="Sc"),VLOOKUP("ScLord",DivCharts,D206,0),VLOOKUP(A222,RsInfo,9,0))),DivCharts,D206,0),RsTbl,0)=MATCH(VLOOKUP(IF((A222="Aq"),VLOOKUP("AqLord",DivCharts,D206,0),IF((A222="Sc"),VLOOKUP("ScLord",DivCharts,D206,0),VLOOKUP(A222,RsInfo,9,0))),PlanetData,8,0),RsTbl,0),1,IF(MATCH(VLOOKUP(IF((A222="Aq"),VLOOKUP("AqLord",DivCharts,D206,0),IF((A222="Sc"),VLOOKUP("ScLord",DivCharts,D206,0),VLOOKUP(A222,RsInfo,9,0))),DivCharts,D206,0),RsTbl,0)=MOD(MATCH(VLOOKUP(IF((A222="Aq"),VLOOKUP("AqLord",DivCharts,D206,0),IF((A222="Sc"),VLOOKUP("ScLord",DivCharts,D206,0),VLOOKUP(A222,RsInfo,9,0))),PlanetData,8,0),RsTbl,0)+6,12),-1,0))</f>
        <v>#N/A</v>
      </c>
      <c r="D222" s="925">
        <f>MOD((MATCH(VLOOKUP(IF((A222="Aq"),VLOOKUP("AqLord",DivCharts,D206,0),IF((A222="Sc"),VLOOKUP("ScLord",DivCharts,D206,0),VLOOKUP(A222,RsInfo,9,0))),DivCharts,D206,0),RsTbl,0)*B222)-(B222*MATCH(A222,RsTbl,0))+12,12)</f>
        <v>6</v>
      </c>
      <c r="E222" s="194" t="e">
        <f>IF(ISNA(MATCH((D222+C222),,0)),(D222+C222),12)</f>
        <v>#N/A</v>
      </c>
      <c r="F222" s="932" t="e">
        <f>G220</f>
        <v>#N/A</v>
      </c>
      <c r="G222" s="932" t="e">
        <f>F222+E222*NDDaysInYEar</f>
        <v>#N/A</v>
      </c>
      <c r="H222" s="919" t="s">
        <v>699</v>
      </c>
      <c r="I222" s="194" t="str">
        <f>INDEX(SignSym,MOD(B222+MATCH(H222,SignSym,0)-1,12)+1)</f>
        <v>Cp</v>
      </c>
      <c r="J222" s="194" t="str">
        <f>INDEX(SignSym,MOD(B222+MATCH(I222,SignSym,0)-1,12)+1)</f>
        <v>Sg</v>
      </c>
      <c r="K222" s="194" t="str">
        <f>INDEX(SignSym,MOD(B222+MATCH(J222,SignSym,0)-1,12)+1)</f>
        <v>Sc</v>
      </c>
      <c r="L222" s="194" t="str">
        <f>INDEX(SignSym,MOD(B222+MATCH(K222,SignSym,0)-1,12)+1)</f>
        <v>Li</v>
      </c>
      <c r="M222" s="194" t="str">
        <f>INDEX(SignSym,MOD(B222+MATCH(L222,SignSym,0)-1,12)+1)</f>
        <v>Vi</v>
      </c>
      <c r="N222" s="194" t="str">
        <f>INDEX(SignSym,MOD(B222+MATCH(M222,SignSym,0)-1,12)+1)</f>
        <v>Le</v>
      </c>
      <c r="O222" s="194" t="str">
        <f>INDEX(SignSym,MOD(B222+MATCH(N222,SignSym,0)-1,12)+1)</f>
        <v>Cn</v>
      </c>
      <c r="P222" s="194" t="str">
        <f>INDEX(SignSym,MOD(B222+MATCH(O222,SignSym,0)-1,12)+1)</f>
        <v>Ge</v>
      </c>
      <c r="Q222" s="194" t="str">
        <f>INDEX(SignSym,MOD(B222+MATCH(P222,SignSym,0)-1,12)+1)</f>
        <v>Ta</v>
      </c>
      <c r="R222" s="194" t="str">
        <f>INDEX(SignSym,MOD(B222+MATCH(Q222,SignSym,0)-1,12)+1)</f>
        <v>Ar</v>
      </c>
      <c r="S222" s="194" t="str">
        <f>INDEX(SignSym,MOD(B222+MATCH(R222,SignSym,0)-1,12)+1)</f>
        <v>Pi</v>
      </c>
    </row>
    <row r="223" spans="1:19" s="194" customFormat="1" hidden="1">
      <c r="C223" s="925"/>
      <c r="D223" s="925"/>
      <c r="F223" s="932"/>
      <c r="G223" s="932"/>
      <c r="H223" s="932" t="e">
        <f>F222</f>
        <v>#N/A</v>
      </c>
      <c r="I223" s="932" t="e">
        <f>H223+(E222*NDDaysInYEar/12)</f>
        <v>#N/A</v>
      </c>
      <c r="J223" s="932" t="e">
        <f>I223+(E222*NDDaysInYEar/12)</f>
        <v>#N/A</v>
      </c>
      <c r="K223" s="932" t="e">
        <f>J223+(E222*NDDaysInYEar/12)</f>
        <v>#N/A</v>
      </c>
      <c r="L223" s="932" t="e">
        <f>K223+(E222*NDDaysInYEar/12)</f>
        <v>#N/A</v>
      </c>
      <c r="M223" s="932" t="e">
        <f>L223+(E222*NDDaysInYEar/12)</f>
        <v>#N/A</v>
      </c>
      <c r="N223" s="932" t="e">
        <f>M223+(E222*NDDaysInYEar/12)</f>
        <v>#N/A</v>
      </c>
      <c r="O223" s="932" t="e">
        <f>N223+(E222*NDDaysInYEar/12)</f>
        <v>#N/A</v>
      </c>
      <c r="P223" s="932" t="e">
        <f>O223+(E222*NDDaysInYEar/12)</f>
        <v>#N/A</v>
      </c>
      <c r="Q223" s="932" t="e">
        <f>P223+(E222*NDDaysInYEar/12)</f>
        <v>#N/A</v>
      </c>
      <c r="R223" s="932" t="e">
        <f>Q223+(E222*NDDaysInYEar/12)</f>
        <v>#N/A</v>
      </c>
      <c r="S223" s="932" t="e">
        <f>R223+(E222*NDDaysInYEar/12)</f>
        <v>#N/A</v>
      </c>
    </row>
    <row r="224" spans="1:19" s="194" customFormat="1">
      <c r="A224" s="194" t="s">
        <v>710</v>
      </c>
      <c r="B224" s="194">
        <f>VLOOKUP(A224,NDasaC,3,0)</f>
        <v>1</v>
      </c>
      <c r="C224" s="925" t="e">
        <f>IF(MATCH(VLOOKUP(IF((A224="Aq"),VLOOKUP("AqLord",DivCharts,D206,0),IF((A224="Sc"),VLOOKUP("ScLord",DivCharts,D206,0),VLOOKUP(A224,RsInfo,9,0))),DivCharts,D206,0),RsTbl,0)=MATCH(VLOOKUP(IF((A224="Aq"),VLOOKUP("AqLord",DivCharts,D206,0),IF((A224="Sc"),VLOOKUP("ScLord",DivCharts,D206,0),VLOOKUP(A224,RsInfo,9,0))),PlanetData,8,0),RsTbl,0),1,IF(MATCH(VLOOKUP(IF((A224="Aq"),VLOOKUP("AqLord",DivCharts,D206,0),IF((A224="Sc"),VLOOKUP("ScLord",DivCharts,D206,0),VLOOKUP(A224,RsInfo,9,0))),DivCharts,D206,0),RsTbl,0)=MOD(MATCH(VLOOKUP(IF((A224="Aq"),VLOOKUP("AqLord",DivCharts,D206,0),IF((A224="Sc"),VLOOKUP("ScLord",DivCharts,D206,0),VLOOKUP(A224,RsInfo,9,0))),PlanetData,8,0),RsTbl,0)+6,12),-1,0))</f>
        <v>#N/A</v>
      </c>
      <c r="D224" s="925">
        <f>MOD((MATCH(VLOOKUP(IF((A224="Aq"),VLOOKUP("AqLord",DivCharts,D206,0),IF((A224="Sc"),VLOOKUP("ScLord",DivCharts,D206,0),VLOOKUP(A224,RsInfo,9,0))),DivCharts,D206,0),RsTbl,0)*B224)-(B224*MATCH(A224,RsTbl,0))+12,12)</f>
        <v>6</v>
      </c>
      <c r="E224" s="194" t="e">
        <f>IF(ISNA(MATCH((D224+C224),,0)),(D224+C224),12)</f>
        <v>#N/A</v>
      </c>
      <c r="F224" s="932" t="e">
        <f>G222</f>
        <v>#N/A</v>
      </c>
      <c r="G224" s="932" t="e">
        <f>F224+E224*NDDaysInYEar</f>
        <v>#N/A</v>
      </c>
      <c r="H224" s="919" t="s">
        <v>703</v>
      </c>
      <c r="I224" s="194" t="str">
        <f>INDEX(SignSym,MOD(B224+MATCH(H224,SignSym,0)-1,12)+1)</f>
        <v>Le</v>
      </c>
      <c r="J224" s="194" t="str">
        <f>INDEX(SignSym,MOD(B224+MATCH(I224,SignSym,0)-1,12)+1)</f>
        <v>Vi</v>
      </c>
      <c r="K224" s="194" t="str">
        <f>INDEX(SignSym,MOD(B224+MATCH(J224,SignSym,0)-1,12)+1)</f>
        <v>Li</v>
      </c>
      <c r="L224" s="194" t="str">
        <f>INDEX(SignSym,MOD(B224+MATCH(K224,SignSym,0)-1,12)+1)</f>
        <v>Sc</v>
      </c>
      <c r="M224" s="194" t="str">
        <f>INDEX(SignSym,MOD(B224+MATCH(L224,SignSym,0)-1,12)+1)</f>
        <v>Sg</v>
      </c>
      <c r="N224" s="194" t="str">
        <f>INDEX(SignSym,MOD(B224+MATCH(M224,SignSym,0)-1,12)+1)</f>
        <v>Cp</v>
      </c>
      <c r="O224" s="194" t="str">
        <f>INDEX(SignSym,MOD(B224+MATCH(N224,SignSym,0)-1,12)+1)</f>
        <v>Aq</v>
      </c>
      <c r="P224" s="194" t="str">
        <f>INDEX(SignSym,MOD(B224+MATCH(O224,SignSym,0)-1,12)+1)</f>
        <v>Pi</v>
      </c>
      <c r="Q224" s="194" t="str">
        <f>INDEX(SignSym,MOD(B224+MATCH(P224,SignSym,0)-1,12)+1)</f>
        <v>Ar</v>
      </c>
      <c r="R224" s="194" t="str">
        <f>INDEX(SignSym,MOD(B224+MATCH(Q224,SignSym,0)-1,12)+1)</f>
        <v>Ta</v>
      </c>
      <c r="S224" s="194" t="str">
        <f>INDEX(SignSym,MOD(B224+MATCH(R224,SignSym,0)-1,12)+1)</f>
        <v>Ge</v>
      </c>
    </row>
    <row r="225" spans="1:19" s="194" customFormat="1" hidden="1">
      <c r="C225" s="925"/>
      <c r="D225" s="925"/>
      <c r="F225" s="932"/>
      <c r="G225" s="932"/>
      <c r="H225" s="932" t="e">
        <f>F224</f>
        <v>#N/A</v>
      </c>
      <c r="I225" s="932" t="e">
        <f>H225+(E224*NDDaysInYEar/12)</f>
        <v>#N/A</v>
      </c>
      <c r="J225" s="932" t="e">
        <f>I225+(E224*NDDaysInYEar/12)</f>
        <v>#N/A</v>
      </c>
      <c r="K225" s="932" t="e">
        <f>J225+(E224*NDDaysInYEar/12)</f>
        <v>#N/A</v>
      </c>
      <c r="L225" s="932" t="e">
        <f>K225+(E224*NDDaysInYEar/12)</f>
        <v>#N/A</v>
      </c>
      <c r="M225" s="932" t="e">
        <f>L225+(E224*NDDaysInYEar/12)</f>
        <v>#N/A</v>
      </c>
      <c r="N225" s="932" t="e">
        <f>M225+(E224*NDDaysInYEar/12)</f>
        <v>#N/A</v>
      </c>
      <c r="O225" s="932" t="e">
        <f>N225+(E224*NDDaysInYEar/12)</f>
        <v>#N/A</v>
      </c>
      <c r="P225" s="932" t="e">
        <f>O225+(E224*NDDaysInYEar/12)</f>
        <v>#N/A</v>
      </c>
      <c r="Q225" s="932" t="e">
        <f>P225+(E224*NDDaysInYEar/12)</f>
        <v>#N/A</v>
      </c>
      <c r="R225" s="932" t="e">
        <f>Q225+(E224*NDDaysInYEar/12)</f>
        <v>#N/A</v>
      </c>
      <c r="S225" s="932" t="e">
        <f>R225+(E224*NDDaysInYEar/12)</f>
        <v>#N/A</v>
      </c>
    </row>
    <row r="226" spans="1:19" s="194" customFormat="1">
      <c r="A226" s="194" t="s">
        <v>709</v>
      </c>
      <c r="B226" s="194">
        <f>VLOOKUP(A226,NDasaC,3,0)</f>
        <v>1</v>
      </c>
      <c r="C226" s="925" t="e">
        <f>IF(MATCH(VLOOKUP(IF((A226="Aq"),VLOOKUP("AqLord",DivCharts,D206,0),IF((A226="Sc"),VLOOKUP("ScLord",DivCharts,D206,0),VLOOKUP(A226,RsInfo,9,0))),DivCharts,D206,0),RsTbl,0)=MATCH(VLOOKUP(IF((A226="Aq"),VLOOKUP("AqLord",DivCharts,D206,0),IF((A226="Sc"),VLOOKUP("ScLord",DivCharts,D206,0),VLOOKUP(A226,RsInfo,9,0))),PlanetData,8,0),RsTbl,0),1,IF(MATCH(VLOOKUP(IF((A226="Aq"),VLOOKUP("AqLord",DivCharts,D206,0),IF((A226="Sc"),VLOOKUP("ScLord",DivCharts,D206,0),VLOOKUP(A226,RsInfo,9,0))),DivCharts,D206,0),RsTbl,0)=MOD(MATCH(VLOOKUP(IF((A226="Aq"),VLOOKUP("AqLord",DivCharts,D206,0),IF((A226="Sc"),VLOOKUP("ScLord",DivCharts,D206,0),VLOOKUP(A226,RsInfo,9,0))),PlanetData,8,0),RsTbl,0)+6,12),-1,0))</f>
        <v>#N/A</v>
      </c>
      <c r="D226" s="925">
        <f>MOD((MATCH(VLOOKUP(IF((A226="Aq"),VLOOKUP("AqLord",DivCharts,D206,0),IF((A226="Sc"),VLOOKUP("ScLord",DivCharts,D206,0),VLOOKUP(A226,RsInfo,9,0))),DivCharts,D206,0),RsTbl,0)*B226)-(B226*MATCH(A226,RsTbl,0))+12,12)</f>
        <v>10</v>
      </c>
      <c r="E226" s="194" t="e">
        <f>IF(ISNA(MATCH((D226+C226),,0)),(D226+C226),12)</f>
        <v>#N/A</v>
      </c>
      <c r="F226" s="932" t="e">
        <f>G224</f>
        <v>#N/A</v>
      </c>
      <c r="G226" s="932" t="e">
        <f>F226+E226*NDDaysInYEar</f>
        <v>#N/A</v>
      </c>
      <c r="H226" s="919" t="str">
        <f>A226</f>
        <v>Sc</v>
      </c>
      <c r="I226" s="194" t="str">
        <f>INDEX(SignSym,MOD(B226+MATCH(H226,SignSym,0)-1,12)+1)</f>
        <v>Sg</v>
      </c>
      <c r="J226" s="194" t="str">
        <f>INDEX(SignSym,MOD(B226+MATCH(I226,SignSym,0)-1,12)+1)</f>
        <v>Cp</v>
      </c>
      <c r="K226" s="194" t="str">
        <f>INDEX(SignSym,MOD(B226+MATCH(J226,SignSym,0)-1,12)+1)</f>
        <v>Aq</v>
      </c>
      <c r="L226" s="194" t="str">
        <f>INDEX(SignSym,MOD(B226+MATCH(K226,SignSym,0)-1,12)+1)</f>
        <v>Pi</v>
      </c>
      <c r="M226" s="194" t="str">
        <f>INDEX(SignSym,MOD(B226+MATCH(L226,SignSym,0)-1,12)+1)</f>
        <v>Ar</v>
      </c>
      <c r="N226" s="194" t="str">
        <f>INDEX(SignSym,MOD(B226+MATCH(M226,SignSym,0)-1,12)+1)</f>
        <v>Ta</v>
      </c>
      <c r="O226" s="194" t="str">
        <f>INDEX(SignSym,MOD(B226+MATCH(N226,SignSym,0)-1,12)+1)</f>
        <v>Ge</v>
      </c>
      <c r="P226" s="194" t="str">
        <f>INDEX(SignSym,MOD(B226+MATCH(O226,SignSym,0)-1,12)+1)</f>
        <v>Cn</v>
      </c>
      <c r="Q226" s="194" t="str">
        <f>INDEX(SignSym,MOD(B226+MATCH(P226,SignSym,0)-1,12)+1)</f>
        <v>Le</v>
      </c>
      <c r="R226" s="194" t="str">
        <f>INDEX(SignSym,MOD(B226+MATCH(Q226,SignSym,0)-1,12)+1)</f>
        <v>Vi</v>
      </c>
      <c r="S226" s="194" t="str">
        <f>INDEX(SignSym,MOD(B226+MATCH(R226,SignSym,0)-1,12)+1)</f>
        <v>Li</v>
      </c>
    </row>
    <row r="227" spans="1:19" s="194" customFormat="1" ht="12.75" hidden="1" customHeight="1">
      <c r="C227" s="925"/>
      <c r="D227" s="925"/>
      <c r="F227" s="932"/>
      <c r="G227" s="932"/>
      <c r="H227" s="932" t="e">
        <f>F226</f>
        <v>#N/A</v>
      </c>
      <c r="I227" s="932" t="e">
        <f>H227+(E226*NDDaysInYEar/12)</f>
        <v>#N/A</v>
      </c>
      <c r="J227" s="932" t="e">
        <f>I227+(E226*NDDaysInYEar/12)</f>
        <v>#N/A</v>
      </c>
      <c r="K227" s="932" t="e">
        <f>J227+(E226*NDDaysInYEar/12)</f>
        <v>#N/A</v>
      </c>
      <c r="L227" s="932" t="e">
        <f>K227+(E226*NDDaysInYEar/12)</f>
        <v>#N/A</v>
      </c>
      <c r="M227" s="932" t="e">
        <f>L227+(E226*NDDaysInYEar/12)</f>
        <v>#N/A</v>
      </c>
      <c r="N227" s="932" t="e">
        <f>M227+(E226*NDDaysInYEar/12)</f>
        <v>#N/A</v>
      </c>
      <c r="O227" s="932" t="e">
        <f>N227+(E226*NDDaysInYEar/12)</f>
        <v>#N/A</v>
      </c>
      <c r="P227" s="932" t="e">
        <f>O227+(E226*NDDaysInYEar/12)</f>
        <v>#N/A</v>
      </c>
      <c r="Q227" s="932" t="e">
        <f>P227+(E226*NDDaysInYEar/12)</f>
        <v>#N/A</v>
      </c>
      <c r="R227" s="932" t="e">
        <f>Q227+(E226*NDDaysInYEar/12)</f>
        <v>#N/A</v>
      </c>
      <c r="S227" s="932" t="e">
        <f>R227+(E226*NDDaysInYEar/12)</f>
        <v>#N/A</v>
      </c>
    </row>
    <row r="228" spans="1:19" s="194" customFormat="1">
      <c r="A228" s="194" t="s">
        <v>708</v>
      </c>
      <c r="B228" s="194">
        <f>VLOOKUP(A228,NDasaC,3,0)</f>
        <v>1</v>
      </c>
      <c r="C228" s="925" t="e">
        <f>IF(MATCH(VLOOKUP(IF((A228="Aq"),VLOOKUP("AqLord",DivCharts,D206,0),IF((A228="Sc"),VLOOKUP("ScLord",DivCharts,D206,0),VLOOKUP(A228,RsInfo,9,0))),DivCharts,D206,0),RsTbl,0)=MATCH(VLOOKUP(IF((A228="Aq"),VLOOKUP("AqLord",DivCharts,D206,0),IF((A228="Sc"),VLOOKUP("ScLord",DivCharts,D206,0),VLOOKUP(A228,RsInfo,9,0))),PlanetData,8,0),RsTbl,0),1,IF(MATCH(VLOOKUP(IF((A228="Aq"),VLOOKUP("AqLord",DivCharts,D206,0),IF((A228="Sc"),VLOOKUP("ScLord",DivCharts,D206,0),VLOOKUP(A228,RsInfo,9,0))),DivCharts,D206,0),RsTbl,0)=MOD(MATCH(VLOOKUP(IF((A228="Aq"),VLOOKUP("AqLord",DivCharts,D206,0),IF((A228="Sc"),VLOOKUP("ScLord",DivCharts,D206,0),VLOOKUP(A228,RsInfo,9,0))),PlanetData,8,0),RsTbl,0)+6,12),-1,0))</f>
        <v>#N/A</v>
      </c>
      <c r="D228" s="925">
        <f>MOD((MATCH(VLOOKUP(IF((A228="Aq"),VLOOKUP("AqLord",DivCharts,D206,0),IF((A228="Sc"),VLOOKUP("ScLord",DivCharts,D206,0),VLOOKUP(A228,RsInfo,9,0))),DivCharts,D206,0),RsTbl,0)*B228)-(B228*MATCH(A228,RsTbl,0))+12,12)</f>
        <v>7</v>
      </c>
      <c r="E228" s="194" t="e">
        <f>IF(ISNA(MATCH((D228+C228),,0)),(D228+C228),12)</f>
        <v>#N/A</v>
      </c>
      <c r="F228" s="932" t="e">
        <f>G226</f>
        <v>#N/A</v>
      </c>
      <c r="G228" s="932" t="e">
        <f>F228+E228*NDDaysInYEar</f>
        <v>#N/A</v>
      </c>
      <c r="H228" s="919" t="str">
        <f>A228</f>
        <v>Sg</v>
      </c>
      <c r="I228" s="194" t="str">
        <f>INDEX(SignSym,MOD(B228+MATCH(H228,SignSym,0)-1,12)+1)</f>
        <v>Cp</v>
      </c>
      <c r="J228" s="194" t="str">
        <f>INDEX(SignSym,MOD(B228+MATCH(I228,SignSym,0)-1,12)+1)</f>
        <v>Aq</v>
      </c>
      <c r="K228" s="194" t="str">
        <f>INDEX(SignSym,MOD(B228+MATCH(J228,SignSym,0)-1,12)+1)</f>
        <v>Pi</v>
      </c>
      <c r="L228" s="194" t="str">
        <f>INDEX(SignSym,MOD(B228+MATCH(K228,SignSym,0)-1,12)+1)</f>
        <v>Ar</v>
      </c>
      <c r="M228" s="194" t="str">
        <f>INDEX(SignSym,MOD(B228+MATCH(L228,SignSym,0)-1,12)+1)</f>
        <v>Ta</v>
      </c>
      <c r="N228" s="194" t="str">
        <f>INDEX(SignSym,MOD(B228+MATCH(M228,SignSym,0)-1,12)+1)</f>
        <v>Ge</v>
      </c>
      <c r="O228" s="194" t="str">
        <f>INDEX(SignSym,MOD(B228+MATCH(N228,SignSym,0)-1,12)+1)</f>
        <v>Cn</v>
      </c>
      <c r="P228" s="194" t="str">
        <f>INDEX(SignSym,MOD(B228+MATCH(O228,SignSym,0)-1,12)+1)</f>
        <v>Le</v>
      </c>
      <c r="Q228" s="194" t="str">
        <f>INDEX(SignSym,MOD(B228+MATCH(P228,SignSym,0)-1,12)+1)</f>
        <v>Vi</v>
      </c>
      <c r="R228" s="194" t="str">
        <f>INDEX(SignSym,MOD(B228+MATCH(Q228,SignSym,0)-1,12)+1)</f>
        <v>Li</v>
      </c>
      <c r="S228" s="194" t="str">
        <f>INDEX(SignSym,MOD(B228+MATCH(R228,SignSym,0)-1,12)+1)</f>
        <v>Sc</v>
      </c>
    </row>
    <row r="229" spans="1:19" s="194" customFormat="1" ht="12.75" hidden="1" customHeight="1">
      <c r="C229" s="925"/>
      <c r="D229" s="925"/>
      <c r="F229" s="932"/>
      <c r="G229" s="932"/>
      <c r="H229" s="932" t="e">
        <f>F228</f>
        <v>#N/A</v>
      </c>
      <c r="I229" s="932" t="e">
        <f>H229+(E228*NDDaysInYEar/12)</f>
        <v>#N/A</v>
      </c>
      <c r="J229" s="932" t="e">
        <f>I229+(E228*NDDaysInYEar/12)</f>
        <v>#N/A</v>
      </c>
      <c r="K229" s="932" t="e">
        <f>J229+(E228*NDDaysInYEar/12)</f>
        <v>#N/A</v>
      </c>
      <c r="L229" s="932" t="e">
        <f>K229+(E228*NDDaysInYEar/12)</f>
        <v>#N/A</v>
      </c>
      <c r="M229" s="932" t="e">
        <f>L229+(E228*NDDaysInYEar/12)</f>
        <v>#N/A</v>
      </c>
      <c r="N229" s="932" t="e">
        <f>M229+(E228*NDDaysInYEar/12)</f>
        <v>#N/A</v>
      </c>
      <c r="O229" s="932" t="e">
        <f>N229+(E228*NDDaysInYEar/12)</f>
        <v>#N/A</v>
      </c>
      <c r="P229" s="932" t="e">
        <f>O229+(E228*NDDaysInYEar/12)</f>
        <v>#N/A</v>
      </c>
      <c r="Q229" s="932" t="e">
        <f>P229+(E228*NDDaysInYEar/12)</f>
        <v>#N/A</v>
      </c>
      <c r="R229" s="932" t="e">
        <f>Q229+(E228*NDDaysInYEar/12)</f>
        <v>#N/A</v>
      </c>
      <c r="S229" s="932" t="e">
        <f>R229+(E228*NDDaysInYEar/12)</f>
        <v>#N/A</v>
      </c>
    </row>
    <row r="230" spans="1:19" s="194" customFormat="1">
      <c r="A230" s="194" t="s">
        <v>706</v>
      </c>
      <c r="B230" s="194">
        <f>VLOOKUP(A230,NDasaC,3,0)</f>
        <v>-1</v>
      </c>
      <c r="C230" s="925" t="e">
        <f>IF(MATCH(VLOOKUP(IF((A230="Aq"),VLOOKUP("AqLord",DivCharts,D206,0),IF((A230="Sc"),VLOOKUP("ScLord",DivCharts,D206,0),VLOOKUP(A230,RsInfo,9,0))),DivCharts,D206,0),RsTbl,0)=MATCH(VLOOKUP(IF((A230="Aq"),VLOOKUP("AqLord",DivCharts,D206,0),IF((A230="Sc"),VLOOKUP("ScLord",DivCharts,D206,0),VLOOKUP(A230,RsInfo,9,0))),PlanetData,8,0),RsTbl,0),1,IF(MATCH(VLOOKUP(IF((A230="Aq"),VLOOKUP("AqLord",DivCharts,D206,0),IF((A230="Sc"),VLOOKUP("ScLord",DivCharts,D206,0),VLOOKUP(A230,RsInfo,9,0))),DivCharts,D206,0),RsTbl,0)=MOD(MATCH(VLOOKUP(IF((A230="Aq"),VLOOKUP("AqLord",DivCharts,D206,0),IF((A230="Sc"),VLOOKUP("ScLord",DivCharts,D206,0),VLOOKUP(A230,RsInfo,9,0))),PlanetData,8,0),RsTbl,0)+6,12),-1,0))</f>
        <v>#N/A</v>
      </c>
      <c r="D230" s="925">
        <f>MOD((MATCH(VLOOKUP(IF((A230="Aq"),VLOOKUP("AqLord",DivCharts,D206,0),IF((A230="Sc"),VLOOKUP("ScLord",DivCharts,D206,0),VLOOKUP(A230,RsInfo,9,0))),DivCharts,D206,0),RsTbl,0)*B230)-(B230*MATCH(A230,RsTbl,0))+12,12)</f>
        <v>10</v>
      </c>
      <c r="E230" s="194" t="e">
        <f>IF(ISNA(MATCH((D230+C230),,0)),(D230+C230),12)</f>
        <v>#N/A</v>
      </c>
      <c r="F230" s="932" t="e">
        <f>G228</f>
        <v>#N/A</v>
      </c>
      <c r="G230" s="932" t="e">
        <f>F230+E230*NDDaysInYEar</f>
        <v>#N/A</v>
      </c>
      <c r="H230" s="919" t="str">
        <f>A230</f>
        <v>Cp</v>
      </c>
      <c r="I230" s="194" t="str">
        <f>INDEX(SignSym,MOD(B230+MATCH(H230,SignSym,0)-1,12)+1)</f>
        <v>Sg</v>
      </c>
      <c r="J230" s="194" t="str">
        <f>INDEX(SignSym,MOD(B230+MATCH(I230,SignSym,0)-1,12)+1)</f>
        <v>Sc</v>
      </c>
      <c r="K230" s="194" t="str">
        <f>INDEX(SignSym,MOD(B230+MATCH(J230,SignSym,0)-1,12)+1)</f>
        <v>Li</v>
      </c>
      <c r="L230" s="194" t="str">
        <f>INDEX(SignSym,MOD(B230+MATCH(K230,SignSym,0)-1,12)+1)</f>
        <v>Vi</v>
      </c>
      <c r="M230" s="194" t="str">
        <f>INDEX(SignSym,MOD(B230+MATCH(L230,SignSym,0)-1,12)+1)</f>
        <v>Le</v>
      </c>
      <c r="N230" s="194" t="str">
        <f>INDEX(SignSym,MOD(B230+MATCH(M230,SignSym,0)-1,12)+1)</f>
        <v>Cn</v>
      </c>
      <c r="O230" s="194" t="str">
        <f>INDEX(SignSym,MOD(B230+MATCH(N230,SignSym,0)-1,12)+1)</f>
        <v>Ge</v>
      </c>
      <c r="P230" s="194" t="str">
        <f>INDEX(SignSym,MOD(B230+MATCH(O230,SignSym,0)-1,12)+1)</f>
        <v>Ta</v>
      </c>
      <c r="Q230" s="194" t="str">
        <f>INDEX(SignSym,MOD(B230+MATCH(P230,SignSym,0)-1,12)+1)</f>
        <v>Ar</v>
      </c>
      <c r="R230" s="194" t="str">
        <f>INDEX(SignSym,MOD(B230+MATCH(Q230,SignSym,0)-1,12)+1)</f>
        <v>Pi</v>
      </c>
      <c r="S230" s="194" t="str">
        <f>INDEX(SignSym,MOD(B230+MATCH(R230,SignSym,0)-1,12)+1)</f>
        <v>Aq</v>
      </c>
    </row>
    <row r="231" spans="1:19" s="194" customFormat="1" ht="12.75" hidden="1" customHeight="1">
      <c r="C231" s="925"/>
      <c r="D231" s="925"/>
      <c r="F231" s="932"/>
      <c r="G231" s="932"/>
      <c r="H231" s="932" t="e">
        <f>F230</f>
        <v>#N/A</v>
      </c>
      <c r="I231" s="932" t="e">
        <f>H231+(E230*NDDaysInYEar/12)</f>
        <v>#N/A</v>
      </c>
      <c r="J231" s="932" t="e">
        <f>I231+(E230*NDDaysInYEar/12)</f>
        <v>#N/A</v>
      </c>
      <c r="K231" s="932" t="e">
        <f>J231+(E230*NDDaysInYEar/12)</f>
        <v>#N/A</v>
      </c>
      <c r="L231" s="932" t="e">
        <f>K231+(E230*NDDaysInYEar/12)</f>
        <v>#N/A</v>
      </c>
      <c r="M231" s="932" t="e">
        <f>L231+(E230*NDDaysInYEar/12)</f>
        <v>#N/A</v>
      </c>
      <c r="N231" s="932" t="e">
        <f>M231+(E230*NDDaysInYEar/12)</f>
        <v>#N/A</v>
      </c>
      <c r="O231" s="932" t="e">
        <f>N231+(E230*NDDaysInYEar/12)</f>
        <v>#N/A</v>
      </c>
      <c r="P231" s="932" t="e">
        <f>O231+(E230*NDDaysInYEar/12)</f>
        <v>#N/A</v>
      </c>
      <c r="Q231" s="932" t="e">
        <f>P231+(E230*NDDaysInYEar/12)</f>
        <v>#N/A</v>
      </c>
      <c r="R231" s="932" t="e">
        <f>Q231+(E230*NDDaysInYEar/12)</f>
        <v>#N/A</v>
      </c>
      <c r="S231" s="932" t="e">
        <f>R231+(E230*NDDaysInYEar/12)</f>
        <v>#N/A</v>
      </c>
    </row>
    <row r="232" spans="1:19" s="194" customFormat="1">
      <c r="A232" s="194" t="str">
        <f>VLOOKUP(C207,NDasaSeq,18,0)</f>
        <v>Aq</v>
      </c>
      <c r="B232" s="194">
        <f>VLOOKUP(A232,NDasaC,3,0)</f>
        <v>-1</v>
      </c>
      <c r="C232" s="925" t="e">
        <f>IF(MATCH(VLOOKUP(IF((A232="Aq"),VLOOKUP("AqLord",DivCharts,D206,0),IF((A232="Sc"),VLOOKUP("ScLord",DivCharts,D206,0),VLOOKUP(A232,RsInfo,9,0))),DivCharts,D206,0),RsTbl,0)=MATCH(VLOOKUP(IF((A232="Aq"),VLOOKUP("AqLord",DivCharts,D206,0),IF((A232="Sc"),VLOOKUP("ScLord",DivCharts,D206,0),VLOOKUP(A232,RsInfo,9,0))),PlanetData,8,0),RsTbl,0),1,IF(MATCH(VLOOKUP(IF((A232="Aq"),VLOOKUP("AqLord",DivCharts,D206,0),IF((A232="Sc"),VLOOKUP("ScLord",DivCharts,D206,0),VLOOKUP(A232,RsInfo,9,0))),DivCharts,D206,0),RsTbl,0)=MOD(MATCH(VLOOKUP(IF((A232="Aq"),VLOOKUP("AqLord",DivCharts,D206,0),IF((A232="Sc"),VLOOKUP("ScLord",DivCharts,D206,0),VLOOKUP(A232,RsInfo,9,0))),PlanetData,8,0),RsTbl,0)+6,12),-1,0))</f>
        <v>#N/A</v>
      </c>
      <c r="D232" s="925">
        <f>MOD((MATCH(VLOOKUP(IF((A232="Aq"),VLOOKUP("AqLord",DivCharts,D206,0),IF((A232="Sc"),VLOOKUP("ScLord",DivCharts,D206,0),VLOOKUP(A232,RsInfo,9,0))),DivCharts,D206,0),RsTbl,0)*B232)-(B232*MATCH(A232,RsTbl,0))+12,12)</f>
        <v>7</v>
      </c>
      <c r="E232" s="194" t="e">
        <f>IF(ISNA(MATCH((D232+C232),,0)),(D232+C232),12)</f>
        <v>#N/A</v>
      </c>
      <c r="F232" s="932" t="e">
        <f>G230</f>
        <v>#N/A</v>
      </c>
      <c r="G232" s="932" t="e">
        <f>F232+E232*NDDaysInYEar</f>
        <v>#N/A</v>
      </c>
      <c r="H232" s="919" t="str">
        <f>A232</f>
        <v>Aq</v>
      </c>
      <c r="I232" s="194" t="str">
        <f>INDEX(SignSym,MOD(B232+MATCH(H232,SignSym,0)-1,12)+1)</f>
        <v>Cp</v>
      </c>
      <c r="J232" s="194" t="str">
        <f>INDEX(SignSym,MOD(B232+MATCH(I232,SignSym,0)-1,12)+1)</f>
        <v>Sg</v>
      </c>
      <c r="K232" s="194" t="str">
        <f>INDEX(SignSym,MOD(B232+MATCH(J232,SignSym,0)-1,12)+1)</f>
        <v>Sc</v>
      </c>
      <c r="L232" s="194" t="str">
        <f>INDEX(SignSym,MOD(B232+MATCH(K232,SignSym,0)-1,12)+1)</f>
        <v>Li</v>
      </c>
      <c r="M232" s="194" t="str">
        <f>INDEX(SignSym,MOD(B232+MATCH(L232,SignSym,0)-1,12)+1)</f>
        <v>Vi</v>
      </c>
      <c r="N232" s="194" t="str">
        <f>INDEX(SignSym,MOD(B232+MATCH(M232,SignSym,0)-1,12)+1)</f>
        <v>Le</v>
      </c>
      <c r="O232" s="194" t="str">
        <f>INDEX(SignSym,MOD(B232+MATCH(N232,SignSym,0)-1,12)+1)</f>
        <v>Cn</v>
      </c>
      <c r="P232" s="194" t="str">
        <f>INDEX(SignSym,MOD(B232+MATCH(O232,SignSym,0)-1,12)+1)</f>
        <v>Ge</v>
      </c>
      <c r="Q232" s="194" t="str">
        <f>INDEX(SignSym,MOD(B232+MATCH(P232,SignSym,0)-1,12)+1)</f>
        <v>Ta</v>
      </c>
      <c r="R232" s="194" t="str">
        <f>INDEX(SignSym,MOD(B232+MATCH(Q232,SignSym,0)-1,12)+1)</f>
        <v>Ar</v>
      </c>
      <c r="S232" s="194" t="str">
        <f>INDEX(SignSym,MOD(B232+MATCH(R232,SignSym,0)-1,12)+1)</f>
        <v>Pi</v>
      </c>
    </row>
    <row r="233" spans="1:19" s="194" customFormat="1" hidden="1">
      <c r="D233" s="925"/>
      <c r="H233" s="932" t="e">
        <f>F232</f>
        <v>#N/A</v>
      </c>
      <c r="I233" s="932" t="e">
        <f>H233+(E232*NDDaysInYEar/12)</f>
        <v>#N/A</v>
      </c>
      <c r="J233" s="932" t="e">
        <f>I233+(E232*NDDaysInYEar/12)</f>
        <v>#N/A</v>
      </c>
      <c r="K233" s="932" t="e">
        <f>J233+(E232*NDDaysInYEar/12)</f>
        <v>#N/A</v>
      </c>
      <c r="L233" s="932" t="e">
        <f>K233+(E232*NDDaysInYEar/12)</f>
        <v>#N/A</v>
      </c>
      <c r="M233" s="932" t="e">
        <f>L233+(E232*NDDaysInYEar/12)</f>
        <v>#N/A</v>
      </c>
      <c r="N233" s="932" t="e">
        <f>M233+(E232*NDDaysInYEar/12)</f>
        <v>#N/A</v>
      </c>
      <c r="O233" s="932" t="e">
        <f>N233+(E232*NDDaysInYEar/12)</f>
        <v>#N/A</v>
      </c>
      <c r="P233" s="932" t="e">
        <f>O233+(E232*NDDaysInYEar/12)</f>
        <v>#N/A</v>
      </c>
      <c r="Q233" s="932" t="e">
        <f>P233+(E232*NDDaysInYEar/12)</f>
        <v>#N/A</v>
      </c>
      <c r="R233" s="932" t="e">
        <f>Q233+(E232*NDDaysInYEar/12)</f>
        <v>#N/A</v>
      </c>
      <c r="S233" s="932" t="e">
        <f>R233+(E232*NDDaysInYEar/12)</f>
        <v>#N/A</v>
      </c>
    </row>
    <row r="234" spans="1:19" s="194" customFormat="1">
      <c r="A234" s="931"/>
      <c r="B234" s="931"/>
      <c r="C234" s="931"/>
      <c r="D234" s="931"/>
      <c r="E234" s="931"/>
      <c r="F234" s="931"/>
      <c r="G234" s="931"/>
      <c r="H234" s="931"/>
      <c r="I234" s="931"/>
      <c r="J234" s="931"/>
      <c r="K234" s="931"/>
      <c r="L234" s="931"/>
      <c r="M234" s="931"/>
      <c r="N234" s="931"/>
      <c r="O234" s="931"/>
      <c r="P234" s="931"/>
      <c r="Q234" s="931"/>
      <c r="R234" s="931"/>
      <c r="S234" s="931"/>
    </row>
    <row r="235" spans="1:19" s="194" customFormat="1" hidden="1">
      <c r="H235" s="932"/>
      <c r="I235" s="932"/>
      <c r="J235" s="932"/>
      <c r="K235" s="932"/>
      <c r="L235" s="932"/>
      <c r="M235" s="932"/>
      <c r="N235" s="932"/>
      <c r="O235" s="932"/>
      <c r="P235" s="932"/>
      <c r="Q235" s="932"/>
      <c r="R235" s="932"/>
      <c r="S235" s="932"/>
    </row>
    <row r="236" spans="1:19" s="194" customFormat="1"/>
    <row r="240" spans="1:19">
      <c r="A240" s="913" t="s">
        <v>4200</v>
      </c>
      <c r="B240" s="914"/>
      <c r="C240" s="914"/>
      <c r="D240" s="914"/>
      <c r="E240" s="914"/>
      <c r="F240" s="914"/>
      <c r="G240" s="914"/>
      <c r="H240" s="914"/>
      <c r="I240" s="914"/>
      <c r="J240" s="914"/>
      <c r="K240" s="914"/>
      <c r="L240" s="915"/>
      <c r="M240" s="914"/>
      <c r="N240" s="914"/>
      <c r="O240" s="914"/>
      <c r="P240" s="914"/>
      <c r="Q240" s="914"/>
      <c r="R240" s="914"/>
      <c r="S240" s="914"/>
    </row>
    <row r="241" spans="1:19" s="194" customFormat="1">
      <c r="A241" s="1366" t="s">
        <v>4189</v>
      </c>
      <c r="B241" s="1366"/>
      <c r="C241" s="916">
        <v>16</v>
      </c>
      <c r="D241" s="917">
        <f>MATCH(C241,$18:$18,1)</f>
        <v>9</v>
      </c>
      <c r="I241" s="918"/>
      <c r="N241" s="918"/>
    </row>
    <row r="242" spans="1:19" s="194" customFormat="1">
      <c r="A242" s="1366" t="s">
        <v>4192</v>
      </c>
      <c r="B242" s="1366"/>
      <c r="C242" s="919" t="s">
        <v>1006</v>
      </c>
      <c r="D242" s="920"/>
      <c r="H242" s="918"/>
      <c r="I242" s="918"/>
      <c r="J242" s="918"/>
      <c r="P242" s="918"/>
    </row>
    <row r="243" spans="1:19" s="194" customFormat="1">
      <c r="C243" s="918"/>
      <c r="E243" s="918"/>
      <c r="H243" s="918"/>
      <c r="I243" s="918"/>
      <c r="J243" s="918"/>
    </row>
    <row r="244" spans="1:19" s="194" customFormat="1">
      <c r="A244" s="934" t="s">
        <v>4060</v>
      </c>
      <c r="B244" s="934" t="s">
        <v>807</v>
      </c>
      <c r="C244" s="934" t="s">
        <v>4194</v>
      </c>
      <c r="D244" s="934" t="s">
        <v>4195</v>
      </c>
      <c r="E244" s="934" t="s">
        <v>400</v>
      </c>
      <c r="F244" s="934" t="s">
        <v>730</v>
      </c>
      <c r="G244" s="934" t="s">
        <v>805</v>
      </c>
      <c r="H244" s="934" t="s">
        <v>4197</v>
      </c>
      <c r="I244" s="918"/>
      <c r="J244" s="918"/>
    </row>
    <row r="245" spans="1:19" s="194" customFormat="1">
      <c r="A245" s="194" t="str">
        <f>VLOOKUP(C242,NDasaSeq,7,0)</f>
        <v>Pi</v>
      </c>
      <c r="B245" s="194">
        <f>VLOOKUP(A245,NDasaC,3,0)</f>
        <v>-1</v>
      </c>
      <c r="C245" s="925" t="e">
        <f>IF(MATCH(VLOOKUP(IF((A245="Aq"),VLOOKUP("AqLord",DivCharts,D241,0),IF((A245="Sc"),VLOOKUP("ScLord",DivCharts,D241,0),VLOOKUP(A245,RsInfo,9,0))),DivCharts,D241,0),RsTbl,0)=MATCH(VLOOKUP(IF((A245="Aq"),VLOOKUP("AqLord",DivCharts,D241,0),IF((A245="Sc"),VLOOKUP("ScLord",DivCharts,D241,0),VLOOKUP(A245,RsInfo,9,0))),PlanetData,8,0),RsTbl,0),1,IF(MATCH(VLOOKUP(IF((A245="Aq"),VLOOKUP("AqLord",DivCharts,D241,0),IF((A245="Sc"),VLOOKUP("ScLord",DivCharts,D241,0),VLOOKUP(A245,RsInfo,9,0))),DivCharts,D241,0),RsTbl,0)=MOD(MATCH(VLOOKUP(IF((A245="Aq"),VLOOKUP("AqLord",DivCharts,D241,0),IF((A245="Sc"),VLOOKUP("ScLord",DivCharts,D241,0),VLOOKUP(A245,RsInfo,9,0))),PlanetData,8,0),RsTbl,0)+6,12),-1,0))</f>
        <v>#N/A</v>
      </c>
      <c r="D245" s="925">
        <f>MOD((MATCH(VLOOKUP(IF((A245="Aq"),VLOOKUP("AqLord",DivCharts,D241,0),IF((A245="Sc"),VLOOKUP("ScLord",DivCharts,D241,0),VLOOKUP(A245,RsInfo,9,0))),DivCharts,D241,0),RsTbl,0)*B245)-(B245*MATCH(A245,RsTbl,0))+12,12)</f>
        <v>6</v>
      </c>
      <c r="E245" s="194" t="e">
        <f>IF(ISNA(MATCH((D245+C245),,0)),(D245+C245),12)</f>
        <v>#N/A</v>
      </c>
      <c r="F245" s="932">
        <f>DoB</f>
        <v>26133.384143518517</v>
      </c>
      <c r="G245" s="932" t="e">
        <f>F245+E245*NDDaysInYEar</f>
        <v>#N/A</v>
      </c>
      <c r="H245" s="919" t="str">
        <f>A245</f>
        <v>Pi</v>
      </c>
      <c r="I245" s="194" t="str">
        <f>INDEX(SignSym,MOD(B245+MATCH(H245,SignSym,0)-1,12)+1)</f>
        <v>Aq</v>
      </c>
      <c r="J245" s="194" t="str">
        <f>INDEX(SignSym,MOD(B245+MATCH(I245,SignSym,0)-1,12)+1)</f>
        <v>Cp</v>
      </c>
      <c r="K245" s="194" t="str">
        <f>INDEX(SignSym,MOD(B245+MATCH(J245,SignSym,0)-1,12)+1)</f>
        <v>Sg</v>
      </c>
      <c r="L245" s="194" t="str">
        <f>INDEX(SignSym,MOD(B245+MATCH(K245,SignSym,0)-1,12)+1)</f>
        <v>Sc</v>
      </c>
      <c r="M245" s="194" t="str">
        <f>INDEX(SignSym,MOD(B245+MATCH(L245,SignSym,0)-1,12)+1)</f>
        <v>Li</v>
      </c>
      <c r="N245" s="194" t="str">
        <f>INDEX(SignSym,MOD(B245+MATCH(M245,SignSym,0)-1,12)+1)</f>
        <v>Vi</v>
      </c>
      <c r="O245" s="194" t="str">
        <f>INDEX(SignSym,MOD(B245+MATCH(N245,SignSym,0)-1,12)+1)</f>
        <v>Le</v>
      </c>
      <c r="P245" s="194" t="str">
        <f>INDEX(SignSym,MOD(B245+MATCH(O245,SignSym,0)-1,12)+1)</f>
        <v>Cn</v>
      </c>
      <c r="Q245" s="194" t="str">
        <f>INDEX(SignSym,MOD(B245+MATCH(P245,SignSym,0)-1,12)+1)</f>
        <v>Ge</v>
      </c>
      <c r="R245" s="194" t="str">
        <f>INDEX(SignSym,MOD(B245+MATCH(Q245,SignSym,0)-1,12)+1)</f>
        <v>Ta</v>
      </c>
      <c r="S245" s="194" t="str">
        <f>INDEX(SignSym,MOD(B245+MATCH(R245,SignSym,0)-1,12)+1)</f>
        <v>Ar</v>
      </c>
    </row>
    <row r="246" spans="1:19" s="194" customFormat="1" ht="12.75" hidden="1" customHeight="1">
      <c r="C246" s="925"/>
      <c r="D246" s="925"/>
      <c r="F246" s="932"/>
      <c r="G246" s="932"/>
      <c r="H246" s="932">
        <f>F245</f>
        <v>26133.384143518517</v>
      </c>
      <c r="I246" s="932" t="e">
        <f>H246+(E245*NDDaysInYEar/12)</f>
        <v>#N/A</v>
      </c>
      <c r="J246" s="932" t="e">
        <f>I246+(E245*NDDaysInYEar/12)</f>
        <v>#N/A</v>
      </c>
      <c r="K246" s="932" t="e">
        <f>J246+(E245*NDDaysInYEar/12)</f>
        <v>#N/A</v>
      </c>
      <c r="L246" s="932" t="e">
        <f>K246+(E245*NDDaysInYEar/12)</f>
        <v>#N/A</v>
      </c>
      <c r="M246" s="932" t="e">
        <f>L246+(E245*NDDaysInYEar/12)</f>
        <v>#N/A</v>
      </c>
      <c r="N246" s="932" t="e">
        <f>M246+(E245*NDDaysInYEar/12)</f>
        <v>#N/A</v>
      </c>
      <c r="O246" s="932" t="e">
        <f>N246+(E245*NDDaysInYEar/12)</f>
        <v>#N/A</v>
      </c>
      <c r="P246" s="932" t="e">
        <f>O246+(E245*NDDaysInYEar/12)</f>
        <v>#N/A</v>
      </c>
      <c r="Q246" s="932" t="e">
        <f>P246+(E245*NDDaysInYEar/12)</f>
        <v>#N/A</v>
      </c>
      <c r="R246" s="932" t="e">
        <f>Q246+(E245*NDDaysInYEar/12)</f>
        <v>#N/A</v>
      </c>
      <c r="S246" s="932" t="e">
        <f>R246+(E245*NDDaysInYEar/12)</f>
        <v>#N/A</v>
      </c>
    </row>
    <row r="247" spans="1:19" s="194" customFormat="1">
      <c r="A247" s="194" t="str">
        <f>VLOOKUP(C242,NDasaSeq,8,0)</f>
        <v>Cn</v>
      </c>
      <c r="B247" s="194">
        <f>VLOOKUP(A247,NDasaC,3,0)</f>
        <v>-1</v>
      </c>
      <c r="C247" s="925" t="e">
        <f>IF(MATCH(VLOOKUP(IF((A247="Aq"),VLOOKUP("AqLord",DivCharts,D241,0),IF((A247="Sc"),VLOOKUP("ScLord",DivCharts,D241,0),VLOOKUP(A247,RsInfo,9,0))),DivCharts,D241,0),RsTbl,0)=MATCH(VLOOKUP(IF((A247="Aq"),VLOOKUP("AqLord",DivCharts,D241,0),IF((A247="Sc"),VLOOKUP("ScLord",DivCharts,D241,0),VLOOKUP(A247,RsInfo,9,0))),PlanetData,8,0),RsTbl,0),1,IF(MATCH(VLOOKUP(IF((A247="Aq"),VLOOKUP("AqLord",DivCharts,D241,0),IF((A247="Sc"),VLOOKUP("ScLord",DivCharts,D241,0),VLOOKUP(A247,RsInfo,9,0))),DivCharts,D241,0),RsTbl,0)=MOD(MATCH(VLOOKUP(IF((A247="Aq"),VLOOKUP("AqLord",DivCharts,D241,0),IF((A247="Sc"),VLOOKUP("ScLord",DivCharts,D241,0),VLOOKUP(A247,RsInfo,9,0))),PlanetData,8,0),RsTbl,0)+6,12),-1,0))</f>
        <v>#N/A</v>
      </c>
      <c r="D247" s="925">
        <f>MOD((MATCH(VLOOKUP(IF((A247="Aq"),VLOOKUP("AqLord",DivCharts,D241,0),IF((A247="Sc"),VLOOKUP("ScLord",DivCharts,D241,0),VLOOKUP(A247,RsInfo,9,0))),DivCharts,D241,0),RsTbl,0)*B247)-(B247*MATCH(A247,RsTbl,0))+12,12)</f>
        <v>11</v>
      </c>
      <c r="E247" s="194" t="e">
        <f>IF(ISNA(MATCH((D247+C247),,0)),(D247+C247),12)</f>
        <v>#N/A</v>
      </c>
      <c r="F247" s="932" t="e">
        <f>G245</f>
        <v>#N/A</v>
      </c>
      <c r="G247" s="932" t="e">
        <f>F247+E247*NDDaysInYEar</f>
        <v>#N/A</v>
      </c>
      <c r="H247" s="919" t="str">
        <f>A247</f>
        <v>Cn</v>
      </c>
      <c r="I247" s="194" t="str">
        <f>INDEX(SignSym,MOD(B247+MATCH(H247,SignSym,0)-1,12)+1)</f>
        <v>Ge</v>
      </c>
      <c r="J247" s="194" t="str">
        <f>INDEX(SignSym,MOD(B247+MATCH(I247,SignSym,0)-1,12)+1)</f>
        <v>Ta</v>
      </c>
      <c r="K247" s="194" t="str">
        <f>INDEX(SignSym,MOD(B247+MATCH(J247,SignSym,0)-1,12)+1)</f>
        <v>Ar</v>
      </c>
      <c r="L247" s="194" t="str">
        <f>INDEX(SignSym,MOD(B247+MATCH(K247,SignSym,0)-1,12)+1)</f>
        <v>Pi</v>
      </c>
      <c r="M247" s="194" t="str">
        <f>INDEX(SignSym,MOD(B247+MATCH(L247,SignSym,0)-1,12)+1)</f>
        <v>Aq</v>
      </c>
      <c r="N247" s="194" t="str">
        <f>INDEX(SignSym,MOD(B247+MATCH(M247,SignSym,0)-1,12)+1)</f>
        <v>Cp</v>
      </c>
      <c r="O247" s="194" t="str">
        <f>INDEX(SignSym,MOD(B247+MATCH(N247,SignSym,0)-1,12)+1)</f>
        <v>Sg</v>
      </c>
      <c r="P247" s="194" t="str">
        <f>INDEX(SignSym,MOD(B247+MATCH(O247,SignSym,0)-1,12)+1)</f>
        <v>Sc</v>
      </c>
      <c r="Q247" s="194" t="str">
        <f>INDEX(SignSym,MOD(B247+MATCH(P247,SignSym,0)-1,12)+1)</f>
        <v>Li</v>
      </c>
      <c r="R247" s="194" t="str">
        <f>INDEX(SignSym,MOD(B247+MATCH(Q247,SignSym,0)-1,12)+1)</f>
        <v>Vi</v>
      </c>
      <c r="S247" s="194" t="str">
        <f>INDEX(SignSym,MOD(B247+MATCH(R247,SignSym,0)-1,12)+1)</f>
        <v>Le</v>
      </c>
    </row>
    <row r="248" spans="1:19" s="194" customFormat="1" ht="12.75" hidden="1" customHeight="1">
      <c r="C248" s="925"/>
      <c r="D248" s="925"/>
      <c r="F248" s="932"/>
      <c r="G248" s="932"/>
      <c r="H248" s="932" t="e">
        <f>F247</f>
        <v>#N/A</v>
      </c>
      <c r="I248" s="932" t="e">
        <f>H248+(E247*NDDaysInYEar/12)</f>
        <v>#N/A</v>
      </c>
      <c r="J248" s="932" t="e">
        <f>I248+(E247*NDDaysInYEar/12)</f>
        <v>#N/A</v>
      </c>
      <c r="K248" s="932" t="e">
        <f>J248+(E247*NDDaysInYEar/12)</f>
        <v>#N/A</v>
      </c>
      <c r="L248" s="932" t="e">
        <f>K248+(E247*NDDaysInYEar/12)</f>
        <v>#N/A</v>
      </c>
      <c r="M248" s="932" t="e">
        <f>L248+(E247*NDDaysInYEar/12)</f>
        <v>#N/A</v>
      </c>
      <c r="N248" s="932" t="e">
        <f>M248+(E247*NDDaysInYEar/12)</f>
        <v>#N/A</v>
      </c>
      <c r="O248" s="932" t="e">
        <f>N248+(E247*NDDaysInYEar/12)</f>
        <v>#N/A</v>
      </c>
      <c r="P248" s="932" t="e">
        <f>O248+(E247*NDDaysInYEar/12)</f>
        <v>#N/A</v>
      </c>
      <c r="Q248" s="932" t="e">
        <f>P248+(E247*NDDaysInYEar/12)</f>
        <v>#N/A</v>
      </c>
      <c r="R248" s="932" t="e">
        <f>Q248+(E247*NDDaysInYEar/12)</f>
        <v>#N/A</v>
      </c>
      <c r="S248" s="932" t="e">
        <f>R248+(E247*NDDaysInYEar/12)</f>
        <v>#N/A</v>
      </c>
    </row>
    <row r="249" spans="1:19" s="194" customFormat="1">
      <c r="A249" s="194" t="str">
        <f>VLOOKUP(C242,NDasaSeq,9,0)</f>
        <v>Sc</v>
      </c>
      <c r="B249" s="194">
        <f>VLOOKUP(A249,NDasaC,3,0)</f>
        <v>1</v>
      </c>
      <c r="C249" s="925" t="e">
        <f>IF(MATCH(VLOOKUP(IF((A249="Aq"),VLOOKUP("AqLord",DivCharts,D241,0),IF((A249="Sc"),VLOOKUP("ScLord",DivCharts,D241,0),VLOOKUP(A249,RsInfo,9,0))),DivCharts,D241,0),RsTbl,0)=MATCH(VLOOKUP(IF((A249="Aq"),VLOOKUP("AqLord",DivCharts,D241,0),IF((A249="Sc"),VLOOKUP("ScLord",DivCharts,D241,0),VLOOKUP(A249,RsInfo,9,0))),PlanetData,8,0),RsTbl,0),1,IF(MATCH(VLOOKUP(IF((A249="Aq"),VLOOKUP("AqLord",DivCharts,D241,0),IF((A249="Sc"),VLOOKUP("ScLord",DivCharts,D241,0),VLOOKUP(A249,RsInfo,9,0))),DivCharts,D241,0),RsTbl,0)=MOD(MATCH(VLOOKUP(IF((A249="Aq"),VLOOKUP("AqLord",DivCharts,D241,0),IF((A249="Sc"),VLOOKUP("ScLord",DivCharts,D241,0),VLOOKUP(A249,RsInfo,9,0))),PlanetData,8,0),RsTbl,0)+6,12),-1,0))</f>
        <v>#N/A</v>
      </c>
      <c r="D249" s="925">
        <f>MOD((MATCH(VLOOKUP(IF((A249="Aq"),VLOOKUP("AqLord",DivCharts,D241,0),IF((A249="Sc"),VLOOKUP("ScLord",DivCharts,D241,0),VLOOKUP(A249,RsInfo,9,0))),DivCharts,D241,0),RsTbl,0)*B249)-(B249*MATCH(A249,RsTbl,0))+12,12)</f>
        <v>7</v>
      </c>
      <c r="E249" s="194" t="e">
        <f>IF(ISNA(MATCH((D249+C249),,0)),(D249+C249),12)</f>
        <v>#N/A</v>
      </c>
      <c r="F249" s="932" t="e">
        <f>G247</f>
        <v>#N/A</v>
      </c>
      <c r="G249" s="932" t="e">
        <f>F249+E249*NDDaysInYEar</f>
        <v>#N/A</v>
      </c>
      <c r="H249" s="919" t="str">
        <f>A249</f>
        <v>Sc</v>
      </c>
      <c r="I249" s="194" t="str">
        <f>INDEX(SignSym,MOD(B249+MATCH(H249,SignSym,0)-1,12)+1)</f>
        <v>Sg</v>
      </c>
      <c r="J249" s="194" t="str">
        <f>INDEX(SignSym,MOD(B249+MATCH(I249,SignSym,0)-1,12)+1)</f>
        <v>Cp</v>
      </c>
      <c r="K249" s="194" t="str">
        <f>INDEX(SignSym,MOD(B249+MATCH(J249,SignSym,0)-1,12)+1)</f>
        <v>Aq</v>
      </c>
      <c r="L249" s="194" t="str">
        <f>INDEX(SignSym,MOD(B249+MATCH(K249,SignSym,0)-1,12)+1)</f>
        <v>Pi</v>
      </c>
      <c r="M249" s="194" t="str">
        <f>INDEX(SignSym,MOD(B249+MATCH(L249,SignSym,0)-1,12)+1)</f>
        <v>Ar</v>
      </c>
      <c r="N249" s="194" t="str">
        <f>INDEX(SignSym,MOD(B249+MATCH(M249,SignSym,0)-1,12)+1)</f>
        <v>Ta</v>
      </c>
      <c r="O249" s="194" t="str">
        <f>INDEX(SignSym,MOD(B249+MATCH(N249,SignSym,0)-1,12)+1)</f>
        <v>Ge</v>
      </c>
      <c r="P249" s="194" t="str">
        <f>INDEX(SignSym,MOD(B249+MATCH(O249,SignSym,0)-1,12)+1)</f>
        <v>Cn</v>
      </c>
      <c r="Q249" s="194" t="str">
        <f>INDEX(SignSym,MOD(B249+MATCH(P249,SignSym,0)-1,12)+1)</f>
        <v>Le</v>
      </c>
      <c r="R249" s="194" t="str">
        <f>INDEX(SignSym,MOD(B249+MATCH(Q249,SignSym,0)-1,12)+1)</f>
        <v>Vi</v>
      </c>
      <c r="S249" s="194" t="str">
        <f>INDEX(SignSym,MOD(B249+MATCH(R249,SignSym,0)-1,12)+1)</f>
        <v>Li</v>
      </c>
    </row>
    <row r="250" spans="1:19" s="194" customFormat="1" ht="12.75" hidden="1" customHeight="1">
      <c r="C250" s="925"/>
      <c r="D250" s="925"/>
      <c r="F250" s="932"/>
      <c r="G250" s="932"/>
      <c r="H250" s="932" t="e">
        <f>F249</f>
        <v>#N/A</v>
      </c>
      <c r="I250" s="932" t="e">
        <f>H250+(E249*NDDaysInYEar/12)</f>
        <v>#N/A</v>
      </c>
      <c r="J250" s="932" t="e">
        <f>I250+(E249*NDDaysInYEar/12)</f>
        <v>#N/A</v>
      </c>
      <c r="K250" s="932" t="e">
        <f>J250+(E249*NDDaysInYEar/12)</f>
        <v>#N/A</v>
      </c>
      <c r="L250" s="932" t="e">
        <f>K250+(E249*NDDaysInYEar/12)</f>
        <v>#N/A</v>
      </c>
      <c r="M250" s="932" t="e">
        <f>L250+(E249*NDDaysInYEar/12)</f>
        <v>#N/A</v>
      </c>
      <c r="N250" s="932" t="e">
        <f>M250+(E249*NDDaysInYEar/12)</f>
        <v>#N/A</v>
      </c>
      <c r="O250" s="932" t="e">
        <f>N250+(E249*NDDaysInYEar/12)</f>
        <v>#N/A</v>
      </c>
      <c r="P250" s="932" t="e">
        <f>O250+(E249*NDDaysInYEar/12)</f>
        <v>#N/A</v>
      </c>
      <c r="Q250" s="932" t="e">
        <f>P250+(E249*NDDaysInYEar/12)</f>
        <v>#N/A</v>
      </c>
      <c r="R250" s="932" t="e">
        <f>Q250+(E249*NDDaysInYEar/12)</f>
        <v>#N/A</v>
      </c>
      <c r="S250" s="932" t="e">
        <f>R250+(E249*NDDaysInYEar/12)</f>
        <v>#N/A</v>
      </c>
    </row>
    <row r="251" spans="1:19" s="194" customFormat="1">
      <c r="A251" s="194" t="str">
        <f>VLOOKUP(C242,NDasaSeq,10,0)</f>
        <v>Sg</v>
      </c>
      <c r="B251" s="194">
        <f>VLOOKUP(A251,NDasaC,3,0)</f>
        <v>1</v>
      </c>
      <c r="C251" s="925" t="e">
        <f>IF(MATCH(VLOOKUP(IF((A251="Aq"),VLOOKUP("AqLord",DivCharts,D241,0),IF((A251="Sc"),VLOOKUP("ScLord",DivCharts,D241,0),VLOOKUP(A251,RsInfo,9,0))),DivCharts,D241,0),RsTbl,0)=MATCH(VLOOKUP(IF((A251="Aq"),VLOOKUP("AqLord",DivCharts,D241,0),IF((A251="Sc"),VLOOKUP("ScLord",DivCharts,D241,0),VLOOKUP(A251,RsInfo,9,0))),PlanetData,8,0),RsTbl,0),1,IF(MATCH(VLOOKUP(IF((A251="Aq"),VLOOKUP("AqLord",DivCharts,D241,0),IF((A251="Sc"),VLOOKUP("ScLord",DivCharts,D241,0),VLOOKUP(A251,RsInfo,9,0))),DivCharts,D241,0),RsTbl,0)=MOD(MATCH(VLOOKUP(IF((A251="Aq"),VLOOKUP("AqLord",DivCharts,D241,0),IF((A251="Sc"),VLOOKUP("ScLord",DivCharts,D241,0),VLOOKUP(A251,RsInfo,9,0))),PlanetData,8,0),RsTbl,0)+6,12),-1,0))</f>
        <v>#N/A</v>
      </c>
      <c r="D251" s="925">
        <f>MOD((MATCH(VLOOKUP(IF((A251="Aq"),VLOOKUP("AqLord",DivCharts,D241,0),IF((A251="Sc"),VLOOKUP("ScLord",DivCharts,D241,0),VLOOKUP(A251,RsInfo,9,0))),DivCharts,D241,0),RsTbl,0)*B251)-(B251*MATCH(A251,RsTbl,0))+12,12)</f>
        <v>9</v>
      </c>
      <c r="E251" s="194" t="e">
        <f>IF(ISNA(MATCH((D251+C251),,0)),(D251+C251),12)</f>
        <v>#N/A</v>
      </c>
      <c r="F251" s="932" t="e">
        <f>G249</f>
        <v>#N/A</v>
      </c>
      <c r="G251" s="932" t="e">
        <f>F251+E251*NDDaysInYEar</f>
        <v>#N/A</v>
      </c>
      <c r="H251" s="919" t="str">
        <f>A251</f>
        <v>Sg</v>
      </c>
      <c r="I251" s="194" t="str">
        <f>INDEX(SignSym,MOD(B251+MATCH(H251,SignSym,0)-1,12)+1)</f>
        <v>Cp</v>
      </c>
      <c r="J251" s="194" t="str">
        <f>INDEX(SignSym,MOD(B251+MATCH(I251,SignSym,0)-1,12)+1)</f>
        <v>Aq</v>
      </c>
      <c r="K251" s="194" t="str">
        <f>INDEX(SignSym,MOD(B251+MATCH(J251,SignSym,0)-1,12)+1)</f>
        <v>Pi</v>
      </c>
      <c r="L251" s="194" t="str">
        <f>INDEX(SignSym,MOD(B251+MATCH(K251,SignSym,0)-1,12)+1)</f>
        <v>Ar</v>
      </c>
      <c r="M251" s="194" t="str">
        <f>INDEX(SignSym,MOD(B251+MATCH(L251,SignSym,0)-1,12)+1)</f>
        <v>Ta</v>
      </c>
      <c r="N251" s="194" t="str">
        <f>INDEX(SignSym,MOD(B251+MATCH(M251,SignSym,0)-1,12)+1)</f>
        <v>Ge</v>
      </c>
      <c r="O251" s="194" t="str">
        <f>INDEX(SignSym,MOD(B251+MATCH(N251,SignSym,0)-1,12)+1)</f>
        <v>Cn</v>
      </c>
      <c r="P251" s="194" t="str">
        <f>INDEX(SignSym,MOD(B251+MATCH(O251,SignSym,0)-1,12)+1)</f>
        <v>Le</v>
      </c>
      <c r="Q251" s="194" t="str">
        <f>INDEX(SignSym,MOD(B251+MATCH(P251,SignSym,0)-1,12)+1)</f>
        <v>Vi</v>
      </c>
      <c r="R251" s="194" t="str">
        <f>INDEX(SignSym,MOD(B251+MATCH(Q251,SignSym,0)-1,12)+1)</f>
        <v>Li</v>
      </c>
      <c r="S251" s="194" t="str">
        <f>INDEX(SignSym,MOD(B251+MATCH(R251,SignSym,0)-1,12)+1)</f>
        <v>Sc</v>
      </c>
    </row>
    <row r="252" spans="1:19" s="936" customFormat="1" ht="12.75" hidden="1" customHeight="1">
      <c r="C252" s="937"/>
      <c r="D252" s="937"/>
      <c r="H252" s="936" t="e">
        <f>F251</f>
        <v>#N/A</v>
      </c>
      <c r="I252" s="936" t="e">
        <f>H252+(E251*NDDaysInYEar/12)</f>
        <v>#N/A</v>
      </c>
      <c r="J252" s="936" t="e">
        <f>I252+(E251*NDDaysInYEar/12)</f>
        <v>#N/A</v>
      </c>
      <c r="K252" s="936" t="e">
        <f>J252+(E251*NDDaysInYEar/12)</f>
        <v>#N/A</v>
      </c>
      <c r="L252" s="936" t="e">
        <f>K252+(E251*NDDaysInYEar/12)</f>
        <v>#N/A</v>
      </c>
      <c r="M252" s="936" t="e">
        <f>L252+(E251*NDDaysInYEar/12)</f>
        <v>#N/A</v>
      </c>
      <c r="N252" s="936" t="e">
        <f>M252+(E251*NDDaysInYEar/12)</f>
        <v>#N/A</v>
      </c>
      <c r="O252" s="936" t="e">
        <f>N252+(E251*NDDaysInYEar/12)</f>
        <v>#N/A</v>
      </c>
      <c r="P252" s="936" t="e">
        <f>O252+(E251*NDDaysInYEar/12)</f>
        <v>#N/A</v>
      </c>
      <c r="Q252" s="936" t="e">
        <f>P252+(E251*NDDaysInYEar/12)</f>
        <v>#N/A</v>
      </c>
      <c r="R252" s="936" t="e">
        <f>Q252+(E251*NDDaysInYEar/12)</f>
        <v>#N/A</v>
      </c>
      <c r="S252" s="936" t="e">
        <f>R252+(E251*NDDaysInYEar/12)</f>
        <v>#N/A</v>
      </c>
    </row>
    <row r="253" spans="1:19" s="194" customFormat="1">
      <c r="A253" s="194" t="str">
        <f>VLOOKUP(C242,NDasaSeq,11,0)</f>
        <v>Ar</v>
      </c>
      <c r="B253" s="194">
        <f>VLOOKUP(A253,NDasaC,3,0)</f>
        <v>1</v>
      </c>
      <c r="C253" s="925" t="e">
        <f>IF(MATCH(VLOOKUP(IF((A253="Aq"),VLOOKUP("AqLord",DivCharts,D241,0),IF((A253="Sc"),VLOOKUP("ScLord",DivCharts,D241,0),VLOOKUP(A253,RsInfo,9,0))),DivCharts,D241,0),RsTbl,0)=MATCH(VLOOKUP(IF((A253="Aq"),VLOOKUP("AqLord",DivCharts,D241,0),IF((A253="Sc"),VLOOKUP("ScLord",DivCharts,D241,0),VLOOKUP(A253,RsInfo,9,0))),PlanetData,8,0),RsTbl,0),1,IF(MATCH(VLOOKUP(IF((A253="Aq"),VLOOKUP("AqLord",DivCharts,D241,0),IF((A253="Sc"),VLOOKUP("ScLord",DivCharts,D241,0),VLOOKUP(A253,RsInfo,9,0))),DivCharts,D241,0),RsTbl,0)=MOD(MATCH(VLOOKUP(IF((A253="Aq"),VLOOKUP("AqLord",DivCharts,D241,0),IF((A253="Sc"),VLOOKUP("ScLord",DivCharts,D241,0),VLOOKUP(A253,RsInfo,9,0))),PlanetData,8,0),RsTbl,0)+6,12),-1,0))</f>
        <v>#N/A</v>
      </c>
      <c r="D253" s="925">
        <f>MOD((MATCH(VLOOKUP(IF((A253="Aq"),VLOOKUP("AqLord",DivCharts,D241,0),IF((A253="Sc"),VLOOKUP("ScLord",DivCharts,D241,0),VLOOKUP(A253,RsInfo,9,0))),DivCharts,D241,0),RsTbl,0)*B253)-(B253*MATCH(A253,RsTbl,0))+12,12)</f>
        <v>2</v>
      </c>
      <c r="E253" s="194" t="e">
        <f>IF(ISNA(MATCH((D253+C253),,0)),(D253+C253),12)</f>
        <v>#N/A</v>
      </c>
      <c r="F253" s="932" t="e">
        <f>G251</f>
        <v>#N/A</v>
      </c>
      <c r="G253" s="932" t="e">
        <f>F253+E253*NDDaysInYEar</f>
        <v>#N/A</v>
      </c>
      <c r="H253" s="919" t="str">
        <f>A253</f>
        <v>Ar</v>
      </c>
      <c r="I253" s="194" t="str">
        <f>INDEX(SignSym,MOD(B253+MATCH(H253,SignSym,0)-1,12)+1)</f>
        <v>Ta</v>
      </c>
      <c r="J253" s="194" t="str">
        <f>INDEX(SignSym,MOD(B253+MATCH(I253,SignSym,0)-1,12)+1)</f>
        <v>Ge</v>
      </c>
      <c r="K253" s="194" t="str">
        <f>INDEX(SignSym,MOD(B253+MATCH(J253,SignSym,0)-1,12)+1)</f>
        <v>Cn</v>
      </c>
      <c r="L253" s="194" t="str">
        <f>INDEX(SignSym,MOD(B253+MATCH(K253,SignSym,0)-1,12)+1)</f>
        <v>Le</v>
      </c>
      <c r="M253" s="194" t="str">
        <f>INDEX(SignSym,MOD(B253+MATCH(L253,SignSym,0)-1,12)+1)</f>
        <v>Vi</v>
      </c>
      <c r="N253" s="194" t="str">
        <f>INDEX(SignSym,MOD(B253+MATCH(M253,SignSym,0)-1,12)+1)</f>
        <v>Li</v>
      </c>
      <c r="O253" s="194" t="str">
        <f>INDEX(SignSym,MOD(B253+MATCH(N253,SignSym,0)-1,12)+1)</f>
        <v>Sc</v>
      </c>
      <c r="P253" s="194" t="str">
        <f>INDEX(SignSym,MOD(B253+MATCH(O253,SignSym,0)-1,12)+1)</f>
        <v>Sg</v>
      </c>
      <c r="Q253" s="194" t="str">
        <f>INDEX(SignSym,MOD(B253+MATCH(P253,SignSym,0)-1,12)+1)</f>
        <v>Cp</v>
      </c>
      <c r="R253" s="194" t="str">
        <f>INDEX(SignSym,MOD(B253+MATCH(Q253,SignSym,0)-1,12)+1)</f>
        <v>Aq</v>
      </c>
      <c r="S253" s="194" t="str">
        <f>INDEX(SignSym,MOD(B253+MATCH(R253,SignSym,0)-1,12)+1)</f>
        <v>Pi</v>
      </c>
    </row>
    <row r="254" spans="1:19" s="194" customFormat="1" hidden="1">
      <c r="C254" s="925"/>
      <c r="D254" s="925"/>
      <c r="F254" s="932"/>
      <c r="G254" s="932"/>
      <c r="H254" s="932" t="e">
        <f>F253</f>
        <v>#N/A</v>
      </c>
      <c r="I254" s="932" t="e">
        <f>H254+(E253*NDDaysInYEar/12)</f>
        <v>#N/A</v>
      </c>
      <c r="J254" s="932" t="e">
        <f>I254+(E253*NDDaysInYEar/12)</f>
        <v>#N/A</v>
      </c>
      <c r="K254" s="932" t="e">
        <f>J254+(E253*NDDaysInYEar/12)</f>
        <v>#N/A</v>
      </c>
      <c r="L254" s="932" t="e">
        <f>K254+(E253*NDDaysInYEar/12)</f>
        <v>#N/A</v>
      </c>
      <c r="M254" s="932" t="e">
        <f>L254+(E253*NDDaysInYEar/12)</f>
        <v>#N/A</v>
      </c>
      <c r="N254" s="932" t="e">
        <f>M254+(E253*NDDaysInYEar/12)</f>
        <v>#N/A</v>
      </c>
      <c r="O254" s="932" t="e">
        <f>N254+(E253*NDDaysInYEar/12)</f>
        <v>#N/A</v>
      </c>
      <c r="P254" s="932" t="e">
        <f>O254+(E253*NDDaysInYEar/12)</f>
        <v>#N/A</v>
      </c>
      <c r="Q254" s="932" t="e">
        <f>P254+(E253*NDDaysInYEar/12)</f>
        <v>#N/A</v>
      </c>
      <c r="R254" s="932" t="e">
        <f>Q254+(E253*NDDaysInYEar/12)</f>
        <v>#N/A</v>
      </c>
      <c r="S254" s="932" t="e">
        <f>R254+(E253*NDDaysInYEar/12)</f>
        <v>#N/A</v>
      </c>
    </row>
    <row r="255" spans="1:19" s="194" customFormat="1">
      <c r="A255" s="194" t="str">
        <f>VLOOKUP(C242,NDasaSeq,12,0)</f>
        <v>Le</v>
      </c>
      <c r="B255" s="194">
        <v>1</v>
      </c>
      <c r="C255" s="925" t="e">
        <f>IF(MATCH(VLOOKUP(IF((A255="Aq"),VLOOKUP("AqLord",DivCharts,D241,0),IF((A255="Sc"),VLOOKUP("ScLord",DivCharts,D241,0),VLOOKUP(A255,RsInfo,9,0))),DivCharts,D241,0),RsTbl,0)=MATCH(VLOOKUP(IF((A255="Aq"),VLOOKUP("AqLord",DivCharts,D241,0),IF((A255="Sc"),VLOOKUP("ScLord",DivCharts,D241,0),VLOOKUP(A255,RsInfo,9,0))),PlanetData,8,0),RsTbl,0),1,IF(MATCH(VLOOKUP(IF((A255="Aq"),VLOOKUP("AqLord",DivCharts,D241,0),IF((A255="Sc"),VLOOKUP("ScLord",DivCharts,D241,0),VLOOKUP(A255,RsInfo,9,0))),DivCharts,D241,0),RsTbl,0)=MOD(MATCH(VLOOKUP(IF((A255="Aq"),VLOOKUP("AqLord",DivCharts,D241,0),IF((A255="Sc"),VLOOKUP("ScLord",DivCharts,D241,0),VLOOKUP(A255,RsInfo,9,0))),PlanetData,8,0),RsTbl,0)+6,12),-1,0))</f>
        <v>#N/A</v>
      </c>
      <c r="D255" s="925">
        <f>MOD((MATCH(VLOOKUP(IF((A255="Aq"),VLOOKUP("AqLord",DivCharts,D241,0),IF((A255="Sc"),VLOOKUP("ScLord",DivCharts,D241,0),VLOOKUP(A255,RsInfo,9,0))),DivCharts,D241,0),RsTbl,0)*B255)-(B255*MATCH(A255,RsTbl,0))+12,12)</f>
        <v>2</v>
      </c>
      <c r="E255" s="194" t="e">
        <f>IF(ISNA(MATCH((D255+C255),,0)),(D255+C255),12)</f>
        <v>#N/A</v>
      </c>
      <c r="F255" s="932" t="e">
        <f>G253</f>
        <v>#N/A</v>
      </c>
      <c r="G255" s="932" t="e">
        <f>F255+E255*NDDaysInYEar</f>
        <v>#N/A</v>
      </c>
      <c r="H255" s="919" t="s">
        <v>706</v>
      </c>
      <c r="I255" s="194" t="str">
        <f>INDEX(SignSym,MOD(B255+MATCH(H255,SignSym,0)-1,12)+1)</f>
        <v>Aq</v>
      </c>
      <c r="J255" s="194" t="str">
        <f>INDEX(SignSym,MOD(B255+MATCH(I255,SignSym,0)-1,12)+1)</f>
        <v>Pi</v>
      </c>
      <c r="K255" s="194" t="str">
        <f>INDEX(SignSym,MOD(B255+MATCH(J255,SignSym,0)-1,12)+1)</f>
        <v>Ar</v>
      </c>
      <c r="L255" s="194" t="str">
        <f>INDEX(SignSym,MOD(B255+MATCH(K255,SignSym,0)-1,12)+1)</f>
        <v>Ta</v>
      </c>
      <c r="M255" s="194" t="str">
        <f>INDEX(SignSym,MOD(B255+MATCH(L255,SignSym,0)-1,12)+1)</f>
        <v>Ge</v>
      </c>
      <c r="N255" s="194" t="str">
        <f>INDEX(SignSym,MOD(B255+MATCH(M255,SignSym,0)-1,12)+1)</f>
        <v>Cn</v>
      </c>
      <c r="O255" s="194" t="str">
        <f>INDEX(SignSym,MOD(B255+MATCH(N255,SignSym,0)-1,12)+1)</f>
        <v>Le</v>
      </c>
      <c r="P255" s="194" t="str">
        <f>INDEX(SignSym,MOD(B255+MATCH(O255,SignSym,0)-1,12)+1)</f>
        <v>Vi</v>
      </c>
      <c r="Q255" s="194" t="str">
        <f>INDEX(SignSym,MOD(B255+MATCH(P255,SignSym,0)-1,12)+1)</f>
        <v>Li</v>
      </c>
      <c r="R255" s="194" t="str">
        <f>INDEX(SignSym,MOD(B255+MATCH(Q255,SignSym,0)-1,12)+1)</f>
        <v>Sc</v>
      </c>
      <c r="S255" s="194" t="str">
        <f>INDEX(SignSym,MOD(B255+MATCH(R255,SignSym,0)-1,12)+1)</f>
        <v>Sg</v>
      </c>
    </row>
    <row r="256" spans="1:19" s="194" customFormat="1" hidden="1">
      <c r="C256" s="925"/>
      <c r="D256" s="925"/>
      <c r="F256" s="932"/>
      <c r="G256" s="932"/>
      <c r="H256" s="932" t="e">
        <f>F255</f>
        <v>#N/A</v>
      </c>
      <c r="I256" s="932" t="e">
        <f>H256+(E255*NDDaysInYEar/12)</f>
        <v>#N/A</v>
      </c>
      <c r="J256" s="932" t="e">
        <f>I256+(E255*NDDaysInYEar/12)</f>
        <v>#N/A</v>
      </c>
      <c r="K256" s="932" t="e">
        <f>J256+(E255*NDDaysInYEar/12)</f>
        <v>#N/A</v>
      </c>
      <c r="L256" s="932" t="e">
        <f>K256+(E255*NDDaysInYEar/12)</f>
        <v>#N/A</v>
      </c>
      <c r="M256" s="932" t="e">
        <f>L256+(E255*NDDaysInYEar/12)</f>
        <v>#N/A</v>
      </c>
      <c r="N256" s="932" t="e">
        <f>M256+(E255*NDDaysInYEar/12)</f>
        <v>#N/A</v>
      </c>
      <c r="O256" s="932" t="e">
        <f>N256+(E255*NDDaysInYEar/12)</f>
        <v>#N/A</v>
      </c>
      <c r="P256" s="932" t="e">
        <f>O256+(E255*NDDaysInYEar/12)</f>
        <v>#N/A</v>
      </c>
      <c r="Q256" s="932" t="e">
        <f>P256+(E255*NDDaysInYEar/12)</f>
        <v>#N/A</v>
      </c>
      <c r="R256" s="932" t="e">
        <f>Q256+(E255*NDDaysInYEar/12)</f>
        <v>#N/A</v>
      </c>
      <c r="S256" s="932" t="e">
        <f>R256+(E255*NDDaysInYEar/12)</f>
        <v>#N/A</v>
      </c>
    </row>
    <row r="257" spans="1:19" s="194" customFormat="1">
      <c r="A257" s="194" t="str">
        <f>VLOOKUP(C242,NDasaSeq,13,0)</f>
        <v>Vi</v>
      </c>
      <c r="B257" s="194">
        <f>VLOOKUP(A257,NDasaC,3,0)</f>
        <v>-1</v>
      </c>
      <c r="C257" s="925" t="e">
        <f>IF(MATCH(VLOOKUP(IF((A257="Aq"),VLOOKUP("AqLord",DivCharts,D241,0),IF((A257="Sc"),VLOOKUP("ScLord",DivCharts,D241,0),VLOOKUP(A257,RsInfo,9,0))),DivCharts,D241,0),RsTbl,0)=MATCH(VLOOKUP(IF((A257="Aq"),VLOOKUP("AqLord",DivCharts,D241,0),IF((A257="Sc"),VLOOKUP("ScLord",DivCharts,D241,0),VLOOKUP(A257,RsInfo,9,0))),PlanetData,8,0),RsTbl,0),1,IF(MATCH(VLOOKUP(IF((A257="Aq"),VLOOKUP("AqLord",DivCharts,D241,0),IF((A257="Sc"),VLOOKUP("ScLord",DivCharts,D241,0),VLOOKUP(A257,RsInfo,9,0))),DivCharts,D241,0),RsTbl,0)=MOD(MATCH(VLOOKUP(IF((A257="Aq"),VLOOKUP("AqLord",DivCharts,D241,0),IF((A257="Sc"),VLOOKUP("ScLord",DivCharts,D241,0),VLOOKUP(A257,RsInfo,9,0))),PlanetData,8,0),RsTbl,0)+6,12),-1,0))</f>
        <v>#N/A</v>
      </c>
      <c r="D257" s="925">
        <f>MOD((MATCH(VLOOKUP(IF((A257="Aq"),VLOOKUP("AqLord",DivCharts,D241,0),IF((A257="Sc"),VLOOKUP("ScLord",DivCharts,D241,0),VLOOKUP(A257,RsInfo,9,0))),DivCharts,D241,0),RsTbl,0)*B257)-(B257*MATCH(A257,RsTbl,0))+12,12)</f>
        <v>3</v>
      </c>
      <c r="E257" s="194" t="e">
        <f>IF(ISNA(MATCH((D257+C257),,0)),(D257+C257),12)</f>
        <v>#N/A</v>
      </c>
      <c r="F257" s="932" t="e">
        <f>G255</f>
        <v>#N/A</v>
      </c>
      <c r="G257" s="932" t="e">
        <f>F257+E257*NDDaysInYEar</f>
        <v>#N/A</v>
      </c>
      <c r="H257" s="919" t="s">
        <v>699</v>
      </c>
      <c r="I257" s="194" t="str">
        <f>INDEX(SignSym,MOD(B257+MATCH(H257,SignSym,0)-1,12)+1)</f>
        <v>Cp</v>
      </c>
      <c r="J257" s="194" t="str">
        <f>INDEX(SignSym,MOD(B257+MATCH(I257,SignSym,0)-1,12)+1)</f>
        <v>Sg</v>
      </c>
      <c r="K257" s="194" t="str">
        <f>INDEX(SignSym,MOD(B257+MATCH(J257,SignSym,0)-1,12)+1)</f>
        <v>Sc</v>
      </c>
      <c r="L257" s="194" t="str">
        <f>INDEX(SignSym,MOD(B257+MATCH(K257,SignSym,0)-1,12)+1)</f>
        <v>Li</v>
      </c>
      <c r="M257" s="194" t="str">
        <f>INDEX(SignSym,MOD(B257+MATCH(L257,SignSym,0)-1,12)+1)</f>
        <v>Vi</v>
      </c>
      <c r="N257" s="194" t="str">
        <f>INDEX(SignSym,MOD(B257+MATCH(M257,SignSym,0)-1,12)+1)</f>
        <v>Le</v>
      </c>
      <c r="O257" s="194" t="str">
        <f>INDEX(SignSym,MOD(B257+MATCH(N257,SignSym,0)-1,12)+1)</f>
        <v>Cn</v>
      </c>
      <c r="P257" s="194" t="str">
        <f>INDEX(SignSym,MOD(B257+MATCH(O257,SignSym,0)-1,12)+1)</f>
        <v>Ge</v>
      </c>
      <c r="Q257" s="194" t="str">
        <f>INDEX(SignSym,MOD(B257+MATCH(P257,SignSym,0)-1,12)+1)</f>
        <v>Ta</v>
      </c>
      <c r="R257" s="194" t="str">
        <f>INDEX(SignSym,MOD(B257+MATCH(Q257,SignSym,0)-1,12)+1)</f>
        <v>Ar</v>
      </c>
      <c r="S257" s="194" t="str">
        <f>INDEX(SignSym,MOD(B257+MATCH(R257,SignSym,0)-1,12)+1)</f>
        <v>Pi</v>
      </c>
    </row>
    <row r="258" spans="1:19" s="194" customFormat="1" hidden="1">
      <c r="C258" s="925"/>
      <c r="D258" s="925"/>
      <c r="F258" s="932"/>
      <c r="G258" s="932"/>
      <c r="H258" s="932" t="e">
        <f>F257</f>
        <v>#N/A</v>
      </c>
      <c r="I258" s="932" t="e">
        <f>H258+(E257*NDDaysInYEar/12)</f>
        <v>#N/A</v>
      </c>
      <c r="J258" s="932" t="e">
        <f>I258+(E257*NDDaysInYEar/12)</f>
        <v>#N/A</v>
      </c>
      <c r="K258" s="932" t="e">
        <f>J258+(E257*NDDaysInYEar/12)</f>
        <v>#N/A</v>
      </c>
      <c r="L258" s="932" t="e">
        <f>K258+(E257*NDDaysInYEar/12)</f>
        <v>#N/A</v>
      </c>
      <c r="M258" s="932" t="e">
        <f>L258+(E257*NDDaysInYEar/12)</f>
        <v>#N/A</v>
      </c>
      <c r="N258" s="932" t="e">
        <f>M258+(E257*NDDaysInYEar/12)</f>
        <v>#N/A</v>
      </c>
      <c r="O258" s="932" t="e">
        <f>N258+(E257*NDDaysInYEar/12)</f>
        <v>#N/A</v>
      </c>
      <c r="P258" s="932" t="e">
        <f>O258+(E257*NDDaysInYEar/12)</f>
        <v>#N/A</v>
      </c>
      <c r="Q258" s="932" t="e">
        <f>P258+(E257*NDDaysInYEar/12)</f>
        <v>#N/A</v>
      </c>
      <c r="R258" s="932" t="e">
        <f>Q258+(E257*NDDaysInYEar/12)</f>
        <v>#N/A</v>
      </c>
      <c r="S258" s="932" t="e">
        <f>R258+(E257*NDDaysInYEar/12)</f>
        <v>#N/A</v>
      </c>
    </row>
    <row r="259" spans="1:19" s="194" customFormat="1">
      <c r="A259" s="194" t="str">
        <f>VLOOKUP(C242,NDasaSeq,14,0)</f>
        <v>Cp</v>
      </c>
      <c r="B259" s="194">
        <f>VLOOKUP(A259,NDasaC,3,0)</f>
        <v>-1</v>
      </c>
      <c r="C259" s="925" t="e">
        <f>IF(MATCH(VLOOKUP(IF((A259="Aq"),VLOOKUP("AqLord",DivCharts,D241,0),IF((A259="Sc"),VLOOKUP("ScLord",DivCharts,D241,0),VLOOKUP(A259,RsInfo,9,0))),DivCharts,D241,0),RsTbl,0)=MATCH(VLOOKUP(IF((A259="Aq"),VLOOKUP("AqLord",DivCharts,D241,0),IF((A259="Sc"),VLOOKUP("ScLord",DivCharts,D241,0),VLOOKUP(A259,RsInfo,9,0))),PlanetData,8,0),RsTbl,0),1,IF(MATCH(VLOOKUP(IF((A259="Aq"),VLOOKUP("AqLord",DivCharts,D241,0),IF((A259="Sc"),VLOOKUP("ScLord",DivCharts,D241,0),VLOOKUP(A259,RsInfo,9,0))),DivCharts,D241,0),RsTbl,0)=MOD(MATCH(VLOOKUP(IF((A259="Aq"),VLOOKUP("AqLord",DivCharts,D241,0),IF((A259="Sc"),VLOOKUP("ScLord",DivCharts,D241,0),VLOOKUP(A259,RsInfo,9,0))),PlanetData,8,0),RsTbl,0)+6,12),-1,0))</f>
        <v>#N/A</v>
      </c>
      <c r="D259" s="925">
        <f>MOD((MATCH(VLOOKUP(IF((A259="Aq"),VLOOKUP("AqLord",DivCharts,D241,0),IF((A259="Sc"),VLOOKUP("ScLord",DivCharts,D241,0),VLOOKUP(A259,RsInfo,9,0))),DivCharts,D241,0),RsTbl,0)*B259)-(B259*MATCH(A259,RsTbl,0))+12,12)</f>
        <v>0</v>
      </c>
      <c r="E259" s="194" t="e">
        <f>IF(ISNA(MATCH((D259+C259),,0)),(D259+C259),12)</f>
        <v>#N/A</v>
      </c>
      <c r="F259" s="932" t="e">
        <f>G257</f>
        <v>#N/A</v>
      </c>
      <c r="G259" s="932" t="e">
        <f>F259+E259*NDDaysInYEar</f>
        <v>#N/A</v>
      </c>
      <c r="H259" s="919" t="s">
        <v>693</v>
      </c>
      <c r="I259" s="194" t="str">
        <f>INDEX(SignSym,MOD(B259+MATCH(H259,SignSym,0)-1,12)+1)</f>
        <v>Ar</v>
      </c>
      <c r="J259" s="194" t="str">
        <f>INDEX(SignSym,MOD(B259+MATCH(I259,SignSym,0)-1,12)+1)</f>
        <v>Pi</v>
      </c>
      <c r="K259" s="194" t="str">
        <f>INDEX(SignSym,MOD(B259+MATCH(J259,SignSym,0)-1,12)+1)</f>
        <v>Aq</v>
      </c>
      <c r="L259" s="194" t="str">
        <f>INDEX(SignSym,MOD(B259+MATCH(K259,SignSym,0)-1,12)+1)</f>
        <v>Cp</v>
      </c>
      <c r="M259" s="194" t="str">
        <f>INDEX(SignSym,MOD(B259+MATCH(L259,SignSym,0)-1,12)+1)</f>
        <v>Sg</v>
      </c>
      <c r="N259" s="194" t="str">
        <f>INDEX(SignSym,MOD(B259+MATCH(M259,SignSym,0)-1,12)+1)</f>
        <v>Sc</v>
      </c>
      <c r="O259" s="194" t="str">
        <f>INDEX(SignSym,MOD(B259+MATCH(N259,SignSym,0)-1,12)+1)</f>
        <v>Li</v>
      </c>
      <c r="P259" s="194" t="str">
        <f>INDEX(SignSym,MOD(B259+MATCH(O259,SignSym,0)-1,12)+1)</f>
        <v>Vi</v>
      </c>
      <c r="Q259" s="194" t="str">
        <f>INDEX(SignSym,MOD(B259+MATCH(P259,SignSym,0)-1,12)+1)</f>
        <v>Le</v>
      </c>
      <c r="R259" s="194" t="str">
        <f>INDEX(SignSym,MOD(B259+MATCH(Q259,SignSym,0)-1,12)+1)</f>
        <v>Cn</v>
      </c>
      <c r="S259" s="194" t="str">
        <f>INDEX(SignSym,MOD(B259+MATCH(R259,SignSym,0)-1,12)+1)</f>
        <v>Ge</v>
      </c>
    </row>
    <row r="260" spans="1:19" s="194" customFormat="1" hidden="1">
      <c r="C260" s="925"/>
      <c r="D260" s="925"/>
      <c r="F260" s="932"/>
      <c r="G260" s="932"/>
      <c r="H260" s="932" t="e">
        <f>F259</f>
        <v>#N/A</v>
      </c>
      <c r="I260" s="932" t="e">
        <f>H260+(E259*NDDaysInYEar/12)</f>
        <v>#N/A</v>
      </c>
      <c r="J260" s="932" t="e">
        <f>I260+(E259*NDDaysInYEar/12)</f>
        <v>#N/A</v>
      </c>
      <c r="K260" s="932" t="e">
        <f>J260+(E259*NDDaysInYEar/12)</f>
        <v>#N/A</v>
      </c>
      <c r="L260" s="932" t="e">
        <f>K260+(E259*NDDaysInYEar/12)</f>
        <v>#N/A</v>
      </c>
      <c r="M260" s="932" t="e">
        <f>L260+(E259*NDDaysInYEar/12)</f>
        <v>#N/A</v>
      </c>
      <c r="N260" s="932" t="e">
        <f>M260+(E259*NDDaysInYEar/12)</f>
        <v>#N/A</v>
      </c>
      <c r="O260" s="932" t="e">
        <f>N260+(E259*NDDaysInYEar/12)</f>
        <v>#N/A</v>
      </c>
      <c r="P260" s="932" t="e">
        <f>O260+(E259*NDDaysInYEar/12)</f>
        <v>#N/A</v>
      </c>
      <c r="Q260" s="932" t="e">
        <f>P260+(E259*NDDaysInYEar/12)</f>
        <v>#N/A</v>
      </c>
      <c r="R260" s="932" t="e">
        <f>Q260+(E259*NDDaysInYEar/12)</f>
        <v>#N/A</v>
      </c>
      <c r="S260" s="932" t="e">
        <f>R260+(E259*NDDaysInYEar/12)</f>
        <v>#N/A</v>
      </c>
    </row>
    <row r="261" spans="1:19" s="194" customFormat="1">
      <c r="A261" s="194" t="str">
        <f>VLOOKUP(C242,NDasaSeq,15,0)</f>
        <v>Ta</v>
      </c>
      <c r="B261" s="194">
        <f>VLOOKUP(A261,NDasaC,3,0)</f>
        <v>1</v>
      </c>
      <c r="C261" s="925" t="e">
        <f>IF(MATCH(VLOOKUP(IF((A261="Aq"),VLOOKUP("AqLord",DivCharts,D241,0),IF((A261="Sc"),VLOOKUP("ScLord",DivCharts,D241,0),VLOOKUP(A261,RsInfo,9,0))),DivCharts,D241,0),RsTbl,0)=MATCH(VLOOKUP(IF((A261="Aq"),VLOOKUP("AqLord",DivCharts,D241,0),IF((A261="Sc"),VLOOKUP("ScLord",DivCharts,D241,0),VLOOKUP(A261,RsInfo,9,0))),PlanetData,8,0),RsTbl,0),1,IF(MATCH(VLOOKUP(IF((A261="Aq"),VLOOKUP("AqLord",DivCharts,D241,0),IF((A261="Sc"),VLOOKUP("ScLord",DivCharts,D241,0),VLOOKUP(A261,RsInfo,9,0))),DivCharts,D241,0),RsTbl,0)=MOD(MATCH(VLOOKUP(IF((A261="Aq"),VLOOKUP("AqLord",DivCharts,D241,0),IF((A261="Sc"),VLOOKUP("ScLord",DivCharts,D241,0),VLOOKUP(A261,RsInfo,9,0))),PlanetData,8,0),RsTbl,0)+6,12),-1,0))</f>
        <v>#N/A</v>
      </c>
      <c r="D261" s="925">
        <f>MOD((MATCH(VLOOKUP(IF((A261="Aq"),VLOOKUP("AqLord",DivCharts,D241,0),IF((A261="Sc"),VLOOKUP("ScLord",DivCharts,D241,0),VLOOKUP(A261,RsInfo,9,0))),DivCharts,D241,0),RsTbl,0)*B261)-(B261*MATCH(A261,RsTbl,0))+12,12)</f>
        <v>6</v>
      </c>
      <c r="E261" s="194" t="e">
        <f>IF(ISNA(MATCH((D261+C261),,0)),(D261+C261),12)</f>
        <v>#N/A</v>
      </c>
      <c r="F261" s="932" t="e">
        <f>G259</f>
        <v>#N/A</v>
      </c>
      <c r="G261" s="932" t="e">
        <f>F261+E261*NDDaysInYEar</f>
        <v>#N/A</v>
      </c>
      <c r="H261" s="919" t="str">
        <f>A261</f>
        <v>Ta</v>
      </c>
      <c r="I261" s="194" t="str">
        <f>INDEX(SignSym,MOD(B261+MATCH(H261,SignSym,0)-1,12)+1)</f>
        <v>Ge</v>
      </c>
      <c r="J261" s="194" t="str">
        <f>INDEX(SignSym,MOD(B261+MATCH(I261,SignSym,0)-1,12)+1)</f>
        <v>Cn</v>
      </c>
      <c r="K261" s="194" t="str">
        <f>INDEX(SignSym,MOD(B261+MATCH(J261,SignSym,0)-1,12)+1)</f>
        <v>Le</v>
      </c>
      <c r="L261" s="194" t="str">
        <f>INDEX(SignSym,MOD(B261+MATCH(K261,SignSym,0)-1,12)+1)</f>
        <v>Vi</v>
      </c>
      <c r="M261" s="194" t="str">
        <f>INDEX(SignSym,MOD(B261+MATCH(L261,SignSym,0)-1,12)+1)</f>
        <v>Li</v>
      </c>
      <c r="N261" s="194" t="str">
        <f>INDEX(SignSym,MOD(B261+MATCH(M261,SignSym,0)-1,12)+1)</f>
        <v>Sc</v>
      </c>
      <c r="O261" s="194" t="str">
        <f>INDEX(SignSym,MOD(B261+MATCH(N261,SignSym,0)-1,12)+1)</f>
        <v>Sg</v>
      </c>
      <c r="P261" s="194" t="str">
        <f>INDEX(SignSym,MOD(B261+MATCH(O261,SignSym,0)-1,12)+1)</f>
        <v>Cp</v>
      </c>
      <c r="Q261" s="194" t="str">
        <f>INDEX(SignSym,MOD(B261+MATCH(P261,SignSym,0)-1,12)+1)</f>
        <v>Aq</v>
      </c>
      <c r="R261" s="194" t="str">
        <f>INDEX(SignSym,MOD(B261+MATCH(Q261,SignSym,0)-1,12)+1)</f>
        <v>Pi</v>
      </c>
      <c r="S261" s="194" t="str">
        <f>INDEX(SignSym,MOD(B261+MATCH(R261,SignSym,0)-1,12)+1)</f>
        <v>Ar</v>
      </c>
    </row>
    <row r="262" spans="1:19" s="194" customFormat="1" ht="12.75" hidden="1" customHeight="1">
      <c r="C262" s="925"/>
      <c r="D262" s="925"/>
      <c r="F262" s="932"/>
      <c r="G262" s="932"/>
      <c r="H262" s="932" t="e">
        <f>F261</f>
        <v>#N/A</v>
      </c>
      <c r="I262" s="932" t="e">
        <f>H262+(E261*NDDaysInYEar/12)</f>
        <v>#N/A</v>
      </c>
      <c r="J262" s="932" t="e">
        <f>I262+(E261*NDDaysInYEar/12)</f>
        <v>#N/A</v>
      </c>
      <c r="K262" s="932" t="e">
        <f>J262+(E261*NDDaysInYEar/12)</f>
        <v>#N/A</v>
      </c>
      <c r="L262" s="932" t="e">
        <f>K262+(E261*NDDaysInYEar/12)</f>
        <v>#N/A</v>
      </c>
      <c r="M262" s="932" t="e">
        <f>L262+(E261*NDDaysInYEar/12)</f>
        <v>#N/A</v>
      </c>
      <c r="N262" s="932" t="e">
        <f>M262+(E261*NDDaysInYEar/12)</f>
        <v>#N/A</v>
      </c>
      <c r="O262" s="932" t="e">
        <f>N262+(E261*NDDaysInYEar/12)</f>
        <v>#N/A</v>
      </c>
      <c r="P262" s="932" t="e">
        <f>O262+(E261*NDDaysInYEar/12)</f>
        <v>#N/A</v>
      </c>
      <c r="Q262" s="932" t="e">
        <f>P262+(E261*NDDaysInYEar/12)</f>
        <v>#N/A</v>
      </c>
      <c r="R262" s="932" t="e">
        <f>Q262+(E261*NDDaysInYEar/12)</f>
        <v>#N/A</v>
      </c>
      <c r="S262" s="932" t="e">
        <f>R262+(E261*NDDaysInYEar/12)</f>
        <v>#N/A</v>
      </c>
    </row>
    <row r="263" spans="1:19" s="194" customFormat="1">
      <c r="A263" s="194" t="str">
        <f>VLOOKUP(C242,NDasaSeq,16,0)</f>
        <v>Ge</v>
      </c>
      <c r="B263" s="194">
        <f>VLOOKUP(A263,NDasaC,3,0)</f>
        <v>1</v>
      </c>
      <c r="C263" s="925" t="e">
        <f>IF(MATCH(VLOOKUP(IF((A263="Aq"),VLOOKUP("AqLord",DivCharts,D241,0),IF((A263="Sc"),VLOOKUP("ScLord",DivCharts,D241,0),VLOOKUP(A263,RsInfo,9,0))),DivCharts,D241,0),RsTbl,0)=MATCH(VLOOKUP(IF((A263="Aq"),VLOOKUP("AqLord",DivCharts,D241,0),IF((A263="Sc"),VLOOKUP("ScLord",DivCharts,D241,0),VLOOKUP(A263,RsInfo,9,0))),PlanetData,8,0),RsTbl,0),1,IF(MATCH(VLOOKUP(IF((A263="Aq"),VLOOKUP("AqLord",DivCharts,D241,0),IF((A263="Sc"),VLOOKUP("ScLord",DivCharts,D241,0),VLOOKUP(A263,RsInfo,9,0))),DivCharts,D241,0),RsTbl,0)=MOD(MATCH(VLOOKUP(IF((A263="Aq"),VLOOKUP("AqLord",DivCharts,D241,0),IF((A263="Sc"),VLOOKUP("ScLord",DivCharts,D241,0),VLOOKUP(A263,RsInfo,9,0))),PlanetData,8,0),RsTbl,0)+6,12),-1,0))</f>
        <v>#N/A</v>
      </c>
      <c r="D263" s="925">
        <f>MOD((MATCH(VLOOKUP(IF((A263="Aq"),VLOOKUP("AqLord",DivCharts,D241,0),IF((A263="Sc"),VLOOKUP("ScLord",DivCharts,D241,0),VLOOKUP(A263,RsInfo,9,0))),DivCharts,D241,0),RsTbl,0)*B263)-(B263*MATCH(A263,RsTbl,0))+12,12)</f>
        <v>0</v>
      </c>
      <c r="E263" s="194" t="e">
        <f>IF(ISNA(MATCH((D263+C263),,0)),(D263+C263),12)</f>
        <v>#N/A</v>
      </c>
      <c r="F263" s="932" t="e">
        <f>G261</f>
        <v>#N/A</v>
      </c>
      <c r="G263" s="932" t="e">
        <f>F263+E263*NDDaysInYEar</f>
        <v>#N/A</v>
      </c>
      <c r="H263" s="919" t="str">
        <f>A263</f>
        <v>Ge</v>
      </c>
      <c r="I263" s="194" t="str">
        <f>INDEX(SignSym,MOD(B263+MATCH(H263,SignSym,0)-1,12)+1)</f>
        <v>Cn</v>
      </c>
      <c r="J263" s="194" t="str">
        <f>INDEX(SignSym,MOD(B263+MATCH(I263,SignSym,0)-1,12)+1)</f>
        <v>Le</v>
      </c>
      <c r="K263" s="194" t="str">
        <f>INDEX(SignSym,MOD(B263+MATCH(J263,SignSym,0)-1,12)+1)</f>
        <v>Vi</v>
      </c>
      <c r="L263" s="194" t="str">
        <f>INDEX(SignSym,MOD(B263+MATCH(K263,SignSym,0)-1,12)+1)</f>
        <v>Li</v>
      </c>
      <c r="M263" s="194" t="str">
        <f>INDEX(SignSym,MOD(B263+MATCH(L263,SignSym,0)-1,12)+1)</f>
        <v>Sc</v>
      </c>
      <c r="N263" s="194" t="str">
        <f>INDEX(SignSym,MOD(B263+MATCH(M263,SignSym,0)-1,12)+1)</f>
        <v>Sg</v>
      </c>
      <c r="O263" s="194" t="str">
        <f>INDEX(SignSym,MOD(B263+MATCH(N263,SignSym,0)-1,12)+1)</f>
        <v>Cp</v>
      </c>
      <c r="P263" s="194" t="str">
        <f>INDEX(SignSym,MOD(B263+MATCH(O263,SignSym,0)-1,12)+1)</f>
        <v>Aq</v>
      </c>
      <c r="Q263" s="194" t="str">
        <f>INDEX(SignSym,MOD(B263+MATCH(P263,SignSym,0)-1,12)+1)</f>
        <v>Pi</v>
      </c>
      <c r="R263" s="194" t="str">
        <f>INDEX(SignSym,MOD(B263+MATCH(Q263,SignSym,0)-1,12)+1)</f>
        <v>Ar</v>
      </c>
      <c r="S263" s="194" t="str">
        <f>INDEX(SignSym,MOD(B263+MATCH(R263,SignSym,0)-1,12)+1)</f>
        <v>Ta</v>
      </c>
    </row>
    <row r="264" spans="1:19" s="194" customFormat="1" ht="12.75" hidden="1" customHeight="1">
      <c r="C264" s="925"/>
      <c r="D264" s="925"/>
      <c r="F264" s="932"/>
      <c r="G264" s="932"/>
      <c r="H264" s="932" t="e">
        <f>F263</f>
        <v>#N/A</v>
      </c>
      <c r="I264" s="932" t="e">
        <f>H264+(E263*NDDaysInYEar/12)</f>
        <v>#N/A</v>
      </c>
      <c r="J264" s="932" t="e">
        <f>I264+(E263*NDDaysInYEar/12)</f>
        <v>#N/A</v>
      </c>
      <c r="K264" s="932" t="e">
        <f>J264+(E263*NDDaysInYEar/12)</f>
        <v>#N/A</v>
      </c>
      <c r="L264" s="932" t="e">
        <f>K264+(E263*NDDaysInYEar/12)</f>
        <v>#N/A</v>
      </c>
      <c r="M264" s="932" t="e">
        <f>L264+(E263*NDDaysInYEar/12)</f>
        <v>#N/A</v>
      </c>
      <c r="N264" s="932" t="e">
        <f>M264+(E263*NDDaysInYEar/12)</f>
        <v>#N/A</v>
      </c>
      <c r="O264" s="932" t="e">
        <f>N264+(E263*NDDaysInYEar/12)</f>
        <v>#N/A</v>
      </c>
      <c r="P264" s="932" t="e">
        <f>O264+(E263*NDDaysInYEar/12)</f>
        <v>#N/A</v>
      </c>
      <c r="Q264" s="932" t="e">
        <f>P264+(E263*NDDaysInYEar/12)</f>
        <v>#N/A</v>
      </c>
      <c r="R264" s="932" t="e">
        <f>Q264+(E263*NDDaysInYEar/12)</f>
        <v>#N/A</v>
      </c>
      <c r="S264" s="932" t="e">
        <f>R264+(E263*NDDaysInYEar/12)</f>
        <v>#N/A</v>
      </c>
    </row>
    <row r="265" spans="1:19" s="194" customFormat="1">
      <c r="A265" s="194" t="str">
        <f>VLOOKUP(C242,NDasaSeq,17,0)</f>
        <v>Li</v>
      </c>
      <c r="B265" s="194">
        <f>VLOOKUP(A265,NDasaC,3,0)</f>
        <v>1</v>
      </c>
      <c r="C265" s="925" t="e">
        <f>IF(MATCH(VLOOKUP(IF((A265="Aq"),VLOOKUP("AqLord",DivCharts,D241,0),IF((A265="Sc"),VLOOKUP("ScLord",DivCharts,D241,0),VLOOKUP(A265,RsInfo,9,0))),DivCharts,D241,0),RsTbl,0)=MATCH(VLOOKUP(IF((A265="Aq"),VLOOKUP("AqLord",DivCharts,D241,0),IF((A265="Sc"),VLOOKUP("ScLord",DivCharts,D241,0),VLOOKUP(A265,RsInfo,9,0))),PlanetData,8,0),RsTbl,0),1,IF(MATCH(VLOOKUP(IF((A265="Aq"),VLOOKUP("AqLord",DivCharts,D241,0),IF((A265="Sc"),VLOOKUP("ScLord",DivCharts,D241,0),VLOOKUP(A265,RsInfo,9,0))),DivCharts,D241,0),RsTbl,0)=MOD(MATCH(VLOOKUP(IF((A265="Aq"),VLOOKUP("AqLord",DivCharts,D241,0),IF((A265="Sc"),VLOOKUP("ScLord",DivCharts,D241,0),VLOOKUP(A265,RsInfo,9,0))),PlanetData,8,0),RsTbl,0)+6,12),-1,0))</f>
        <v>#N/A</v>
      </c>
      <c r="D265" s="925">
        <f>MOD((MATCH(VLOOKUP(IF((A265="Aq"),VLOOKUP("AqLord",DivCharts,D241,0),IF((A265="Sc"),VLOOKUP("ScLord",DivCharts,D241,0),VLOOKUP(A265,RsInfo,9,0))),DivCharts,D241,0),RsTbl,0)*B265)-(B265*MATCH(A265,RsTbl,0))+12,12)</f>
        <v>1</v>
      </c>
      <c r="E265" s="194" t="e">
        <f>IF(ISNA(MATCH((D265+C265),,0)),(D265+C265),12)</f>
        <v>#N/A</v>
      </c>
      <c r="F265" s="932" t="e">
        <f>G263</f>
        <v>#N/A</v>
      </c>
      <c r="G265" s="932" t="e">
        <f>F265+E265*NDDaysInYEar</f>
        <v>#N/A</v>
      </c>
      <c r="H265" s="919" t="str">
        <f>A265</f>
        <v>Li</v>
      </c>
      <c r="I265" s="194" t="str">
        <f>INDEX(SignSym,MOD(B265+MATCH(H265,SignSym,0)-1,12)+1)</f>
        <v>Sc</v>
      </c>
      <c r="J265" s="194" t="str">
        <f>INDEX(SignSym,MOD(B265+MATCH(I265,SignSym,0)-1,12)+1)</f>
        <v>Sg</v>
      </c>
      <c r="K265" s="194" t="str">
        <f>INDEX(SignSym,MOD(B265+MATCH(J265,SignSym,0)-1,12)+1)</f>
        <v>Cp</v>
      </c>
      <c r="L265" s="194" t="str">
        <f>INDEX(SignSym,MOD(B265+MATCH(K265,SignSym,0)-1,12)+1)</f>
        <v>Aq</v>
      </c>
      <c r="M265" s="194" t="str">
        <f>INDEX(SignSym,MOD(B265+MATCH(L265,SignSym,0)-1,12)+1)</f>
        <v>Pi</v>
      </c>
      <c r="N265" s="194" t="str">
        <f>INDEX(SignSym,MOD(B265+MATCH(M265,SignSym,0)-1,12)+1)</f>
        <v>Ar</v>
      </c>
      <c r="O265" s="194" t="str">
        <f>INDEX(SignSym,MOD(B265+MATCH(N265,SignSym,0)-1,12)+1)</f>
        <v>Ta</v>
      </c>
      <c r="P265" s="194" t="str">
        <f>INDEX(SignSym,MOD(B265+MATCH(O265,SignSym,0)-1,12)+1)</f>
        <v>Ge</v>
      </c>
      <c r="Q265" s="194" t="str">
        <f>INDEX(SignSym,MOD(B265+MATCH(P265,SignSym,0)-1,12)+1)</f>
        <v>Cn</v>
      </c>
      <c r="R265" s="194" t="str">
        <f>INDEX(SignSym,MOD(B265+MATCH(Q265,SignSym,0)-1,12)+1)</f>
        <v>Le</v>
      </c>
      <c r="S265" s="194" t="str">
        <f>INDEX(SignSym,MOD(B265+MATCH(R265,SignSym,0)-1,12)+1)</f>
        <v>Vi</v>
      </c>
    </row>
    <row r="266" spans="1:19" s="194" customFormat="1" ht="12.75" hidden="1" customHeight="1">
      <c r="C266" s="925"/>
      <c r="D266" s="925"/>
      <c r="F266" s="932"/>
      <c r="G266" s="932"/>
      <c r="H266" s="932" t="e">
        <f>F265</f>
        <v>#N/A</v>
      </c>
      <c r="I266" s="932" t="e">
        <f>H266+(E265*NDDaysInYEar/12)</f>
        <v>#N/A</v>
      </c>
      <c r="J266" s="932" t="e">
        <f>I266+(E265*NDDaysInYEar/12)</f>
        <v>#N/A</v>
      </c>
      <c r="K266" s="932" t="e">
        <f>J266+(E265*NDDaysInYEar/12)</f>
        <v>#N/A</v>
      </c>
      <c r="L266" s="932" t="e">
        <f>K266+(E265*NDDaysInYEar/12)</f>
        <v>#N/A</v>
      </c>
      <c r="M266" s="932" t="e">
        <f>L266+(E265*NDDaysInYEar/12)</f>
        <v>#N/A</v>
      </c>
      <c r="N266" s="932" t="e">
        <f>M266+(E265*NDDaysInYEar/12)</f>
        <v>#N/A</v>
      </c>
      <c r="O266" s="932" t="e">
        <f>N266+(E265*NDDaysInYEar/12)</f>
        <v>#N/A</v>
      </c>
      <c r="P266" s="932" t="e">
        <f>O266+(E265*NDDaysInYEar/12)</f>
        <v>#N/A</v>
      </c>
      <c r="Q266" s="932" t="e">
        <f>P266+(E265*NDDaysInYEar/12)</f>
        <v>#N/A</v>
      </c>
      <c r="R266" s="932" t="e">
        <f>Q266+(E265*NDDaysInYEar/12)</f>
        <v>#N/A</v>
      </c>
      <c r="S266" s="932" t="e">
        <f>R266+(E265*NDDaysInYEar/12)</f>
        <v>#N/A</v>
      </c>
    </row>
    <row r="267" spans="1:19" s="194" customFormat="1">
      <c r="A267" s="194" t="str">
        <f>VLOOKUP(C242,NDasaSeq,18,0)</f>
        <v>Aq</v>
      </c>
      <c r="B267" s="194">
        <f>VLOOKUP(A267,NDasaC,3,0)</f>
        <v>-1</v>
      </c>
      <c r="C267" s="925" t="e">
        <f>IF(MATCH(VLOOKUP(IF((A267="Aq"),VLOOKUP("AqLord",DivCharts,D241,0),IF((A267="Sc"),VLOOKUP("ScLord",DivCharts,D241,0),VLOOKUP(A267,RsInfo,9,0))),DivCharts,D241,0),RsTbl,0)=MATCH(VLOOKUP(IF((A267="Aq"),VLOOKUP("AqLord",DivCharts,D241,0),IF((A267="Sc"),VLOOKUP("ScLord",DivCharts,D241,0),VLOOKUP(A267,RsInfo,9,0))),PlanetData,8,0),RsTbl,0),1,IF(MATCH(VLOOKUP(IF((A267="Aq"),VLOOKUP("AqLord",DivCharts,D241,0),IF((A267="Sc"),VLOOKUP("ScLord",DivCharts,D241,0),VLOOKUP(A267,RsInfo,9,0))),DivCharts,D241,0),RsTbl,0)=MOD(MATCH(VLOOKUP(IF((A267="Aq"),VLOOKUP("AqLord",DivCharts,D241,0),IF((A267="Sc"),VLOOKUP("ScLord",DivCharts,D241,0),VLOOKUP(A267,RsInfo,9,0))),PlanetData,8,0),RsTbl,0)+6,12),-1,0))</f>
        <v>#N/A</v>
      </c>
      <c r="D267" s="925">
        <f>MOD((MATCH(VLOOKUP(IF((A267="Aq"),VLOOKUP("AqLord",DivCharts,D241,0),IF((A267="Sc"),VLOOKUP("ScLord",DivCharts,D241,0),VLOOKUP(A267,RsInfo,9,0))),DivCharts,D241,0),RsTbl,0)*B267)-(B267*MATCH(A267,RsTbl,0))+12,12)</f>
        <v>1</v>
      </c>
      <c r="E267" s="194" t="e">
        <f>IF(ISNA(MATCH((D267+C267),,0)),(D267+C267),12)</f>
        <v>#N/A</v>
      </c>
      <c r="F267" s="932" t="e">
        <f>G265</f>
        <v>#N/A</v>
      </c>
      <c r="G267" s="932" t="e">
        <f>F267+E267*NDDaysInYEar</f>
        <v>#N/A</v>
      </c>
      <c r="H267" s="919" t="str">
        <f>A267</f>
        <v>Aq</v>
      </c>
      <c r="I267" s="194" t="str">
        <f>INDEX(SignSym,MOD(B267+MATCH(H267,SignSym,0)-1,12)+1)</f>
        <v>Cp</v>
      </c>
      <c r="J267" s="194" t="str">
        <f>INDEX(SignSym,MOD(B267+MATCH(I267,SignSym,0)-1,12)+1)</f>
        <v>Sg</v>
      </c>
      <c r="K267" s="194" t="str">
        <f>INDEX(SignSym,MOD(B267+MATCH(J267,SignSym,0)-1,12)+1)</f>
        <v>Sc</v>
      </c>
      <c r="L267" s="194" t="str">
        <f>INDEX(SignSym,MOD(B267+MATCH(K267,SignSym,0)-1,12)+1)</f>
        <v>Li</v>
      </c>
      <c r="M267" s="194" t="str">
        <f>INDEX(SignSym,MOD(B267+MATCH(L267,SignSym,0)-1,12)+1)</f>
        <v>Vi</v>
      </c>
      <c r="N267" s="194" t="str">
        <f>INDEX(SignSym,MOD(B267+MATCH(M267,SignSym,0)-1,12)+1)</f>
        <v>Le</v>
      </c>
      <c r="O267" s="194" t="str">
        <f>INDEX(SignSym,MOD(B267+MATCH(N267,SignSym,0)-1,12)+1)</f>
        <v>Cn</v>
      </c>
      <c r="P267" s="194" t="str">
        <f>INDEX(SignSym,MOD(B267+MATCH(O267,SignSym,0)-1,12)+1)</f>
        <v>Ge</v>
      </c>
      <c r="Q267" s="194" t="str">
        <f>INDEX(SignSym,MOD(B267+MATCH(P267,SignSym,0)-1,12)+1)</f>
        <v>Ta</v>
      </c>
      <c r="R267" s="194" t="str">
        <f>INDEX(SignSym,MOD(B267+MATCH(Q267,SignSym,0)-1,12)+1)</f>
        <v>Ar</v>
      </c>
      <c r="S267" s="194" t="str">
        <f>INDEX(SignSym,MOD(B267+MATCH(R267,SignSym,0)-1,12)+1)</f>
        <v>Pi</v>
      </c>
    </row>
    <row r="268" spans="1:19" s="194" customFormat="1" hidden="1">
      <c r="D268" s="925"/>
      <c r="H268" s="932" t="e">
        <f>F267</f>
        <v>#N/A</v>
      </c>
      <c r="I268" s="932" t="e">
        <f>H268+(E267*NDDaysInYEar/12)</f>
        <v>#N/A</v>
      </c>
      <c r="J268" s="932" t="e">
        <f>I268+(E267*NDDaysInYEar/12)</f>
        <v>#N/A</v>
      </c>
      <c r="K268" s="932" t="e">
        <f>J268+(E267*NDDaysInYEar/12)</f>
        <v>#N/A</v>
      </c>
      <c r="L268" s="932" t="e">
        <f>K268+(E267*NDDaysInYEar/12)</f>
        <v>#N/A</v>
      </c>
      <c r="M268" s="932" t="e">
        <f>L268+(E267*NDDaysInYEar/12)</f>
        <v>#N/A</v>
      </c>
      <c r="N268" s="932" t="e">
        <f>M268+(E267*NDDaysInYEar/12)</f>
        <v>#N/A</v>
      </c>
      <c r="O268" s="932" t="e">
        <f>N268+(E267*NDDaysInYEar/12)</f>
        <v>#N/A</v>
      </c>
      <c r="P268" s="932" t="e">
        <f>O268+(E267*NDDaysInYEar/12)</f>
        <v>#N/A</v>
      </c>
      <c r="Q268" s="932" t="e">
        <f>P268+(E267*NDDaysInYEar/12)</f>
        <v>#N/A</v>
      </c>
      <c r="R268" s="932" t="e">
        <f>Q268+(E267*NDDaysInYEar/12)</f>
        <v>#N/A</v>
      </c>
      <c r="S268" s="932" t="e">
        <f>R268+(E267*NDDaysInYEar/12)</f>
        <v>#N/A</v>
      </c>
    </row>
    <row r="269" spans="1:19" s="194" customFormat="1">
      <c r="A269" s="931"/>
      <c r="B269" s="931"/>
      <c r="C269" s="931"/>
      <c r="D269" s="931"/>
      <c r="E269" s="931"/>
      <c r="F269" s="931"/>
      <c r="G269" s="931"/>
      <c r="H269" s="931"/>
      <c r="I269" s="931"/>
      <c r="J269" s="931"/>
      <c r="K269" s="931"/>
      <c r="L269" s="931"/>
      <c r="M269" s="931"/>
      <c r="N269" s="931"/>
      <c r="O269" s="931"/>
      <c r="P269" s="931"/>
      <c r="Q269" s="931"/>
      <c r="R269" s="931"/>
      <c r="S269" s="931"/>
    </row>
    <row r="270" spans="1:19" s="194" customFormat="1" hidden="1">
      <c r="H270" s="932"/>
      <c r="I270" s="932"/>
      <c r="J270" s="932"/>
      <c r="K270" s="932"/>
      <c r="L270" s="932"/>
      <c r="M270" s="932"/>
      <c r="N270" s="932"/>
      <c r="O270" s="932"/>
      <c r="P270" s="932"/>
      <c r="Q270" s="932"/>
      <c r="R270" s="932"/>
      <c r="S270" s="932"/>
    </row>
    <row r="271" spans="1:19" s="194" customFormat="1"/>
    <row r="272" spans="1:19">
      <c r="A272" s="913" t="s">
        <v>4200</v>
      </c>
      <c r="B272" s="914"/>
      <c r="C272" s="914"/>
      <c r="D272" s="914"/>
      <c r="E272" s="914"/>
      <c r="F272" s="914"/>
      <c r="G272" s="914"/>
      <c r="H272" s="914"/>
      <c r="I272" s="914"/>
      <c r="J272" s="914"/>
      <c r="K272" s="914"/>
      <c r="L272" s="915"/>
      <c r="M272" s="914"/>
      <c r="N272" s="914"/>
      <c r="O272" s="914"/>
      <c r="P272" s="914"/>
      <c r="Q272" s="914"/>
      <c r="R272" s="914"/>
      <c r="S272" s="914"/>
    </row>
    <row r="273" spans="1:19" s="194" customFormat="1">
      <c r="A273" s="1366" t="s">
        <v>4189</v>
      </c>
      <c r="B273" s="1366"/>
      <c r="C273" s="916">
        <v>16</v>
      </c>
      <c r="D273" s="917">
        <f>MATCH(C273,$18:$18,1)</f>
        <v>9</v>
      </c>
      <c r="I273" s="918"/>
      <c r="N273" s="918"/>
    </row>
    <row r="274" spans="1:19" s="194" customFormat="1">
      <c r="A274" s="1366" t="s">
        <v>4192</v>
      </c>
      <c r="B274" s="1366"/>
      <c r="C274" s="919" t="s">
        <v>920</v>
      </c>
      <c r="D274" s="920"/>
      <c r="H274" s="918"/>
      <c r="I274" s="918"/>
      <c r="J274" s="918"/>
      <c r="P274" s="918"/>
    </row>
    <row r="275" spans="1:19" s="194" customFormat="1">
      <c r="C275" s="918"/>
      <c r="E275" s="918"/>
      <c r="H275" s="918"/>
      <c r="I275" s="918"/>
      <c r="J275" s="918"/>
    </row>
    <row r="276" spans="1:19" s="194" customFormat="1">
      <c r="A276" s="934" t="s">
        <v>4060</v>
      </c>
      <c r="B276" s="934" t="s">
        <v>807</v>
      </c>
      <c r="C276" s="934" t="s">
        <v>4194</v>
      </c>
      <c r="D276" s="934" t="s">
        <v>4195</v>
      </c>
      <c r="E276" s="934" t="s">
        <v>400</v>
      </c>
      <c r="F276" s="934" t="s">
        <v>730</v>
      </c>
      <c r="G276" s="934" t="s">
        <v>805</v>
      </c>
      <c r="H276" s="934" t="s">
        <v>4197</v>
      </c>
      <c r="I276" s="918"/>
      <c r="J276" s="918"/>
    </row>
    <row r="277" spans="1:19" s="194" customFormat="1">
      <c r="A277" s="194" t="str">
        <f>VLOOKUP(C274,NDasaSeq,7,0)</f>
        <v>Ge</v>
      </c>
      <c r="B277" s="194">
        <f>VLOOKUP(A277,NDasaC,3,0)</f>
        <v>1</v>
      </c>
      <c r="C277" s="925" t="e">
        <f>IF(MATCH(VLOOKUP(IF((A277="Aq"),VLOOKUP("AqLord",DivCharts,D273,0),IF((A277="Sc"),VLOOKUP("ScLord",DivCharts,D273,0),VLOOKUP(A277,RsInfo,9,0))),DivCharts,D273,0),RsTbl,0)=MATCH(VLOOKUP(IF((A277="Aq"),VLOOKUP("AqLord",DivCharts,D273,0),IF((A277="Sc"),VLOOKUP("ScLord",DivCharts,D273,0),VLOOKUP(A277,RsInfo,9,0))),PlanetData,8,0),RsTbl,0),1,IF(MATCH(VLOOKUP(IF((A277="Aq"),VLOOKUP("AqLord",DivCharts,D273,0),IF((A277="Sc"),VLOOKUP("ScLord",DivCharts,D273,0),VLOOKUP(A277,RsInfo,9,0))),DivCharts,D273,0),RsTbl,0)=MOD(MATCH(VLOOKUP(IF((A277="Aq"),VLOOKUP("AqLord",DivCharts,D273,0),IF((A277="Sc"),VLOOKUP("ScLord",DivCharts,D273,0),VLOOKUP(A277,RsInfo,9,0))),PlanetData,8,0),RsTbl,0)+6,12),-1,0))</f>
        <v>#N/A</v>
      </c>
      <c r="D277" s="925">
        <f>MOD((MATCH(VLOOKUP(IF((A277="Aq"),VLOOKUP("AqLord",DivCharts,D273,0),IF((A277="Sc"),VLOOKUP("ScLord",DivCharts,D273,0),VLOOKUP(A277,RsInfo,9,0))),DivCharts,D273,0),RsTbl,0)*B277)-(B277*MATCH(A277,RsTbl,0))+12,12)</f>
        <v>0</v>
      </c>
      <c r="E277" s="194" t="e">
        <f>IF(ISNA(MATCH((D277+C277),,0)),(D277+C277),12)</f>
        <v>#N/A</v>
      </c>
      <c r="F277" s="932">
        <f>DoB</f>
        <v>26133.384143518517</v>
      </c>
      <c r="G277" s="932" t="e">
        <f>F277+E277*NDDaysInYEar</f>
        <v>#N/A</v>
      </c>
      <c r="H277" s="919" t="str">
        <f>A277</f>
        <v>Ge</v>
      </c>
      <c r="I277" s="194" t="str">
        <f>INDEX(SignSym,MOD(B277+MATCH(H277,SignSym,0)-1,12)+1)</f>
        <v>Cn</v>
      </c>
      <c r="J277" s="194" t="str">
        <f>INDEX(SignSym,MOD(B277+MATCH(I277,SignSym,0)-1,12)+1)</f>
        <v>Le</v>
      </c>
      <c r="K277" s="194" t="str">
        <f>INDEX(SignSym,MOD(B277+MATCH(J277,SignSym,0)-1,12)+1)</f>
        <v>Vi</v>
      </c>
      <c r="L277" s="194" t="str">
        <f>INDEX(SignSym,MOD(B277+MATCH(K277,SignSym,0)-1,12)+1)</f>
        <v>Li</v>
      </c>
      <c r="M277" s="194" t="str">
        <f>INDEX(SignSym,MOD(B277+MATCH(L277,SignSym,0)-1,12)+1)</f>
        <v>Sc</v>
      </c>
      <c r="N277" s="194" t="str">
        <f>INDEX(SignSym,MOD(B277+MATCH(M277,SignSym,0)-1,12)+1)</f>
        <v>Sg</v>
      </c>
      <c r="O277" s="194" t="str">
        <f>INDEX(SignSym,MOD(B277+MATCH(N277,SignSym,0)-1,12)+1)</f>
        <v>Cp</v>
      </c>
      <c r="P277" s="194" t="str">
        <f>INDEX(SignSym,MOD(B277+MATCH(O277,SignSym,0)-1,12)+1)</f>
        <v>Aq</v>
      </c>
      <c r="Q277" s="194" t="str">
        <f>INDEX(SignSym,MOD(B277+MATCH(P277,SignSym,0)-1,12)+1)</f>
        <v>Pi</v>
      </c>
      <c r="R277" s="194" t="str">
        <f>INDEX(SignSym,MOD(B277+MATCH(Q277,SignSym,0)-1,12)+1)</f>
        <v>Ar</v>
      </c>
      <c r="S277" s="194" t="str">
        <f>INDEX(SignSym,MOD(B277+MATCH(R277,SignSym,0)-1,12)+1)</f>
        <v>Ta</v>
      </c>
    </row>
    <row r="278" spans="1:19" s="194" customFormat="1" ht="12.75" hidden="1" customHeight="1">
      <c r="C278" s="925"/>
      <c r="D278" s="925"/>
      <c r="F278" s="932"/>
      <c r="G278" s="932"/>
      <c r="H278" s="932">
        <f>F277</f>
        <v>26133.384143518517</v>
      </c>
      <c r="I278" s="932" t="e">
        <f>H278+(E277*NDDaysInYEar/12)</f>
        <v>#N/A</v>
      </c>
      <c r="J278" s="932" t="e">
        <f>I278+(E277*NDDaysInYEar/12)</f>
        <v>#N/A</v>
      </c>
      <c r="K278" s="932" t="e">
        <f>J278+(E277*NDDaysInYEar/12)</f>
        <v>#N/A</v>
      </c>
      <c r="L278" s="932" t="e">
        <f>K278+(E277*NDDaysInYEar/12)</f>
        <v>#N/A</v>
      </c>
      <c r="M278" s="932" t="e">
        <f>L278+(E277*NDDaysInYEar/12)</f>
        <v>#N/A</v>
      </c>
      <c r="N278" s="932" t="e">
        <f>M278+(E277*NDDaysInYEar/12)</f>
        <v>#N/A</v>
      </c>
      <c r="O278" s="932" t="e">
        <f>N278+(E277*NDDaysInYEar/12)</f>
        <v>#N/A</v>
      </c>
      <c r="P278" s="932" t="e">
        <f>O278+(E277*NDDaysInYEar/12)</f>
        <v>#N/A</v>
      </c>
      <c r="Q278" s="932" t="e">
        <f>P278+(E277*NDDaysInYEar/12)</f>
        <v>#N/A</v>
      </c>
      <c r="R278" s="932" t="e">
        <f>Q278+(E277*NDDaysInYEar/12)</f>
        <v>#N/A</v>
      </c>
      <c r="S278" s="932" t="e">
        <f>R278+(E277*NDDaysInYEar/12)</f>
        <v>#N/A</v>
      </c>
    </row>
    <row r="279" spans="1:19" s="194" customFormat="1">
      <c r="A279" s="194" t="str">
        <f>VLOOKUP(C274,NDasaSeq,8,0)</f>
        <v>Aq</v>
      </c>
      <c r="B279" s="194">
        <f>VLOOKUP(A279,NDasaC,3,0)</f>
        <v>-1</v>
      </c>
      <c r="C279" s="925" t="e">
        <f>IF(MATCH(VLOOKUP(IF((A279="Aq"),VLOOKUP("AqLord",DivCharts,D273,0),IF((A279="Sc"),VLOOKUP("ScLord",DivCharts,D273,0),VLOOKUP(A279,RsInfo,9,0))),DivCharts,D273,0),RsTbl,0)=MATCH(VLOOKUP(IF((A279="Aq"),VLOOKUP("AqLord",DivCharts,D273,0),IF((A279="Sc"),VLOOKUP("ScLord",DivCharts,D273,0),VLOOKUP(A279,RsInfo,9,0))),PlanetData,8,0),RsTbl,0),1,IF(MATCH(VLOOKUP(IF((A279="Aq"),VLOOKUP("AqLord",DivCharts,D273,0),IF((A279="Sc"),VLOOKUP("ScLord",DivCharts,D273,0),VLOOKUP(A279,RsInfo,9,0))),DivCharts,D273,0),RsTbl,0)=MOD(MATCH(VLOOKUP(IF((A279="Aq"),VLOOKUP("AqLord",DivCharts,D273,0),IF((A279="Sc"),VLOOKUP("ScLord",DivCharts,D273,0),VLOOKUP(A279,RsInfo,9,0))),PlanetData,8,0),RsTbl,0)+6,12),-1,0))</f>
        <v>#N/A</v>
      </c>
      <c r="D279" s="925">
        <f>MOD((MATCH(VLOOKUP(IF((A279="Aq"),VLOOKUP("AqLord",DivCharts,D273,0),IF((A279="Sc"),VLOOKUP("ScLord",DivCharts,D273,0),VLOOKUP(A279,RsInfo,9,0))),DivCharts,D273,0),RsTbl,0)*B279)-(B279*MATCH(A279,RsTbl,0))+12,12)</f>
        <v>1</v>
      </c>
      <c r="E279" s="194" t="e">
        <f>IF(ISNA(MATCH((D279+C279),,0)),(D279+C279),12)</f>
        <v>#N/A</v>
      </c>
      <c r="F279" s="932" t="e">
        <f>G277</f>
        <v>#N/A</v>
      </c>
      <c r="G279" s="932" t="e">
        <f>F279+E279*NDDaysInYEar</f>
        <v>#N/A</v>
      </c>
      <c r="H279" s="919" t="str">
        <f>A279</f>
        <v>Aq</v>
      </c>
      <c r="I279" s="194" t="str">
        <f>INDEX(SignSym,MOD(B279+MATCH(H279,SignSym,0)-1,12)+1)</f>
        <v>Cp</v>
      </c>
      <c r="J279" s="194" t="str">
        <f>INDEX(SignSym,MOD(B279+MATCH(I279,SignSym,0)-1,12)+1)</f>
        <v>Sg</v>
      </c>
      <c r="K279" s="194" t="str">
        <f>INDEX(SignSym,MOD(B279+MATCH(J279,SignSym,0)-1,12)+1)</f>
        <v>Sc</v>
      </c>
      <c r="L279" s="194" t="str">
        <f>INDEX(SignSym,MOD(B279+MATCH(K279,SignSym,0)-1,12)+1)</f>
        <v>Li</v>
      </c>
      <c r="M279" s="194" t="str">
        <f>INDEX(SignSym,MOD(B279+MATCH(L279,SignSym,0)-1,12)+1)</f>
        <v>Vi</v>
      </c>
      <c r="N279" s="194" t="str">
        <f>INDEX(SignSym,MOD(B279+MATCH(M279,SignSym,0)-1,12)+1)</f>
        <v>Le</v>
      </c>
      <c r="O279" s="194" t="str">
        <f>INDEX(SignSym,MOD(B279+MATCH(N279,SignSym,0)-1,12)+1)</f>
        <v>Cn</v>
      </c>
      <c r="P279" s="194" t="str">
        <f>INDEX(SignSym,MOD(B279+MATCH(O279,SignSym,0)-1,12)+1)</f>
        <v>Ge</v>
      </c>
      <c r="Q279" s="194" t="str">
        <f>INDEX(SignSym,MOD(B279+MATCH(P279,SignSym,0)-1,12)+1)</f>
        <v>Ta</v>
      </c>
      <c r="R279" s="194" t="str">
        <f>INDEX(SignSym,MOD(B279+MATCH(Q279,SignSym,0)-1,12)+1)</f>
        <v>Ar</v>
      </c>
      <c r="S279" s="194" t="str">
        <f>INDEX(SignSym,MOD(B279+MATCH(R279,SignSym,0)-1,12)+1)</f>
        <v>Pi</v>
      </c>
    </row>
    <row r="280" spans="1:19" s="194" customFormat="1" ht="12.75" hidden="1" customHeight="1">
      <c r="C280" s="925"/>
      <c r="D280" s="925"/>
      <c r="F280" s="932"/>
      <c r="G280" s="932"/>
      <c r="H280" s="932" t="e">
        <f>F279</f>
        <v>#N/A</v>
      </c>
      <c r="I280" s="932" t="e">
        <f>H280+(E279*NDDaysInYEar/12)</f>
        <v>#N/A</v>
      </c>
      <c r="J280" s="932" t="e">
        <f>I280+(E279*NDDaysInYEar/12)</f>
        <v>#N/A</v>
      </c>
      <c r="K280" s="932" t="e">
        <f>J280+(E279*NDDaysInYEar/12)</f>
        <v>#N/A</v>
      </c>
      <c r="L280" s="932" t="e">
        <f>K280+(E279*NDDaysInYEar/12)</f>
        <v>#N/A</v>
      </c>
      <c r="M280" s="932" t="e">
        <f>L280+(E279*NDDaysInYEar/12)</f>
        <v>#N/A</v>
      </c>
      <c r="N280" s="932" t="e">
        <f>M280+(E279*NDDaysInYEar/12)</f>
        <v>#N/A</v>
      </c>
      <c r="O280" s="932" t="e">
        <f>N280+(E279*NDDaysInYEar/12)</f>
        <v>#N/A</v>
      </c>
      <c r="P280" s="932" t="e">
        <f>O280+(E279*NDDaysInYEar/12)</f>
        <v>#N/A</v>
      </c>
      <c r="Q280" s="932" t="e">
        <f>P280+(E279*NDDaysInYEar/12)</f>
        <v>#N/A</v>
      </c>
      <c r="R280" s="932" t="e">
        <f>Q280+(E279*NDDaysInYEar/12)</f>
        <v>#N/A</v>
      </c>
      <c r="S280" s="932" t="e">
        <f>R280+(E279*NDDaysInYEar/12)</f>
        <v>#N/A</v>
      </c>
    </row>
    <row r="281" spans="1:19" s="194" customFormat="1">
      <c r="A281" s="194" t="str">
        <f>VLOOKUP(C274,NDasaSeq,9,0)</f>
        <v>Li</v>
      </c>
      <c r="B281" s="194">
        <f>VLOOKUP(A281,NDasaC,3,0)</f>
        <v>1</v>
      </c>
      <c r="C281" s="925" t="e">
        <f>IF(MATCH(VLOOKUP(IF((A281="Aq"),VLOOKUP("AqLord",DivCharts,D273,0),IF((A281="Sc"),VLOOKUP("ScLord",DivCharts,D273,0),VLOOKUP(A281,RsInfo,9,0))),DivCharts,D273,0),RsTbl,0)=MATCH(VLOOKUP(IF((A281="Aq"),VLOOKUP("AqLord",DivCharts,D273,0),IF((A281="Sc"),VLOOKUP("ScLord",DivCharts,D273,0),VLOOKUP(A281,RsInfo,9,0))),PlanetData,8,0),RsTbl,0),1,IF(MATCH(VLOOKUP(IF((A281="Aq"),VLOOKUP("AqLord",DivCharts,D273,0),IF((A281="Sc"),VLOOKUP("ScLord",DivCharts,D273,0),VLOOKUP(A281,RsInfo,9,0))),DivCharts,D273,0),RsTbl,0)=MOD(MATCH(VLOOKUP(IF((A281="Aq"),VLOOKUP("AqLord",DivCharts,D273,0),IF((A281="Sc"),VLOOKUP("ScLord",DivCharts,D273,0),VLOOKUP(A281,RsInfo,9,0))),PlanetData,8,0),RsTbl,0)+6,12),-1,0))</f>
        <v>#N/A</v>
      </c>
      <c r="D281" s="925">
        <f>MOD((MATCH(VLOOKUP(IF((A281="Aq"),VLOOKUP("AqLord",DivCharts,D273,0),IF((A281="Sc"),VLOOKUP("ScLord",DivCharts,D273,0),VLOOKUP(A281,RsInfo,9,0))),DivCharts,D273,0),RsTbl,0)*B281)-(B281*MATCH(A281,RsTbl,0))+12,12)</f>
        <v>1</v>
      </c>
      <c r="E281" s="194" t="e">
        <f>IF(ISNA(MATCH((D281+C281),,0)),(D281+C281),12)</f>
        <v>#N/A</v>
      </c>
      <c r="F281" s="932" t="e">
        <f>G279</f>
        <v>#N/A</v>
      </c>
      <c r="G281" s="932" t="e">
        <f>F281+E281*NDDaysInYEar</f>
        <v>#N/A</v>
      </c>
      <c r="H281" s="919" t="str">
        <f>A281</f>
        <v>Li</v>
      </c>
      <c r="I281" s="194" t="str">
        <f>INDEX(SignSym,MOD(B281+MATCH(H281,SignSym,0)-1,12)+1)</f>
        <v>Sc</v>
      </c>
      <c r="J281" s="194" t="str">
        <f>INDEX(SignSym,MOD(B281+MATCH(I281,SignSym,0)-1,12)+1)</f>
        <v>Sg</v>
      </c>
      <c r="K281" s="194" t="str">
        <f>INDEX(SignSym,MOD(B281+MATCH(J281,SignSym,0)-1,12)+1)</f>
        <v>Cp</v>
      </c>
      <c r="L281" s="194" t="str">
        <f>INDEX(SignSym,MOD(B281+MATCH(K281,SignSym,0)-1,12)+1)</f>
        <v>Aq</v>
      </c>
      <c r="M281" s="194" t="str">
        <f>INDEX(SignSym,MOD(B281+MATCH(L281,SignSym,0)-1,12)+1)</f>
        <v>Pi</v>
      </c>
      <c r="N281" s="194" t="str">
        <f>INDEX(SignSym,MOD(B281+MATCH(M281,SignSym,0)-1,12)+1)</f>
        <v>Ar</v>
      </c>
      <c r="O281" s="194" t="str">
        <f>INDEX(SignSym,MOD(B281+MATCH(N281,SignSym,0)-1,12)+1)</f>
        <v>Ta</v>
      </c>
      <c r="P281" s="194" t="str">
        <f>INDEX(SignSym,MOD(B281+MATCH(O281,SignSym,0)-1,12)+1)</f>
        <v>Ge</v>
      </c>
      <c r="Q281" s="194" t="str">
        <f>INDEX(SignSym,MOD(B281+MATCH(P281,SignSym,0)-1,12)+1)</f>
        <v>Cn</v>
      </c>
      <c r="R281" s="194" t="str">
        <f>INDEX(SignSym,MOD(B281+MATCH(Q281,SignSym,0)-1,12)+1)</f>
        <v>Le</v>
      </c>
      <c r="S281" s="194" t="str">
        <f>INDEX(SignSym,MOD(B281+MATCH(R281,SignSym,0)-1,12)+1)</f>
        <v>Vi</v>
      </c>
    </row>
    <row r="282" spans="1:19" s="194" customFormat="1" ht="12.75" hidden="1" customHeight="1">
      <c r="C282" s="925"/>
      <c r="D282" s="925"/>
      <c r="F282" s="932"/>
      <c r="G282" s="932"/>
      <c r="H282" s="932" t="e">
        <f>F281</f>
        <v>#N/A</v>
      </c>
      <c r="I282" s="932" t="e">
        <f>H282+(E281*NDDaysInYEar/12)</f>
        <v>#N/A</v>
      </c>
      <c r="J282" s="932" t="e">
        <f>I282+(E281*NDDaysInYEar/12)</f>
        <v>#N/A</v>
      </c>
      <c r="K282" s="932" t="e">
        <f>J282+(E281*NDDaysInYEar/12)</f>
        <v>#N/A</v>
      </c>
      <c r="L282" s="932" t="e">
        <f>K282+(E281*NDDaysInYEar/12)</f>
        <v>#N/A</v>
      </c>
      <c r="M282" s="932" t="e">
        <f>L282+(E281*NDDaysInYEar/12)</f>
        <v>#N/A</v>
      </c>
      <c r="N282" s="932" t="e">
        <f>M282+(E281*NDDaysInYEar/12)</f>
        <v>#N/A</v>
      </c>
      <c r="O282" s="932" t="e">
        <f>N282+(E281*NDDaysInYEar/12)</f>
        <v>#N/A</v>
      </c>
      <c r="P282" s="932" t="e">
        <f>O282+(E281*NDDaysInYEar/12)</f>
        <v>#N/A</v>
      </c>
      <c r="Q282" s="932" t="e">
        <f>P282+(E281*NDDaysInYEar/12)</f>
        <v>#N/A</v>
      </c>
      <c r="R282" s="932" t="e">
        <f>Q282+(E281*NDDaysInYEar/12)</f>
        <v>#N/A</v>
      </c>
      <c r="S282" s="932" t="e">
        <f>R282+(E281*NDDaysInYEar/12)</f>
        <v>#N/A</v>
      </c>
    </row>
    <row r="283" spans="1:19" s="194" customFormat="1">
      <c r="A283" s="194" t="str">
        <f>VLOOKUP(C274,NDasaSeq,10,0)</f>
        <v>Vi</v>
      </c>
      <c r="B283" s="194">
        <f>VLOOKUP(A283,NDasaC,3,0)</f>
        <v>-1</v>
      </c>
      <c r="C283" s="925" t="e">
        <f>IF(MATCH(VLOOKUP(IF((A283="Aq"),VLOOKUP("AqLord",DivCharts,D273,0),IF((A283="Sc"),VLOOKUP("ScLord",DivCharts,D273,0),VLOOKUP(A283,RsInfo,9,0))),DivCharts,D273,0),RsTbl,0)=MATCH(VLOOKUP(IF((A283="Aq"),VLOOKUP("AqLord",DivCharts,D273,0),IF((A283="Sc"),VLOOKUP("ScLord",DivCharts,D273,0),VLOOKUP(A283,RsInfo,9,0))),PlanetData,8,0),RsTbl,0),1,IF(MATCH(VLOOKUP(IF((A283="Aq"),VLOOKUP("AqLord",DivCharts,D273,0),IF((A283="Sc"),VLOOKUP("ScLord",DivCharts,D273,0),VLOOKUP(A283,RsInfo,9,0))),DivCharts,D273,0),RsTbl,0)=MOD(MATCH(VLOOKUP(IF((A283="Aq"),VLOOKUP("AqLord",DivCharts,D273,0),IF((A283="Sc"),VLOOKUP("ScLord",DivCharts,D273,0),VLOOKUP(A283,RsInfo,9,0))),PlanetData,8,0),RsTbl,0)+6,12),-1,0))</f>
        <v>#N/A</v>
      </c>
      <c r="D283" s="925">
        <f>MOD((MATCH(VLOOKUP(IF((A283="Aq"),VLOOKUP("AqLord",DivCharts,D273,0),IF((A283="Sc"),VLOOKUP("ScLord",DivCharts,D273,0),VLOOKUP(A283,RsInfo,9,0))),DivCharts,D273,0),RsTbl,0)*B283)-(B283*MATCH(A283,RsTbl,0))+12,12)</f>
        <v>3</v>
      </c>
      <c r="E283" s="194" t="e">
        <f>IF(ISNA(MATCH((D283+C283),,0)),(D283+C283),12)</f>
        <v>#N/A</v>
      </c>
      <c r="F283" s="932" t="e">
        <f>G281</f>
        <v>#N/A</v>
      </c>
      <c r="G283" s="932" t="e">
        <f>F283+E283*NDDaysInYEar</f>
        <v>#N/A</v>
      </c>
      <c r="H283" s="919" t="str">
        <f>A283</f>
        <v>Vi</v>
      </c>
      <c r="I283" s="194" t="str">
        <f>INDEX(SignSym,MOD(B283+MATCH(H283,SignSym,0)-1,12)+1)</f>
        <v>Le</v>
      </c>
      <c r="J283" s="194" t="str">
        <f>INDEX(SignSym,MOD(B283+MATCH(I283,SignSym,0)-1,12)+1)</f>
        <v>Cn</v>
      </c>
      <c r="K283" s="194" t="str">
        <f>INDEX(SignSym,MOD(B283+MATCH(J283,SignSym,0)-1,12)+1)</f>
        <v>Ge</v>
      </c>
      <c r="L283" s="194" t="str">
        <f>INDEX(SignSym,MOD(B283+MATCH(K283,SignSym,0)-1,12)+1)</f>
        <v>Ta</v>
      </c>
      <c r="M283" s="194" t="str">
        <f>INDEX(SignSym,MOD(B283+MATCH(L283,SignSym,0)-1,12)+1)</f>
        <v>Ar</v>
      </c>
      <c r="N283" s="194" t="str">
        <f>INDEX(SignSym,MOD(B283+MATCH(M283,SignSym,0)-1,12)+1)</f>
        <v>Pi</v>
      </c>
      <c r="O283" s="194" t="str">
        <f>INDEX(SignSym,MOD(B283+MATCH(N283,SignSym,0)-1,12)+1)</f>
        <v>Aq</v>
      </c>
      <c r="P283" s="194" t="str">
        <f>INDEX(SignSym,MOD(B283+MATCH(O283,SignSym,0)-1,12)+1)</f>
        <v>Cp</v>
      </c>
      <c r="Q283" s="194" t="str">
        <f>INDEX(SignSym,MOD(B283+MATCH(P283,SignSym,0)-1,12)+1)</f>
        <v>Sg</v>
      </c>
      <c r="R283" s="194" t="str">
        <f>INDEX(SignSym,MOD(B283+MATCH(Q283,SignSym,0)-1,12)+1)</f>
        <v>Sc</v>
      </c>
      <c r="S283" s="194" t="str">
        <f>INDEX(SignSym,MOD(B283+MATCH(R283,SignSym,0)-1,12)+1)</f>
        <v>Li</v>
      </c>
    </row>
    <row r="284" spans="1:19" s="194" customFormat="1" ht="12.75" hidden="1" customHeight="1">
      <c r="C284" s="925"/>
      <c r="D284" s="925"/>
      <c r="F284" s="932"/>
      <c r="G284" s="932"/>
      <c r="H284" s="932" t="e">
        <f>F283</f>
        <v>#N/A</v>
      </c>
      <c r="I284" s="932" t="e">
        <f>H284+(E283*NDDaysInYEar/12)</f>
        <v>#N/A</v>
      </c>
      <c r="J284" s="932" t="e">
        <f>I284+(E283*NDDaysInYEar/12)</f>
        <v>#N/A</v>
      </c>
      <c r="K284" s="932" t="e">
        <f>J284+(E283*NDDaysInYEar/12)</f>
        <v>#N/A</v>
      </c>
      <c r="L284" s="932" t="e">
        <f>K284+(E283*NDDaysInYEar/12)</f>
        <v>#N/A</v>
      </c>
      <c r="M284" s="932" t="e">
        <f>L284+(E283*NDDaysInYEar/12)</f>
        <v>#N/A</v>
      </c>
      <c r="N284" s="932" t="e">
        <f>M284+(E283*NDDaysInYEar/12)</f>
        <v>#N/A</v>
      </c>
      <c r="O284" s="932" t="e">
        <f>N284+(E283*NDDaysInYEar/12)</f>
        <v>#N/A</v>
      </c>
      <c r="P284" s="932" t="e">
        <f>O284+(E283*NDDaysInYEar/12)</f>
        <v>#N/A</v>
      </c>
      <c r="Q284" s="932" t="e">
        <f>P284+(E283*NDDaysInYEar/12)</f>
        <v>#N/A</v>
      </c>
      <c r="R284" s="932" t="e">
        <f>Q284+(E283*NDDaysInYEar/12)</f>
        <v>#N/A</v>
      </c>
      <c r="S284" s="932" t="e">
        <f>R284+(E283*NDDaysInYEar/12)</f>
        <v>#N/A</v>
      </c>
    </row>
    <row r="285" spans="1:19" s="194" customFormat="1">
      <c r="A285" s="194" t="str">
        <f>VLOOKUP(C274,NDasaSeq,11,0)</f>
        <v>Ta</v>
      </c>
      <c r="B285" s="194">
        <f>VLOOKUP(A285,NDasaC,3,0)</f>
        <v>1</v>
      </c>
      <c r="C285" s="925" t="e">
        <f>IF(MATCH(VLOOKUP(IF((A285="Aq"),VLOOKUP("AqLord",DivCharts,D273,0),IF((A285="Sc"),VLOOKUP("ScLord",DivCharts,D273,0),VLOOKUP(A285,RsInfo,9,0))),DivCharts,D273,0),RsTbl,0)=MATCH(VLOOKUP(IF((A285="Aq"),VLOOKUP("AqLord",DivCharts,D273,0),IF((A285="Sc"),VLOOKUP("ScLord",DivCharts,D273,0),VLOOKUP(A285,RsInfo,9,0))),PlanetData,8,0),RsTbl,0),1,IF(MATCH(VLOOKUP(IF((A285="Aq"),VLOOKUP("AqLord",DivCharts,D273,0),IF((A285="Sc"),VLOOKUP("ScLord",DivCharts,D273,0),VLOOKUP(A285,RsInfo,9,0))),DivCharts,D273,0),RsTbl,0)=MOD(MATCH(VLOOKUP(IF((A285="Aq"),VLOOKUP("AqLord",DivCharts,D273,0),IF((A285="Sc"),VLOOKUP("ScLord",DivCharts,D273,0),VLOOKUP(A285,RsInfo,9,0))),PlanetData,8,0),RsTbl,0)+6,12),-1,0))</f>
        <v>#N/A</v>
      </c>
      <c r="D285" s="925">
        <f>MOD((MATCH(VLOOKUP(IF((A285="Aq"),VLOOKUP("AqLord",DivCharts,D273,0),IF((A285="Sc"),VLOOKUP("ScLord",DivCharts,D273,0),VLOOKUP(A285,RsInfo,9,0))),DivCharts,D273,0),RsTbl,0)*B285)-(B285*MATCH(A285,RsTbl,0))+12,12)</f>
        <v>6</v>
      </c>
      <c r="E285" s="194" t="e">
        <f>IF(ISNA(MATCH((D285+C285),,0)),(D285+C285),12)</f>
        <v>#N/A</v>
      </c>
      <c r="F285" s="932" t="e">
        <f>G283</f>
        <v>#N/A</v>
      </c>
      <c r="G285" s="932" t="e">
        <f>F285+E285*NDDaysInYEar</f>
        <v>#N/A</v>
      </c>
      <c r="H285" s="919" t="str">
        <f>A285</f>
        <v>Ta</v>
      </c>
      <c r="I285" s="194" t="str">
        <f>INDEX(SignSym,MOD(B285+MATCH(H285,SignSym,0)-1,12)+1)</f>
        <v>Ge</v>
      </c>
      <c r="J285" s="194" t="str">
        <f>INDEX(SignSym,MOD(B285+MATCH(I285,SignSym,0)-1,12)+1)</f>
        <v>Cn</v>
      </c>
      <c r="K285" s="194" t="str">
        <f>INDEX(SignSym,MOD(B285+MATCH(J285,SignSym,0)-1,12)+1)</f>
        <v>Le</v>
      </c>
      <c r="L285" s="194" t="str">
        <f>INDEX(SignSym,MOD(B285+MATCH(K285,SignSym,0)-1,12)+1)</f>
        <v>Vi</v>
      </c>
      <c r="M285" s="194" t="str">
        <f>INDEX(SignSym,MOD(B285+MATCH(L285,SignSym,0)-1,12)+1)</f>
        <v>Li</v>
      </c>
      <c r="N285" s="194" t="str">
        <f>INDEX(SignSym,MOD(B285+MATCH(M285,SignSym,0)-1,12)+1)</f>
        <v>Sc</v>
      </c>
      <c r="O285" s="194" t="str">
        <f>INDEX(SignSym,MOD(B285+MATCH(N285,SignSym,0)-1,12)+1)</f>
        <v>Sg</v>
      </c>
      <c r="P285" s="194" t="str">
        <f>INDEX(SignSym,MOD(B285+MATCH(O285,SignSym,0)-1,12)+1)</f>
        <v>Cp</v>
      </c>
      <c r="Q285" s="194" t="str">
        <f>INDEX(SignSym,MOD(B285+MATCH(P285,SignSym,0)-1,12)+1)</f>
        <v>Aq</v>
      </c>
      <c r="R285" s="194" t="str">
        <f>INDEX(SignSym,MOD(B285+MATCH(Q285,SignSym,0)-1,12)+1)</f>
        <v>Pi</v>
      </c>
      <c r="S285" s="194" t="str">
        <f>INDEX(SignSym,MOD(B285+MATCH(R285,SignSym,0)-1,12)+1)</f>
        <v>Ar</v>
      </c>
    </row>
    <row r="286" spans="1:19" s="194" customFormat="1" hidden="1">
      <c r="C286" s="925"/>
      <c r="D286" s="925"/>
      <c r="F286" s="932"/>
      <c r="G286" s="932"/>
      <c r="H286" s="932" t="e">
        <f>F285</f>
        <v>#N/A</v>
      </c>
      <c r="I286" s="932" t="e">
        <f>H286+(E285*NDDaysInYEar/12)</f>
        <v>#N/A</v>
      </c>
      <c r="J286" s="932" t="e">
        <f>I286+(E285*NDDaysInYEar/12)</f>
        <v>#N/A</v>
      </c>
      <c r="K286" s="932" t="e">
        <f>J286+(E285*NDDaysInYEar/12)</f>
        <v>#N/A</v>
      </c>
      <c r="L286" s="932" t="e">
        <f>K286+(E285*NDDaysInYEar/12)</f>
        <v>#N/A</v>
      </c>
      <c r="M286" s="932" t="e">
        <f>L286+(E285*NDDaysInYEar/12)</f>
        <v>#N/A</v>
      </c>
      <c r="N286" s="932" t="e">
        <f>M286+(E285*NDDaysInYEar/12)</f>
        <v>#N/A</v>
      </c>
      <c r="O286" s="932" t="e">
        <f>N286+(E285*NDDaysInYEar/12)</f>
        <v>#N/A</v>
      </c>
      <c r="P286" s="932" t="e">
        <f>O286+(E285*NDDaysInYEar/12)</f>
        <v>#N/A</v>
      </c>
      <c r="Q286" s="932" t="e">
        <f>P286+(E285*NDDaysInYEar/12)</f>
        <v>#N/A</v>
      </c>
      <c r="R286" s="932" t="e">
        <f>Q286+(E285*NDDaysInYEar/12)</f>
        <v>#N/A</v>
      </c>
      <c r="S286" s="932" t="e">
        <f>R286+(E285*NDDaysInYEar/12)</f>
        <v>#N/A</v>
      </c>
    </row>
    <row r="287" spans="1:19" s="194" customFormat="1">
      <c r="A287" s="194" t="str">
        <f>VLOOKUP(C274,NDasaSeq,12,0)</f>
        <v>Cp</v>
      </c>
      <c r="B287" s="194">
        <v>1</v>
      </c>
      <c r="C287" s="925" t="e">
        <f>IF(MATCH(VLOOKUP(IF((A287="Aq"),VLOOKUP("AqLord",DivCharts,D273,0),IF((A287="Sc"),VLOOKUP("ScLord",DivCharts,D273,0),VLOOKUP(A287,RsInfo,9,0))),DivCharts,D273,0),RsTbl,0)=MATCH(VLOOKUP(IF((A287="Aq"),VLOOKUP("AqLord",DivCharts,D273,0),IF((A287="Sc"),VLOOKUP("ScLord",DivCharts,D273,0),VLOOKUP(A287,RsInfo,9,0))),PlanetData,8,0),RsTbl,0),1,IF(MATCH(VLOOKUP(IF((A287="Aq"),VLOOKUP("AqLord",DivCharts,D273,0),IF((A287="Sc"),VLOOKUP("ScLord",DivCharts,D273,0),VLOOKUP(A287,RsInfo,9,0))),DivCharts,D273,0),RsTbl,0)=MOD(MATCH(VLOOKUP(IF((A287="Aq"),VLOOKUP("AqLord",DivCharts,D273,0),IF((A287="Sc"),VLOOKUP("ScLord",DivCharts,D273,0),VLOOKUP(A287,RsInfo,9,0))),PlanetData,8,0),RsTbl,0)+6,12),-1,0))</f>
        <v>#N/A</v>
      </c>
      <c r="D287" s="925">
        <f>MOD((MATCH(VLOOKUP(IF((A287="Aq"),VLOOKUP("AqLord",DivCharts,D273,0),IF((A287="Sc"),VLOOKUP("ScLord",DivCharts,D273,0),VLOOKUP(A287,RsInfo,9,0))),DivCharts,D273,0),RsTbl,0)*B287)-(B287*MATCH(A287,RsTbl,0))+12,12)</f>
        <v>0</v>
      </c>
      <c r="E287" s="194" t="e">
        <f>IF(ISNA(MATCH((D287+C287),,0)),(D287+C287),12)</f>
        <v>#N/A</v>
      </c>
      <c r="F287" s="932" t="e">
        <f>G285</f>
        <v>#N/A</v>
      </c>
      <c r="G287" s="932" t="e">
        <f>F287+E287*NDDaysInYEar</f>
        <v>#N/A</v>
      </c>
      <c r="H287" s="919" t="s">
        <v>706</v>
      </c>
      <c r="I287" s="194" t="str">
        <f>INDEX(SignSym,MOD(B287+MATCH(H287,SignSym,0)-1,12)+1)</f>
        <v>Aq</v>
      </c>
      <c r="J287" s="194" t="str">
        <f>INDEX(SignSym,MOD(B287+MATCH(I287,SignSym,0)-1,12)+1)</f>
        <v>Pi</v>
      </c>
      <c r="K287" s="194" t="str">
        <f>INDEX(SignSym,MOD(B287+MATCH(J287,SignSym,0)-1,12)+1)</f>
        <v>Ar</v>
      </c>
      <c r="L287" s="194" t="str">
        <f>INDEX(SignSym,MOD(B287+MATCH(K287,SignSym,0)-1,12)+1)</f>
        <v>Ta</v>
      </c>
      <c r="M287" s="194" t="str">
        <f>INDEX(SignSym,MOD(B287+MATCH(L287,SignSym,0)-1,12)+1)</f>
        <v>Ge</v>
      </c>
      <c r="N287" s="194" t="str">
        <f>INDEX(SignSym,MOD(B287+MATCH(M287,SignSym,0)-1,12)+1)</f>
        <v>Cn</v>
      </c>
      <c r="O287" s="194" t="str">
        <f>INDEX(SignSym,MOD(B287+MATCH(N287,SignSym,0)-1,12)+1)</f>
        <v>Le</v>
      </c>
      <c r="P287" s="194" t="str">
        <f>INDEX(SignSym,MOD(B287+MATCH(O287,SignSym,0)-1,12)+1)</f>
        <v>Vi</v>
      </c>
      <c r="Q287" s="194" t="str">
        <f>INDEX(SignSym,MOD(B287+MATCH(P287,SignSym,0)-1,12)+1)</f>
        <v>Li</v>
      </c>
      <c r="R287" s="194" t="str">
        <f>INDEX(SignSym,MOD(B287+MATCH(Q287,SignSym,0)-1,12)+1)</f>
        <v>Sc</v>
      </c>
      <c r="S287" s="194" t="str">
        <f>INDEX(SignSym,MOD(B287+MATCH(R287,SignSym,0)-1,12)+1)</f>
        <v>Sg</v>
      </c>
    </row>
    <row r="288" spans="1:19" s="194" customFormat="1" hidden="1">
      <c r="C288" s="925"/>
      <c r="D288" s="925"/>
      <c r="F288" s="932"/>
      <c r="G288" s="932"/>
      <c r="H288" s="932" t="e">
        <f>F287</f>
        <v>#N/A</v>
      </c>
      <c r="I288" s="932" t="e">
        <f>H288+(E287*NDDaysInYEar/12)</f>
        <v>#N/A</v>
      </c>
      <c r="J288" s="932" t="e">
        <f>I288+(E287*NDDaysInYEar/12)</f>
        <v>#N/A</v>
      </c>
      <c r="K288" s="932" t="e">
        <f>J288+(E287*NDDaysInYEar/12)</f>
        <v>#N/A</v>
      </c>
      <c r="L288" s="932" t="e">
        <f>K288+(E287*NDDaysInYEar/12)</f>
        <v>#N/A</v>
      </c>
      <c r="M288" s="932" t="e">
        <f>L288+(E287*NDDaysInYEar/12)</f>
        <v>#N/A</v>
      </c>
      <c r="N288" s="938" t="e">
        <f>M288+(E287*NDDaysInYEar/12)</f>
        <v>#N/A</v>
      </c>
      <c r="O288" s="938" t="e">
        <f>N288+(E287*NDDaysInYEar/12)</f>
        <v>#N/A</v>
      </c>
      <c r="P288" s="932" t="e">
        <f>O288+(E287*NDDaysInYEar/12)</f>
        <v>#N/A</v>
      </c>
      <c r="Q288" s="932" t="e">
        <f>P288+(E287*NDDaysInYEar/12)</f>
        <v>#N/A</v>
      </c>
      <c r="R288" s="932" t="e">
        <f>Q288+(E287*NDDaysInYEar/12)</f>
        <v>#N/A</v>
      </c>
      <c r="S288" s="932" t="e">
        <f>R288+(E287*NDDaysInYEar/12)</f>
        <v>#N/A</v>
      </c>
    </row>
    <row r="289" spans="1:19" s="194" customFormat="1">
      <c r="A289" s="194" t="str">
        <f>VLOOKUP(C274,NDasaSeq,13,0)</f>
        <v>Sg</v>
      </c>
      <c r="B289" s="194">
        <f>VLOOKUP(A289,NDasaC,3,0)</f>
        <v>1</v>
      </c>
      <c r="C289" s="925" t="e">
        <f>IF(MATCH(VLOOKUP(IF((A289="Aq"),VLOOKUP("AqLord",DivCharts,D273,0),IF((A289="Sc"),VLOOKUP("ScLord",DivCharts,D273,0),VLOOKUP(A289,RsInfo,9,0))),DivCharts,D273,0),RsTbl,0)=MATCH(VLOOKUP(IF((A289="Aq"),VLOOKUP("AqLord",DivCharts,D273,0),IF((A289="Sc"),VLOOKUP("ScLord",DivCharts,D273,0),VLOOKUP(A289,RsInfo,9,0))),PlanetData,8,0),RsTbl,0),1,IF(MATCH(VLOOKUP(IF((A289="Aq"),VLOOKUP("AqLord",DivCharts,D273,0),IF((A289="Sc"),VLOOKUP("ScLord",DivCharts,D273,0),VLOOKUP(A289,RsInfo,9,0))),DivCharts,D273,0),RsTbl,0)=MOD(MATCH(VLOOKUP(IF((A289="Aq"),VLOOKUP("AqLord",DivCharts,D273,0),IF((A289="Sc"),VLOOKUP("ScLord",DivCharts,D273,0),VLOOKUP(A289,RsInfo,9,0))),PlanetData,8,0),RsTbl,0)+6,12),-1,0))</f>
        <v>#N/A</v>
      </c>
      <c r="D289" s="925">
        <f>MOD((MATCH(VLOOKUP(IF((A289="Aq"),VLOOKUP("AqLord",DivCharts,D273,0),IF((A289="Sc"),VLOOKUP("ScLord",DivCharts,D273,0),VLOOKUP(A289,RsInfo,9,0))),DivCharts,D273,0),RsTbl,0)*B289)-(B289*MATCH(A289,RsTbl,0))+12,12)</f>
        <v>9</v>
      </c>
      <c r="E289" s="194" t="e">
        <f>IF(ISNA(MATCH((D289+C289),,0)),(D289+C289),12)</f>
        <v>#N/A</v>
      </c>
      <c r="F289" s="932" t="e">
        <f>G287</f>
        <v>#N/A</v>
      </c>
      <c r="G289" s="932" t="e">
        <f>F289+E289*NDDaysInYEar</f>
        <v>#N/A</v>
      </c>
      <c r="H289" s="919" t="s">
        <v>699</v>
      </c>
      <c r="I289" s="194" t="str">
        <f>INDEX(SignSym,MOD(B289+MATCH(H289,SignSym,0)-1,12)+1)</f>
        <v>Pi</v>
      </c>
      <c r="J289" s="194" t="str">
        <f>INDEX(SignSym,MOD(B289+MATCH(I289,SignSym,0)-1,12)+1)</f>
        <v>Ar</v>
      </c>
      <c r="K289" s="194" t="str">
        <f>INDEX(SignSym,MOD(B289+MATCH(J289,SignSym,0)-1,12)+1)</f>
        <v>Ta</v>
      </c>
      <c r="L289" s="194" t="str">
        <f>INDEX(SignSym,MOD(B289+MATCH(K289,SignSym,0)-1,12)+1)</f>
        <v>Ge</v>
      </c>
      <c r="M289" s="194" t="str">
        <f>INDEX(SignSym,MOD(B289+MATCH(L289,SignSym,0)-1,12)+1)</f>
        <v>Cn</v>
      </c>
      <c r="N289" s="194" t="str">
        <f>INDEX(SignSym,MOD(B289+MATCH(M289,SignSym,0)-1,12)+1)</f>
        <v>Le</v>
      </c>
      <c r="O289" s="194" t="str">
        <f>INDEX(SignSym,MOD(B289+MATCH(N289,SignSym,0)-1,12)+1)</f>
        <v>Vi</v>
      </c>
      <c r="P289" s="194" t="str">
        <f>INDEX(SignSym,MOD(B289+MATCH(O289,SignSym,0)-1,12)+1)</f>
        <v>Li</v>
      </c>
      <c r="Q289" s="194" t="str">
        <f>INDEX(SignSym,MOD(B289+MATCH(P289,SignSym,0)-1,12)+1)</f>
        <v>Sc</v>
      </c>
      <c r="R289" s="194" t="str">
        <f>INDEX(SignSym,MOD(B289+MATCH(Q289,SignSym,0)-1,12)+1)</f>
        <v>Sg</v>
      </c>
      <c r="S289" s="194" t="str">
        <f>INDEX(SignSym,MOD(B289+MATCH(R289,SignSym,0)-1,12)+1)</f>
        <v>Cp</v>
      </c>
    </row>
    <row r="290" spans="1:19" s="194" customFormat="1" hidden="1">
      <c r="C290" s="925"/>
      <c r="D290" s="925"/>
      <c r="F290" s="932"/>
      <c r="G290" s="932"/>
      <c r="H290" s="932" t="e">
        <f>F289</f>
        <v>#N/A</v>
      </c>
      <c r="I290" s="932" t="e">
        <f>H290+(E289*NDDaysInYEar/12)</f>
        <v>#N/A</v>
      </c>
      <c r="J290" s="932" t="e">
        <f>I290+(E289*NDDaysInYEar/12)</f>
        <v>#N/A</v>
      </c>
      <c r="K290" s="932" t="e">
        <f>J290+(E289*NDDaysInYEar/12)</f>
        <v>#N/A</v>
      </c>
      <c r="L290" s="932" t="e">
        <f>K290+(E289*NDDaysInYEar/12)</f>
        <v>#N/A</v>
      </c>
      <c r="M290" s="932" t="e">
        <f>L290+(E289*NDDaysInYEar/12)</f>
        <v>#N/A</v>
      </c>
      <c r="N290" s="932" t="e">
        <f>M290+(E289*NDDaysInYEar/12)</f>
        <v>#N/A</v>
      </c>
      <c r="O290" s="932" t="e">
        <f>N290+(E289*NDDaysInYEar/12)</f>
        <v>#N/A</v>
      </c>
      <c r="P290" s="932" t="e">
        <f>O290+(E289*NDDaysInYEar/12)</f>
        <v>#N/A</v>
      </c>
      <c r="Q290" s="932" t="e">
        <f>P290+(E289*NDDaysInYEar/12)</f>
        <v>#N/A</v>
      </c>
      <c r="R290" s="932" t="e">
        <f>Q290+(E289*NDDaysInYEar/12)</f>
        <v>#N/A</v>
      </c>
      <c r="S290" s="932" t="e">
        <f>R290+(E289*NDDaysInYEar/12)</f>
        <v>#N/A</v>
      </c>
    </row>
    <row r="291" spans="1:19" s="194" customFormat="1">
      <c r="A291" s="194" t="str">
        <f>VLOOKUP(C274,NDasaSeq,14,0)</f>
        <v>Le</v>
      </c>
      <c r="B291" s="194">
        <f>VLOOKUP(A291,NDasaC,3,0)</f>
        <v>-1</v>
      </c>
      <c r="C291" s="925" t="e">
        <f>IF(MATCH(VLOOKUP(IF((A291="Aq"),VLOOKUP("AqLord",DivCharts,D273,0),IF((A291="Sc"),VLOOKUP("ScLord",DivCharts,D273,0),VLOOKUP(A291,RsInfo,9,0))),DivCharts,D273,0),RsTbl,0)=MATCH(VLOOKUP(IF((A291="Aq"),VLOOKUP("AqLord",DivCharts,D273,0),IF((A291="Sc"),VLOOKUP("ScLord",DivCharts,D273,0),VLOOKUP(A291,RsInfo,9,0))),PlanetData,8,0),RsTbl,0),1,IF(MATCH(VLOOKUP(IF((A291="Aq"),VLOOKUP("AqLord",DivCharts,D273,0),IF((A291="Sc"),VLOOKUP("ScLord",DivCharts,D273,0),VLOOKUP(A291,RsInfo,9,0))),DivCharts,D273,0),RsTbl,0)=MOD(MATCH(VLOOKUP(IF((A291="Aq"),VLOOKUP("AqLord",DivCharts,D273,0),IF((A291="Sc"),VLOOKUP("ScLord",DivCharts,D273,0),VLOOKUP(A291,RsInfo,9,0))),PlanetData,8,0),RsTbl,0)+6,12),-1,0))</f>
        <v>#N/A</v>
      </c>
      <c r="D291" s="925">
        <f>MOD((MATCH(VLOOKUP(IF((A291="Aq"),VLOOKUP("AqLord",DivCharts,D273,0),IF((A291="Sc"),VLOOKUP("ScLord",DivCharts,D273,0),VLOOKUP(A291,RsInfo,9,0))),DivCharts,D273,0),RsTbl,0)*B291)-(B291*MATCH(A291,RsTbl,0))+12,12)</f>
        <v>10</v>
      </c>
      <c r="E291" s="194" t="e">
        <f>IF(ISNA(MATCH((D291+C291),,0)),(D291+C291),12)</f>
        <v>#N/A</v>
      </c>
      <c r="F291" s="932" t="e">
        <f>G289</f>
        <v>#N/A</v>
      </c>
      <c r="G291" s="932" t="e">
        <f>F291+E291*NDDaysInYEar</f>
        <v>#N/A</v>
      </c>
      <c r="H291" s="919" t="s">
        <v>693</v>
      </c>
      <c r="I291" s="194" t="str">
        <f>INDEX(SignSym,MOD(B291+MATCH(H291,SignSym,0)-1,12)+1)</f>
        <v>Ar</v>
      </c>
      <c r="J291" s="194" t="str">
        <f>INDEX(SignSym,MOD(B291+MATCH(I291,SignSym,0)-1,12)+1)</f>
        <v>Pi</v>
      </c>
      <c r="K291" s="194" t="str">
        <f>INDEX(SignSym,MOD(B291+MATCH(J291,SignSym,0)-1,12)+1)</f>
        <v>Aq</v>
      </c>
      <c r="L291" s="194" t="str">
        <f>INDEX(SignSym,MOD(B291+MATCH(K291,SignSym,0)-1,12)+1)</f>
        <v>Cp</v>
      </c>
      <c r="M291" s="194" t="str">
        <f>INDEX(SignSym,MOD(B291+MATCH(L291,SignSym,0)-1,12)+1)</f>
        <v>Sg</v>
      </c>
      <c r="N291" s="194" t="str">
        <f>INDEX(SignSym,MOD(B291+MATCH(M291,SignSym,0)-1,12)+1)</f>
        <v>Sc</v>
      </c>
      <c r="O291" s="194" t="str">
        <f>INDEX(SignSym,MOD(B291+MATCH(N291,SignSym,0)-1,12)+1)</f>
        <v>Li</v>
      </c>
      <c r="P291" s="194" t="str">
        <f>INDEX(SignSym,MOD(B291+MATCH(O291,SignSym,0)-1,12)+1)</f>
        <v>Vi</v>
      </c>
      <c r="Q291" s="194" t="str">
        <f>INDEX(SignSym,MOD(B291+MATCH(P291,SignSym,0)-1,12)+1)</f>
        <v>Le</v>
      </c>
      <c r="R291" s="194" t="str">
        <f>INDEX(SignSym,MOD(B291+MATCH(Q291,SignSym,0)-1,12)+1)</f>
        <v>Cn</v>
      </c>
      <c r="S291" s="194" t="str">
        <f>INDEX(SignSym,MOD(B291+MATCH(R291,SignSym,0)-1,12)+1)</f>
        <v>Ge</v>
      </c>
    </row>
    <row r="292" spans="1:19" s="194" customFormat="1" hidden="1">
      <c r="C292" s="925"/>
      <c r="D292" s="925"/>
      <c r="F292" s="932"/>
      <c r="G292" s="932"/>
      <c r="H292" s="932" t="e">
        <f>F291</f>
        <v>#N/A</v>
      </c>
      <c r="I292" s="932" t="e">
        <f>H292+(E291*NDDaysInYEar/12)</f>
        <v>#N/A</v>
      </c>
      <c r="J292" s="932" t="e">
        <f>I292+(E291*NDDaysInYEar/12)</f>
        <v>#N/A</v>
      </c>
      <c r="K292" s="932" t="e">
        <f>J292+(E291*NDDaysInYEar/12)</f>
        <v>#N/A</v>
      </c>
      <c r="L292" s="932" t="e">
        <f>K292+(E291*NDDaysInYEar/12)</f>
        <v>#N/A</v>
      </c>
      <c r="M292" s="932" t="e">
        <f>L292+(E291*NDDaysInYEar/12)</f>
        <v>#N/A</v>
      </c>
      <c r="N292" s="932" t="e">
        <f>M292+(E291*NDDaysInYEar/12)</f>
        <v>#N/A</v>
      </c>
      <c r="O292" s="932" t="e">
        <f>N292+(E291*NDDaysInYEar/12)</f>
        <v>#N/A</v>
      </c>
      <c r="P292" s="932" t="e">
        <f>O292+(E291*NDDaysInYEar/12)</f>
        <v>#N/A</v>
      </c>
      <c r="Q292" s="932" t="e">
        <f>P292+(E291*NDDaysInYEar/12)</f>
        <v>#N/A</v>
      </c>
      <c r="R292" s="932" t="e">
        <f>Q292+(E291*NDDaysInYEar/12)</f>
        <v>#N/A</v>
      </c>
      <c r="S292" s="932" t="e">
        <f>R292+(E291*NDDaysInYEar/12)</f>
        <v>#N/A</v>
      </c>
    </row>
    <row r="293" spans="1:19" s="194" customFormat="1">
      <c r="A293" s="194" t="str">
        <f>VLOOKUP(C274,NDasaSeq,15,0)</f>
        <v>Ar</v>
      </c>
      <c r="B293" s="194">
        <f>VLOOKUP(A293,NDasaC,3,0)</f>
        <v>1</v>
      </c>
      <c r="C293" s="925" t="e">
        <f>IF(MATCH(VLOOKUP(IF((A293="Aq"),VLOOKUP("AqLord",DivCharts,D273,0),IF((A293="Sc"),VLOOKUP("ScLord",DivCharts,D273,0),VLOOKUP(A293,RsInfo,9,0))),DivCharts,D273,0),RsTbl,0)=MATCH(VLOOKUP(IF((A293="Aq"),VLOOKUP("AqLord",DivCharts,D273,0),IF((A293="Sc"),VLOOKUP("ScLord",DivCharts,D273,0),VLOOKUP(A293,RsInfo,9,0))),PlanetData,8,0),RsTbl,0),1,IF(MATCH(VLOOKUP(IF((A293="Aq"),VLOOKUP("AqLord",DivCharts,D273,0),IF((A293="Sc"),VLOOKUP("ScLord",DivCharts,D273,0),VLOOKUP(A293,RsInfo,9,0))),DivCharts,D273,0),RsTbl,0)=MOD(MATCH(VLOOKUP(IF((A293="Aq"),VLOOKUP("AqLord",DivCharts,D273,0),IF((A293="Sc"),VLOOKUP("ScLord",DivCharts,D273,0),VLOOKUP(A293,RsInfo,9,0))),PlanetData,8,0),RsTbl,0)+6,12),-1,0))</f>
        <v>#N/A</v>
      </c>
      <c r="D293" s="925">
        <f>MOD((MATCH(VLOOKUP(IF((A293="Aq"),VLOOKUP("AqLord",DivCharts,D273,0),IF((A293="Sc"),VLOOKUP("ScLord",DivCharts,D273,0),VLOOKUP(A293,RsInfo,9,0))),DivCharts,D273,0),RsTbl,0)*B293)-(B293*MATCH(A293,RsTbl,0))+12,12)</f>
        <v>2</v>
      </c>
      <c r="E293" s="194" t="e">
        <f>IF(ISNA(MATCH((D293+C293),,0)),(D293+C293),12)</f>
        <v>#N/A</v>
      </c>
      <c r="F293" s="932" t="e">
        <f>G291</f>
        <v>#N/A</v>
      </c>
      <c r="G293" s="932" t="e">
        <f>F293+E293*NDDaysInYEar</f>
        <v>#N/A</v>
      </c>
      <c r="H293" s="919" t="str">
        <f>A293</f>
        <v>Ar</v>
      </c>
      <c r="I293" s="194" t="str">
        <f>INDEX(SignSym,MOD(B293+MATCH(H293,SignSym,0)-1,12)+1)</f>
        <v>Ta</v>
      </c>
      <c r="J293" s="194" t="str">
        <f>INDEX(SignSym,MOD(B293+MATCH(I293,SignSym,0)-1,12)+1)</f>
        <v>Ge</v>
      </c>
      <c r="K293" s="194" t="str">
        <f>INDEX(SignSym,MOD(B293+MATCH(J293,SignSym,0)-1,12)+1)</f>
        <v>Cn</v>
      </c>
      <c r="L293" s="194" t="str">
        <f>INDEX(SignSym,MOD(B293+MATCH(K293,SignSym,0)-1,12)+1)</f>
        <v>Le</v>
      </c>
      <c r="M293" s="194" t="str">
        <f>INDEX(SignSym,MOD(B293+MATCH(L293,SignSym,0)-1,12)+1)</f>
        <v>Vi</v>
      </c>
      <c r="N293" s="194" t="str">
        <f>INDEX(SignSym,MOD(B293+MATCH(M293,SignSym,0)-1,12)+1)</f>
        <v>Li</v>
      </c>
      <c r="O293" s="194" t="str">
        <f>INDEX(SignSym,MOD(B293+MATCH(N293,SignSym,0)-1,12)+1)</f>
        <v>Sc</v>
      </c>
      <c r="P293" s="194" t="str">
        <f>INDEX(SignSym,MOD(B293+MATCH(O293,SignSym,0)-1,12)+1)</f>
        <v>Sg</v>
      </c>
      <c r="Q293" s="194" t="str">
        <f>INDEX(SignSym,MOD(B293+MATCH(P293,SignSym,0)-1,12)+1)</f>
        <v>Cp</v>
      </c>
      <c r="R293" s="194" t="str">
        <f>INDEX(SignSym,MOD(B293+MATCH(Q293,SignSym,0)-1,12)+1)</f>
        <v>Aq</v>
      </c>
      <c r="S293" s="194" t="str">
        <f>INDEX(SignSym,MOD(B293+MATCH(R293,SignSym,0)-1,12)+1)</f>
        <v>Pi</v>
      </c>
    </row>
    <row r="294" spans="1:19" s="194" customFormat="1" ht="12.75" hidden="1" customHeight="1">
      <c r="C294" s="925"/>
      <c r="D294" s="925"/>
      <c r="F294" s="932"/>
      <c r="G294" s="932"/>
      <c r="H294" s="932" t="e">
        <f>F293</f>
        <v>#N/A</v>
      </c>
      <c r="I294" s="932" t="e">
        <f>H294+(E293*NDDaysInYEar/12)</f>
        <v>#N/A</v>
      </c>
      <c r="J294" s="932" t="e">
        <f>I294+(E293*NDDaysInYEar/12)</f>
        <v>#N/A</v>
      </c>
      <c r="K294" s="932" t="e">
        <f>J294+(E293*NDDaysInYEar/12)</f>
        <v>#N/A</v>
      </c>
      <c r="L294" s="932" t="e">
        <f>K294+(E293*NDDaysInYEar/12)</f>
        <v>#N/A</v>
      </c>
      <c r="M294" s="932" t="e">
        <f>L294+(E293*NDDaysInYEar/12)</f>
        <v>#N/A</v>
      </c>
      <c r="N294" s="932" t="e">
        <f>M294+(E293*NDDaysInYEar/12)</f>
        <v>#N/A</v>
      </c>
      <c r="O294" s="932" t="e">
        <f>N294+(E293*NDDaysInYEar/12)</f>
        <v>#N/A</v>
      </c>
      <c r="P294" s="932" t="e">
        <f>O294+(E293*NDDaysInYEar/12)</f>
        <v>#N/A</v>
      </c>
      <c r="Q294" s="932" t="e">
        <f>P294+(E293*NDDaysInYEar/12)</f>
        <v>#N/A</v>
      </c>
      <c r="R294" s="932" t="e">
        <f>Q294+(E293*NDDaysInYEar/12)</f>
        <v>#N/A</v>
      </c>
      <c r="S294" s="932" t="e">
        <f>R294+(E293*NDDaysInYEar/12)</f>
        <v>#N/A</v>
      </c>
    </row>
    <row r="295" spans="1:19" s="194" customFormat="1">
      <c r="A295" s="194" t="str">
        <f>VLOOKUP(C274,NDasaSeq,16,0)</f>
        <v>Pi</v>
      </c>
      <c r="B295" s="194">
        <f>VLOOKUP(A295,NDasaC,3,0)</f>
        <v>-1</v>
      </c>
      <c r="C295" s="925" t="e">
        <f>IF(MATCH(VLOOKUP(IF((A295="Aq"),VLOOKUP("AqLord",DivCharts,D273,0),IF((A295="Sc"),VLOOKUP("ScLord",DivCharts,D273,0),VLOOKUP(A295,RsInfo,9,0))),DivCharts,D273,0),RsTbl,0)=MATCH(VLOOKUP(IF((A295="Aq"),VLOOKUP("AqLord",DivCharts,D273,0),IF((A295="Sc"),VLOOKUP("ScLord",DivCharts,D273,0),VLOOKUP(A295,RsInfo,9,0))),PlanetData,8,0),RsTbl,0),1,IF(MATCH(VLOOKUP(IF((A295="Aq"),VLOOKUP("AqLord",DivCharts,D273,0),IF((A295="Sc"),VLOOKUP("ScLord",DivCharts,D273,0),VLOOKUP(A295,RsInfo,9,0))),DivCharts,D273,0),RsTbl,0)=MOD(MATCH(VLOOKUP(IF((A295="Aq"),VLOOKUP("AqLord",DivCharts,D273,0),IF((A295="Sc"),VLOOKUP("ScLord",DivCharts,D273,0),VLOOKUP(A295,RsInfo,9,0))),PlanetData,8,0),RsTbl,0)+6,12),-1,0))</f>
        <v>#N/A</v>
      </c>
      <c r="D295" s="925">
        <f>MOD((MATCH(VLOOKUP(IF((A295="Aq"),VLOOKUP("AqLord",DivCharts,D273,0),IF((A295="Sc"),VLOOKUP("ScLord",DivCharts,D273,0),VLOOKUP(A295,RsInfo,9,0))),DivCharts,D273,0),RsTbl,0)*B295)-(B295*MATCH(A295,RsTbl,0))+12,12)</f>
        <v>6</v>
      </c>
      <c r="E295" s="194" t="e">
        <f>IF(ISNA(MATCH((D295+C295),,0)),(D295+C295),12)</f>
        <v>#N/A</v>
      </c>
      <c r="F295" s="932" t="e">
        <f>G293</f>
        <v>#N/A</v>
      </c>
      <c r="G295" s="932" t="e">
        <f>F295+E295*NDDaysInYEar</f>
        <v>#N/A</v>
      </c>
      <c r="H295" s="919" t="str">
        <f>A295</f>
        <v>Pi</v>
      </c>
      <c r="I295" s="194" t="str">
        <f>INDEX(SignSym,MOD(B295+MATCH(H295,SignSym,0)-1,12)+1)</f>
        <v>Aq</v>
      </c>
      <c r="J295" s="194" t="str">
        <f>INDEX(SignSym,MOD(B295+MATCH(I295,SignSym,0)-1,12)+1)</f>
        <v>Cp</v>
      </c>
      <c r="K295" s="194" t="str">
        <f>INDEX(SignSym,MOD(B295+MATCH(J295,SignSym,0)-1,12)+1)</f>
        <v>Sg</v>
      </c>
      <c r="L295" s="194" t="str">
        <f>INDEX(SignSym,MOD(B295+MATCH(K295,SignSym,0)-1,12)+1)</f>
        <v>Sc</v>
      </c>
      <c r="M295" s="194" t="str">
        <f>INDEX(SignSym,MOD(B295+MATCH(L295,SignSym,0)-1,12)+1)</f>
        <v>Li</v>
      </c>
      <c r="N295" s="194" t="str">
        <f>INDEX(SignSym,MOD(B295+MATCH(M295,SignSym,0)-1,12)+1)</f>
        <v>Vi</v>
      </c>
      <c r="O295" s="194" t="str">
        <f>INDEX(SignSym,MOD(B295+MATCH(N295,SignSym,0)-1,12)+1)</f>
        <v>Le</v>
      </c>
      <c r="P295" s="194" t="str">
        <f>INDEX(SignSym,MOD(B295+MATCH(O295,SignSym,0)-1,12)+1)</f>
        <v>Cn</v>
      </c>
      <c r="Q295" s="194" t="str">
        <f>INDEX(SignSym,MOD(B295+MATCH(P295,SignSym,0)-1,12)+1)</f>
        <v>Ge</v>
      </c>
      <c r="R295" s="194" t="str">
        <f>INDEX(SignSym,MOD(B295+MATCH(Q295,SignSym,0)-1,12)+1)</f>
        <v>Ta</v>
      </c>
      <c r="S295" s="194" t="str">
        <f>INDEX(SignSym,MOD(B295+MATCH(R295,SignSym,0)-1,12)+1)</f>
        <v>Ar</v>
      </c>
    </row>
    <row r="296" spans="1:19" s="194" customFormat="1" ht="12.75" hidden="1" customHeight="1">
      <c r="C296" s="925"/>
      <c r="D296" s="925"/>
      <c r="F296" s="932"/>
      <c r="G296" s="932"/>
      <c r="H296" s="932" t="e">
        <f>F295</f>
        <v>#N/A</v>
      </c>
      <c r="I296" s="932" t="e">
        <f>H296+(E295*NDDaysInYEar/12)</f>
        <v>#N/A</v>
      </c>
      <c r="J296" s="932" t="e">
        <f>I296+(E295*NDDaysInYEar/12)</f>
        <v>#N/A</v>
      </c>
      <c r="K296" s="932" t="e">
        <f>J296+(E295*NDDaysInYEar/12)</f>
        <v>#N/A</v>
      </c>
      <c r="L296" s="932" t="e">
        <f>K296+(E295*NDDaysInYEar/12)</f>
        <v>#N/A</v>
      </c>
      <c r="M296" s="932" t="e">
        <f>L296+(E295*NDDaysInYEar/12)</f>
        <v>#N/A</v>
      </c>
      <c r="N296" s="932" t="e">
        <f>M296+(E295*NDDaysInYEar/12)</f>
        <v>#N/A</v>
      </c>
      <c r="O296" s="932" t="e">
        <f>N296+(E295*NDDaysInYEar/12)</f>
        <v>#N/A</v>
      </c>
      <c r="P296" s="932" t="e">
        <f>O296+(E295*NDDaysInYEar/12)</f>
        <v>#N/A</v>
      </c>
      <c r="Q296" s="932" t="e">
        <f>P296+(E295*NDDaysInYEar/12)</f>
        <v>#N/A</v>
      </c>
      <c r="R296" s="932" t="e">
        <f>Q296+(E295*NDDaysInYEar/12)</f>
        <v>#N/A</v>
      </c>
      <c r="S296" s="932" t="e">
        <f>R296+(E295*NDDaysInYEar/12)</f>
        <v>#N/A</v>
      </c>
    </row>
    <row r="297" spans="1:19" s="194" customFormat="1">
      <c r="A297" s="194" t="str">
        <f>VLOOKUP(C274,NDasaSeq,17,0)</f>
        <v>Sc</v>
      </c>
      <c r="B297" s="194">
        <f>VLOOKUP(A297,NDasaC,3,0)</f>
        <v>1</v>
      </c>
      <c r="C297" s="925" t="e">
        <f>IF(MATCH(VLOOKUP(IF((A297="Aq"),VLOOKUP("AqLord",DivCharts,D273,0),IF((A297="Sc"),VLOOKUP("ScLord",DivCharts,D273,0),VLOOKUP(A297,RsInfo,9,0))),DivCharts,D273,0),RsTbl,0)=MATCH(VLOOKUP(IF((A297="Aq"),VLOOKUP("AqLord",DivCharts,D273,0),IF((A297="Sc"),VLOOKUP("ScLord",DivCharts,D273,0),VLOOKUP(A297,RsInfo,9,0))),PlanetData,8,0),RsTbl,0),1,IF(MATCH(VLOOKUP(IF((A297="Aq"),VLOOKUP("AqLord",DivCharts,D273,0),IF((A297="Sc"),VLOOKUP("ScLord",DivCharts,D273,0),VLOOKUP(A297,RsInfo,9,0))),DivCharts,D273,0),RsTbl,0)=MOD(MATCH(VLOOKUP(IF((A297="Aq"),VLOOKUP("AqLord",DivCharts,D273,0),IF((A297="Sc"),VLOOKUP("ScLord",DivCharts,D273,0),VLOOKUP(A297,RsInfo,9,0))),PlanetData,8,0),RsTbl,0)+6,12),-1,0))</f>
        <v>#N/A</v>
      </c>
      <c r="D297" s="925">
        <f>MOD((MATCH(VLOOKUP(IF((A297="Aq"),VLOOKUP("AqLord",DivCharts,D273,0),IF((A297="Sc"),VLOOKUP("ScLord",DivCharts,D273,0),VLOOKUP(A297,RsInfo,9,0))),DivCharts,D273,0),RsTbl,0)*B297)-(B297*MATCH(A297,RsTbl,0))+12,12)</f>
        <v>7</v>
      </c>
      <c r="E297" s="194" t="e">
        <f>IF(ISNA(MATCH((D297+C297),,0)),(D297+C297),12)</f>
        <v>#N/A</v>
      </c>
      <c r="F297" s="932" t="e">
        <f>G295</f>
        <v>#N/A</v>
      </c>
      <c r="G297" s="932" t="e">
        <f>F297+E297*NDDaysInYEar</f>
        <v>#N/A</v>
      </c>
      <c r="H297" s="919" t="str">
        <f>A297</f>
        <v>Sc</v>
      </c>
      <c r="I297" s="194" t="str">
        <f>INDEX(SignSym,MOD(B297+MATCH(H297,SignSym,0)-1,12)+1)</f>
        <v>Sg</v>
      </c>
      <c r="J297" s="194" t="str">
        <f>INDEX(SignSym,MOD(B297+MATCH(I297,SignSym,0)-1,12)+1)</f>
        <v>Cp</v>
      </c>
      <c r="K297" s="194" t="str">
        <f>INDEX(SignSym,MOD(B297+MATCH(J297,SignSym,0)-1,12)+1)</f>
        <v>Aq</v>
      </c>
      <c r="L297" s="194" t="str">
        <f>INDEX(SignSym,MOD(B297+MATCH(K297,SignSym,0)-1,12)+1)</f>
        <v>Pi</v>
      </c>
      <c r="M297" s="194" t="str">
        <f>INDEX(SignSym,MOD(B297+MATCH(L297,SignSym,0)-1,12)+1)</f>
        <v>Ar</v>
      </c>
      <c r="N297" s="194" t="str">
        <f>INDEX(SignSym,MOD(B297+MATCH(M297,SignSym,0)-1,12)+1)</f>
        <v>Ta</v>
      </c>
      <c r="O297" s="194" t="str">
        <f>INDEX(SignSym,MOD(B297+MATCH(N297,SignSym,0)-1,12)+1)</f>
        <v>Ge</v>
      </c>
      <c r="P297" s="194" t="str">
        <f>INDEX(SignSym,MOD(B297+MATCH(O297,SignSym,0)-1,12)+1)</f>
        <v>Cn</v>
      </c>
      <c r="Q297" s="194" t="str">
        <f>INDEX(SignSym,MOD(B297+MATCH(P297,SignSym,0)-1,12)+1)</f>
        <v>Le</v>
      </c>
      <c r="R297" s="194" t="str">
        <f>INDEX(SignSym,MOD(B297+MATCH(Q297,SignSym,0)-1,12)+1)</f>
        <v>Vi</v>
      </c>
      <c r="S297" s="194" t="str">
        <f>INDEX(SignSym,MOD(B297+MATCH(R297,SignSym,0)-1,12)+1)</f>
        <v>Li</v>
      </c>
    </row>
    <row r="298" spans="1:19" s="194" customFormat="1" ht="12.75" hidden="1" customHeight="1">
      <c r="C298" s="925"/>
      <c r="D298" s="925"/>
      <c r="F298" s="932"/>
      <c r="G298" s="932"/>
      <c r="H298" s="932" t="e">
        <f>F297</f>
        <v>#N/A</v>
      </c>
      <c r="I298" s="932" t="e">
        <f>H298+(E297*NDDaysInYEar/12)</f>
        <v>#N/A</v>
      </c>
      <c r="J298" s="932" t="e">
        <f>I298+(E297*NDDaysInYEar/12)</f>
        <v>#N/A</v>
      </c>
      <c r="K298" s="932" t="e">
        <f>J298+(E297*NDDaysInYEar/12)</f>
        <v>#N/A</v>
      </c>
      <c r="L298" s="932" t="e">
        <f>K298+(E297*NDDaysInYEar/12)</f>
        <v>#N/A</v>
      </c>
      <c r="M298" s="932" t="e">
        <f>L298+(E297*NDDaysInYEar/12)</f>
        <v>#N/A</v>
      </c>
      <c r="N298" s="932" t="e">
        <f>M298+(E297*NDDaysInYEar/12)</f>
        <v>#N/A</v>
      </c>
      <c r="O298" s="932" t="e">
        <f>N298+(E297*NDDaysInYEar/12)</f>
        <v>#N/A</v>
      </c>
      <c r="P298" s="932" t="e">
        <f>O298+(E297*NDDaysInYEar/12)</f>
        <v>#N/A</v>
      </c>
      <c r="Q298" s="932" t="e">
        <f>P298+(E297*NDDaysInYEar/12)</f>
        <v>#N/A</v>
      </c>
      <c r="R298" s="932" t="e">
        <f>Q298+(E297*NDDaysInYEar/12)</f>
        <v>#N/A</v>
      </c>
      <c r="S298" s="932" t="e">
        <f>R298+(E297*NDDaysInYEar/12)</f>
        <v>#N/A</v>
      </c>
    </row>
    <row r="299" spans="1:19" s="194" customFormat="1">
      <c r="A299" s="194" t="str">
        <f>VLOOKUP(C274,NDasaSeq,18,0)</f>
        <v>Cn</v>
      </c>
      <c r="B299" s="194">
        <f>VLOOKUP(A299,NDasaC,3,0)</f>
        <v>-1</v>
      </c>
      <c r="C299" s="925" t="e">
        <f>IF(MATCH(VLOOKUP(IF((A299="Aq"),VLOOKUP("AqLord",DivCharts,D273,0),IF((A299="Sc"),VLOOKUP("ScLord",DivCharts,D273,0),VLOOKUP(A299,RsInfo,9,0))),DivCharts,D273,0),RsTbl,0)=MATCH(VLOOKUP(IF((A299="Aq"),VLOOKUP("AqLord",DivCharts,D273,0),IF((A299="Sc"),VLOOKUP("ScLord",DivCharts,D273,0),VLOOKUP(A299,RsInfo,9,0))),PlanetData,8,0),RsTbl,0),1,IF(MATCH(VLOOKUP(IF((A299="Aq"),VLOOKUP("AqLord",DivCharts,D273,0),IF((A299="Sc"),VLOOKUP("ScLord",DivCharts,D273,0),VLOOKUP(A299,RsInfo,9,0))),DivCharts,D273,0),RsTbl,0)=MOD(MATCH(VLOOKUP(IF((A299="Aq"),VLOOKUP("AqLord",DivCharts,D273,0),IF((A299="Sc"),VLOOKUP("ScLord",DivCharts,D273,0),VLOOKUP(A299,RsInfo,9,0))),PlanetData,8,0),RsTbl,0)+6,12),-1,0))</f>
        <v>#N/A</v>
      </c>
      <c r="D299" s="925">
        <f>MOD((MATCH(VLOOKUP(IF((A299="Aq"),VLOOKUP("AqLord",DivCharts,D273,0),IF((A299="Sc"),VLOOKUP("ScLord",DivCharts,D273,0),VLOOKUP(A299,RsInfo,9,0))),DivCharts,D273,0),RsTbl,0)*B299)-(B299*MATCH(A299,RsTbl,0))+12,12)</f>
        <v>11</v>
      </c>
      <c r="E299" s="194" t="e">
        <f>IF(ISNA(MATCH((D299+C299),,0)),(D299+C299),12)</f>
        <v>#N/A</v>
      </c>
      <c r="F299" s="932" t="e">
        <f>G297</f>
        <v>#N/A</v>
      </c>
      <c r="G299" s="932" t="e">
        <f>F299+E299*NDDaysInYEar</f>
        <v>#N/A</v>
      </c>
      <c r="H299" s="919" t="str">
        <f>A299</f>
        <v>Cn</v>
      </c>
      <c r="I299" s="194" t="str">
        <f>INDEX(SignSym,MOD(B299+MATCH(H299,SignSym,0)-1,12)+1)</f>
        <v>Ge</v>
      </c>
      <c r="J299" s="194" t="str">
        <f>INDEX(SignSym,MOD(B299+MATCH(I299,SignSym,0)-1,12)+1)</f>
        <v>Ta</v>
      </c>
      <c r="K299" s="194" t="str">
        <f>INDEX(SignSym,MOD(B299+MATCH(J299,SignSym,0)-1,12)+1)</f>
        <v>Ar</v>
      </c>
      <c r="L299" s="194" t="str">
        <f>INDEX(SignSym,MOD(B299+MATCH(K299,SignSym,0)-1,12)+1)</f>
        <v>Pi</v>
      </c>
      <c r="M299" s="194" t="str">
        <f>INDEX(SignSym,MOD(B299+MATCH(L299,SignSym,0)-1,12)+1)</f>
        <v>Aq</v>
      </c>
      <c r="N299" s="194" t="str">
        <f>INDEX(SignSym,MOD(B299+MATCH(M299,SignSym,0)-1,12)+1)</f>
        <v>Cp</v>
      </c>
      <c r="O299" s="194" t="str">
        <f>INDEX(SignSym,MOD(B299+MATCH(N299,SignSym,0)-1,12)+1)</f>
        <v>Sg</v>
      </c>
      <c r="P299" s="194" t="str">
        <f>INDEX(SignSym,MOD(B299+MATCH(O299,SignSym,0)-1,12)+1)</f>
        <v>Sc</v>
      </c>
      <c r="Q299" s="194" t="str">
        <f>INDEX(SignSym,MOD(B299+MATCH(P299,SignSym,0)-1,12)+1)</f>
        <v>Li</v>
      </c>
      <c r="R299" s="194" t="str">
        <f>INDEX(SignSym,MOD(B299+MATCH(Q299,SignSym,0)-1,12)+1)</f>
        <v>Vi</v>
      </c>
      <c r="S299" s="194" t="str">
        <f>INDEX(SignSym,MOD(B299+MATCH(R299,SignSym,0)-1,12)+1)</f>
        <v>Le</v>
      </c>
    </row>
    <row r="300" spans="1:19" s="194" customFormat="1" hidden="1">
      <c r="D300" s="925"/>
      <c r="H300" s="932" t="e">
        <f>F299</f>
        <v>#N/A</v>
      </c>
      <c r="I300" s="932" t="e">
        <f>H300+(E299*NDDaysInYEar/12)</f>
        <v>#N/A</v>
      </c>
      <c r="J300" s="932" t="e">
        <f>I300+(E299*NDDaysInYEar/12)</f>
        <v>#N/A</v>
      </c>
      <c r="K300" s="932" t="e">
        <f>J300+(E299*NDDaysInYEar/12)</f>
        <v>#N/A</v>
      </c>
      <c r="L300" s="932" t="e">
        <f>K300+(E299*NDDaysInYEar/12)</f>
        <v>#N/A</v>
      </c>
      <c r="M300" s="932" t="e">
        <f>L300+(E299*NDDaysInYEar/12)</f>
        <v>#N/A</v>
      </c>
      <c r="N300" s="932" t="e">
        <f>M300+(E299*NDDaysInYEar/12)</f>
        <v>#N/A</v>
      </c>
      <c r="O300" s="932" t="e">
        <f>N300+(E299*NDDaysInYEar/12)</f>
        <v>#N/A</v>
      </c>
      <c r="P300" s="932" t="e">
        <f>O300+(E299*NDDaysInYEar/12)</f>
        <v>#N/A</v>
      </c>
      <c r="Q300" s="932" t="e">
        <f>P300+(E299*NDDaysInYEar/12)</f>
        <v>#N/A</v>
      </c>
      <c r="R300" s="932" t="e">
        <f>Q300+(E299*NDDaysInYEar/12)</f>
        <v>#N/A</v>
      </c>
      <c r="S300" s="932" t="e">
        <f>R300+(E299*NDDaysInYEar/12)</f>
        <v>#N/A</v>
      </c>
    </row>
    <row r="301" spans="1:19" s="194" customFormat="1">
      <c r="A301" s="931"/>
      <c r="B301" s="931"/>
      <c r="C301" s="931"/>
      <c r="D301" s="931"/>
      <c r="E301" s="931"/>
      <c r="F301" s="931"/>
      <c r="G301" s="931"/>
      <c r="H301" s="931"/>
      <c r="I301" s="931"/>
      <c r="J301" s="931"/>
      <c r="K301" s="931"/>
      <c r="L301" s="931"/>
      <c r="M301" s="931"/>
      <c r="N301" s="931"/>
      <c r="O301" s="931"/>
      <c r="P301" s="931"/>
      <c r="Q301" s="931"/>
      <c r="R301" s="931"/>
      <c r="S301" s="931"/>
    </row>
    <row r="303" spans="1:19">
      <c r="A303" s="913" t="s">
        <v>4200</v>
      </c>
      <c r="B303" s="914"/>
      <c r="C303" s="914"/>
      <c r="D303" s="914"/>
      <c r="E303" s="914"/>
      <c r="F303" s="914"/>
      <c r="G303" s="914"/>
      <c r="H303" s="914"/>
      <c r="I303" s="914"/>
      <c r="J303" s="914"/>
      <c r="K303" s="914"/>
      <c r="L303" s="915"/>
      <c r="M303" s="914"/>
      <c r="N303" s="914"/>
      <c r="O303" s="914"/>
      <c r="P303" s="914"/>
      <c r="Q303" s="914"/>
      <c r="R303" s="914"/>
      <c r="S303" s="914"/>
    </row>
    <row r="304" spans="1:19" s="194" customFormat="1">
      <c r="A304" s="1366" t="s">
        <v>4189</v>
      </c>
      <c r="B304" s="1366"/>
      <c r="C304" s="916">
        <v>12</v>
      </c>
      <c r="D304" s="917">
        <f>MATCH(C304,$18:$18,1)</f>
        <v>8</v>
      </c>
      <c r="I304" s="918"/>
      <c r="N304" s="918"/>
    </row>
    <row r="305" spans="1:19" s="194" customFormat="1">
      <c r="A305" s="1366" t="s">
        <v>4192</v>
      </c>
      <c r="B305" s="1366"/>
      <c r="C305" s="919" t="s">
        <v>3168</v>
      </c>
      <c r="D305" s="920"/>
      <c r="H305" s="918"/>
      <c r="I305" s="918"/>
      <c r="J305" s="918"/>
      <c r="P305" s="918"/>
    </row>
    <row r="306" spans="1:19" s="194" customFormat="1">
      <c r="C306" s="918"/>
      <c r="E306" s="918"/>
      <c r="H306" s="918"/>
      <c r="I306" s="918"/>
      <c r="J306" s="918"/>
    </row>
    <row r="307" spans="1:19" s="194" customFormat="1">
      <c r="A307" s="934" t="s">
        <v>4060</v>
      </c>
      <c r="B307" s="934" t="s">
        <v>807</v>
      </c>
      <c r="C307" s="934" t="s">
        <v>4194</v>
      </c>
      <c r="D307" s="934" t="s">
        <v>4195</v>
      </c>
      <c r="E307" s="934" t="s">
        <v>400</v>
      </c>
      <c r="F307" s="934" t="s">
        <v>730</v>
      </c>
      <c r="G307" s="934" t="s">
        <v>805</v>
      </c>
      <c r="H307" s="934" t="s">
        <v>4197</v>
      </c>
      <c r="I307" s="918"/>
      <c r="J307" s="918"/>
    </row>
    <row r="308" spans="1:19" s="194" customFormat="1">
      <c r="A308" s="194" t="str">
        <f>VLOOKUP(C305,NDasaSeq,7,0)</f>
        <v>Sg</v>
      </c>
      <c r="B308" s="194">
        <f>VLOOKUP(A308,NDasaC,3,0)</f>
        <v>1</v>
      </c>
      <c r="C308" s="925" t="e">
        <f>IF(MATCH(VLOOKUP(IF((A308="Aq"),VLOOKUP("AqLord",DivCharts,D304,0),IF((A308="Sc"),VLOOKUP("ScLord",DivCharts,D304,0),VLOOKUP(A308,RsInfo,9,0))),DivCharts,D304,0),RsTbl,0)=MATCH(VLOOKUP(IF((A308="Aq"),VLOOKUP("AqLord",DivCharts,D304,0),IF((A308="Sc"),VLOOKUP("ScLord",DivCharts,D304,0),VLOOKUP(A308,RsInfo,9,0))),PlanetData,8,0),RsTbl,0),1,IF(MATCH(VLOOKUP(IF((A308="Aq"),VLOOKUP("AqLord",DivCharts,D304,0),IF((A308="Sc"),VLOOKUP("ScLord",DivCharts,D304,0),VLOOKUP(A308,RsInfo,9,0))),DivCharts,D304,0),RsTbl,0)=MOD(MATCH(VLOOKUP(IF((A308="Aq"),VLOOKUP("AqLord",DivCharts,D304,0),IF((A308="Sc"),VLOOKUP("ScLord",DivCharts,D304,0),VLOOKUP(A308,RsInfo,9,0))),PlanetData,8,0),RsTbl,0)+6,12),-1,0))</f>
        <v>#N/A</v>
      </c>
      <c r="D308" s="925">
        <f>MOD((MATCH(VLOOKUP(IF((A308="Aq"),VLOOKUP("AqLord",DivCharts,D304,0),IF((A308="Sc"),VLOOKUP("ScLord",DivCharts,D304,0),VLOOKUP(A308,RsInfo,9,0))),DivCharts,D304,0),RsTbl,0)*B308)-(B308*MATCH(A308,RsTbl,0))+12,12)</f>
        <v>0</v>
      </c>
      <c r="E308" s="194" t="e">
        <f>IF(ISNA(MATCH((D308+C308),,0)),(D308+C308),12)</f>
        <v>#N/A</v>
      </c>
      <c r="F308" s="932">
        <f>DoB</f>
        <v>26133.384143518517</v>
      </c>
      <c r="G308" s="932" t="e">
        <f>F308+E308*NDDaysInYEar</f>
        <v>#N/A</v>
      </c>
      <c r="H308" s="919" t="str">
        <f>A308</f>
        <v>Sg</v>
      </c>
      <c r="I308" s="194" t="str">
        <f>INDEX(SignSym,MOD(B308+MATCH(H308,SignSym,0)-1,12)+1)</f>
        <v>Cp</v>
      </c>
      <c r="J308" s="194" t="str">
        <f>INDEX(SignSym,MOD(B308+MATCH(I308,SignSym,0)-1,12)+1)</f>
        <v>Aq</v>
      </c>
      <c r="K308" s="194" t="str">
        <f>INDEX(SignSym,MOD(B308+MATCH(J308,SignSym,0)-1,12)+1)</f>
        <v>Pi</v>
      </c>
      <c r="L308" s="194" t="str">
        <f>INDEX(SignSym,MOD(B308+MATCH(K308,SignSym,0)-1,12)+1)</f>
        <v>Ar</v>
      </c>
      <c r="M308" s="194" t="str">
        <f>INDEX(SignSym,MOD(B308+MATCH(L308,SignSym,0)-1,12)+1)</f>
        <v>Ta</v>
      </c>
      <c r="N308" s="194" t="str">
        <f>INDEX(SignSym,MOD(B308+MATCH(M308,SignSym,0)-1,12)+1)</f>
        <v>Ge</v>
      </c>
      <c r="O308" s="194" t="str">
        <f>INDEX(SignSym,MOD(B308+MATCH(N308,SignSym,0)-1,12)+1)</f>
        <v>Cn</v>
      </c>
      <c r="P308" s="194" t="str">
        <f>INDEX(SignSym,MOD(B308+MATCH(O308,SignSym,0)-1,12)+1)</f>
        <v>Le</v>
      </c>
      <c r="Q308" s="194" t="str">
        <f>INDEX(SignSym,MOD(B308+MATCH(P308,SignSym,0)-1,12)+1)</f>
        <v>Vi</v>
      </c>
      <c r="R308" s="194" t="str">
        <f>INDEX(SignSym,MOD(B308+MATCH(Q308,SignSym,0)-1,12)+1)</f>
        <v>Li</v>
      </c>
      <c r="S308" s="194" t="str">
        <f>INDEX(SignSym,MOD(B308+MATCH(R308,SignSym,0)-1,12)+1)</f>
        <v>Sc</v>
      </c>
    </row>
    <row r="309" spans="1:19" s="194" customFormat="1" ht="12.75" hidden="1" customHeight="1">
      <c r="C309" s="925"/>
      <c r="D309" s="925"/>
      <c r="F309" s="932"/>
      <c r="G309" s="932"/>
      <c r="H309" s="932">
        <f>F308</f>
        <v>26133.384143518517</v>
      </c>
      <c r="I309" s="932" t="e">
        <f>H309+(E308*NDDaysInYEar/12)</f>
        <v>#N/A</v>
      </c>
      <c r="J309" s="932" t="e">
        <f>I309+(E308*NDDaysInYEar/12)</f>
        <v>#N/A</v>
      </c>
      <c r="K309" s="932" t="e">
        <f>J309+(E308*NDDaysInYEar/12)</f>
        <v>#N/A</v>
      </c>
      <c r="L309" s="932" t="e">
        <f>K309+(E308*NDDaysInYEar/12)</f>
        <v>#N/A</v>
      </c>
      <c r="M309" s="932" t="e">
        <f>L309+(E308*NDDaysInYEar/12)</f>
        <v>#N/A</v>
      </c>
      <c r="N309" s="932" t="e">
        <f>M309+(E308*NDDaysInYEar/12)</f>
        <v>#N/A</v>
      </c>
      <c r="O309" s="932" t="e">
        <f>N309+(E308*NDDaysInYEar/12)</f>
        <v>#N/A</v>
      </c>
      <c r="P309" s="932" t="e">
        <f>O309+(E308*NDDaysInYEar/12)</f>
        <v>#N/A</v>
      </c>
      <c r="Q309" s="932" t="e">
        <f>P309+(E308*NDDaysInYEar/12)</f>
        <v>#N/A</v>
      </c>
      <c r="R309" s="932" t="e">
        <f>Q309+(E308*NDDaysInYEar/12)</f>
        <v>#N/A</v>
      </c>
      <c r="S309" s="932" t="e">
        <f>R309+(E308*NDDaysInYEar/12)</f>
        <v>#N/A</v>
      </c>
    </row>
    <row r="310" spans="1:19" s="194" customFormat="1">
      <c r="A310" s="194" t="str">
        <f>VLOOKUP(C305,NDasaSeq,8,0)</f>
        <v>Le</v>
      </c>
      <c r="B310" s="194">
        <f>VLOOKUP(A310,NDasaC,3,0)</f>
        <v>-1</v>
      </c>
      <c r="C310" s="925" t="e">
        <f>IF(MATCH(VLOOKUP(IF((A310="Aq"),VLOOKUP("AqLord",DivCharts,D304,0),IF((A310="Sc"),VLOOKUP("ScLord",DivCharts,D304,0),VLOOKUP(A310,RsInfo,9,0))),DivCharts,D304,0),RsTbl,0)=MATCH(VLOOKUP(IF((A310="Aq"),VLOOKUP("AqLord",DivCharts,D304,0),IF((A310="Sc"),VLOOKUP("ScLord",DivCharts,D304,0),VLOOKUP(A310,RsInfo,9,0))),PlanetData,8,0),RsTbl,0),1,IF(MATCH(VLOOKUP(IF((A310="Aq"),VLOOKUP("AqLord",DivCharts,D304,0),IF((A310="Sc"),VLOOKUP("ScLord",DivCharts,D304,0),VLOOKUP(A310,RsInfo,9,0))),DivCharts,D304,0),RsTbl,0)=MOD(MATCH(VLOOKUP(IF((A310="Aq"),VLOOKUP("AqLord",DivCharts,D304,0),IF((A310="Sc"),VLOOKUP("ScLord",DivCharts,D304,0),VLOOKUP(A310,RsInfo,9,0))),PlanetData,8,0),RsTbl,0)+6,12),-1,0))</f>
        <v>#N/A</v>
      </c>
      <c r="D310" s="925">
        <f>MOD((MATCH(VLOOKUP(IF((A310="Aq"),VLOOKUP("AqLord",DivCharts,D304,0),IF((A310="Sc"),VLOOKUP("ScLord",DivCharts,D304,0),VLOOKUP(A310,RsInfo,9,0))),DivCharts,D304,0),RsTbl,0)*B310)-(B310*MATCH(A310,RsTbl,0))+12,12)</f>
        <v>1</v>
      </c>
      <c r="E310" s="194" t="e">
        <f>IF(ISNA(MATCH((D310+C310),,0)),(D310+C310),12)</f>
        <v>#N/A</v>
      </c>
      <c r="F310" s="932" t="e">
        <f>G308</f>
        <v>#N/A</v>
      </c>
      <c r="G310" s="932" t="e">
        <f>F310+E310*NDDaysInYEar</f>
        <v>#N/A</v>
      </c>
      <c r="H310" s="919" t="str">
        <f>A310</f>
        <v>Le</v>
      </c>
      <c r="I310" s="194" t="str">
        <f>INDEX(SignSym,MOD(B310+MATCH(H310,SignSym,0)-1,12)+1)</f>
        <v>Cn</v>
      </c>
      <c r="J310" s="194" t="str">
        <f>INDEX(SignSym,MOD(B310+MATCH(I310,SignSym,0)-1,12)+1)</f>
        <v>Ge</v>
      </c>
      <c r="K310" s="194" t="str">
        <f>INDEX(SignSym,MOD(B310+MATCH(J310,SignSym,0)-1,12)+1)</f>
        <v>Ta</v>
      </c>
      <c r="L310" s="194" t="str">
        <f>INDEX(SignSym,MOD(B310+MATCH(K310,SignSym,0)-1,12)+1)</f>
        <v>Ar</v>
      </c>
      <c r="M310" s="194" t="str">
        <f>INDEX(SignSym,MOD(B310+MATCH(L310,SignSym,0)-1,12)+1)</f>
        <v>Pi</v>
      </c>
      <c r="N310" s="194" t="str">
        <f>INDEX(SignSym,MOD(B310+MATCH(M310,SignSym,0)-1,12)+1)</f>
        <v>Aq</v>
      </c>
      <c r="O310" s="194" t="str">
        <f>INDEX(SignSym,MOD(B310+MATCH(N310,SignSym,0)-1,12)+1)</f>
        <v>Cp</v>
      </c>
      <c r="P310" s="194" t="str">
        <f>INDEX(SignSym,MOD(B310+MATCH(O310,SignSym,0)-1,12)+1)</f>
        <v>Sg</v>
      </c>
      <c r="Q310" s="194" t="str">
        <f>INDEX(SignSym,MOD(B310+MATCH(P310,SignSym,0)-1,12)+1)</f>
        <v>Sc</v>
      </c>
      <c r="R310" s="194" t="str">
        <f>INDEX(SignSym,MOD(B310+MATCH(Q310,SignSym,0)-1,12)+1)</f>
        <v>Li</v>
      </c>
      <c r="S310" s="194" t="str">
        <f>INDEX(SignSym,MOD(B310+MATCH(R310,SignSym,0)-1,12)+1)</f>
        <v>Vi</v>
      </c>
    </row>
    <row r="311" spans="1:19" s="194" customFormat="1" ht="12.75" hidden="1" customHeight="1">
      <c r="C311" s="925"/>
      <c r="D311" s="925"/>
      <c r="F311" s="932"/>
      <c r="G311" s="932"/>
      <c r="H311" s="932" t="e">
        <f>F310</f>
        <v>#N/A</v>
      </c>
      <c r="I311" s="932" t="e">
        <f>H311+(E310*NDDaysInYEar/12)</f>
        <v>#N/A</v>
      </c>
      <c r="J311" s="932" t="e">
        <f>I311+(E310*NDDaysInYEar/12)</f>
        <v>#N/A</v>
      </c>
      <c r="K311" s="932" t="e">
        <f>J311+(E310*NDDaysInYEar/12)</f>
        <v>#N/A</v>
      </c>
      <c r="L311" s="932" t="e">
        <f>K311+(E310*NDDaysInYEar/12)</f>
        <v>#N/A</v>
      </c>
      <c r="M311" s="932" t="e">
        <f>L311+(E310*NDDaysInYEar/12)</f>
        <v>#N/A</v>
      </c>
      <c r="N311" s="932" t="e">
        <f>M311+(E310*NDDaysInYEar/12)</f>
        <v>#N/A</v>
      </c>
      <c r="O311" s="932" t="e">
        <f>N311+(E310*NDDaysInYEar/12)</f>
        <v>#N/A</v>
      </c>
      <c r="P311" s="932" t="e">
        <f>O311+(E310*NDDaysInYEar/12)</f>
        <v>#N/A</v>
      </c>
      <c r="Q311" s="932" t="e">
        <f>P311+(E310*NDDaysInYEar/12)</f>
        <v>#N/A</v>
      </c>
      <c r="R311" s="932" t="e">
        <f>Q311+(E310*NDDaysInYEar/12)</f>
        <v>#N/A</v>
      </c>
      <c r="S311" s="932" t="e">
        <f>R311+(E310*NDDaysInYEar/12)</f>
        <v>#N/A</v>
      </c>
    </row>
    <row r="312" spans="1:19" s="194" customFormat="1">
      <c r="A312" s="194" t="str">
        <f>VLOOKUP(C305,NDasaSeq,9,0)</f>
        <v>Ar</v>
      </c>
      <c r="B312" s="194">
        <f>VLOOKUP(A312,NDasaC,3,0)</f>
        <v>1</v>
      </c>
      <c r="C312" s="925" t="e">
        <f>IF(MATCH(VLOOKUP(IF((A312="Aq"),VLOOKUP("AqLord",DivCharts,D304,0),IF((A312="Sc"),VLOOKUP("ScLord",DivCharts,D304,0),VLOOKUP(A312,RsInfo,9,0))),DivCharts,D304,0),RsTbl,0)=MATCH(VLOOKUP(IF((A312="Aq"),VLOOKUP("AqLord",DivCharts,D304,0),IF((A312="Sc"),VLOOKUP("ScLord",DivCharts,D304,0),VLOOKUP(A312,RsInfo,9,0))),PlanetData,8,0),RsTbl,0),1,IF(MATCH(VLOOKUP(IF((A312="Aq"),VLOOKUP("AqLord",DivCharts,D304,0),IF((A312="Sc"),VLOOKUP("ScLord",DivCharts,D304,0),VLOOKUP(A312,RsInfo,9,0))),DivCharts,D304,0),RsTbl,0)=MOD(MATCH(VLOOKUP(IF((A312="Aq"),VLOOKUP("AqLord",DivCharts,D304,0),IF((A312="Sc"),VLOOKUP("ScLord",DivCharts,D304,0),VLOOKUP(A312,RsInfo,9,0))),PlanetData,8,0),RsTbl,0)+6,12),-1,0))</f>
        <v>#N/A</v>
      </c>
      <c r="D312" s="925">
        <f>MOD((MATCH(VLOOKUP(IF((A312="Aq"),VLOOKUP("AqLord",DivCharts,D304,0),IF((A312="Sc"),VLOOKUP("ScLord",DivCharts,D304,0),VLOOKUP(A312,RsInfo,9,0))),DivCharts,D304,0),RsTbl,0)*B312)-(B312*MATCH(A312,RsTbl,0))+12,12)</f>
        <v>8</v>
      </c>
      <c r="E312" s="194" t="e">
        <f>IF(ISNA(MATCH((D312+C312),,0)),(D312+C312),12)</f>
        <v>#N/A</v>
      </c>
      <c r="F312" s="932" t="e">
        <f>G310</f>
        <v>#N/A</v>
      </c>
      <c r="G312" s="932" t="e">
        <f>F312+E312*NDDaysInYEar</f>
        <v>#N/A</v>
      </c>
      <c r="H312" s="919" t="str">
        <f>A312</f>
        <v>Ar</v>
      </c>
      <c r="I312" s="194" t="str">
        <f>INDEX(SignSym,MOD(B312+MATCH(H312,SignSym,0)-1,12)+1)</f>
        <v>Ta</v>
      </c>
      <c r="J312" s="194" t="str">
        <f>INDEX(SignSym,MOD(B312+MATCH(I312,SignSym,0)-1,12)+1)</f>
        <v>Ge</v>
      </c>
      <c r="K312" s="194" t="str">
        <f>INDEX(SignSym,MOD(B312+MATCH(J312,SignSym,0)-1,12)+1)</f>
        <v>Cn</v>
      </c>
      <c r="L312" s="194" t="str">
        <f>INDEX(SignSym,MOD(B312+MATCH(K312,SignSym,0)-1,12)+1)</f>
        <v>Le</v>
      </c>
      <c r="M312" s="194" t="str">
        <f>INDEX(SignSym,MOD(B312+MATCH(L312,SignSym,0)-1,12)+1)</f>
        <v>Vi</v>
      </c>
      <c r="N312" s="194" t="str">
        <f>INDEX(SignSym,MOD(B312+MATCH(M312,SignSym,0)-1,12)+1)</f>
        <v>Li</v>
      </c>
      <c r="O312" s="194" t="str">
        <f>INDEX(SignSym,MOD(B312+MATCH(N312,SignSym,0)-1,12)+1)</f>
        <v>Sc</v>
      </c>
      <c r="P312" s="194" t="str">
        <f>INDEX(SignSym,MOD(B312+MATCH(O312,SignSym,0)-1,12)+1)</f>
        <v>Sg</v>
      </c>
      <c r="Q312" s="194" t="str">
        <f>INDEX(SignSym,MOD(B312+MATCH(P312,SignSym,0)-1,12)+1)</f>
        <v>Cp</v>
      </c>
      <c r="R312" s="194" t="str">
        <f>INDEX(SignSym,MOD(B312+MATCH(Q312,SignSym,0)-1,12)+1)</f>
        <v>Aq</v>
      </c>
      <c r="S312" s="194" t="str">
        <f>INDEX(SignSym,MOD(B312+MATCH(R312,SignSym,0)-1,12)+1)</f>
        <v>Pi</v>
      </c>
    </row>
    <row r="313" spans="1:19" s="194" customFormat="1" ht="12.75" hidden="1" customHeight="1">
      <c r="C313" s="925"/>
      <c r="D313" s="925"/>
      <c r="F313" s="932"/>
      <c r="G313" s="932"/>
      <c r="H313" s="932" t="e">
        <f>F312</f>
        <v>#N/A</v>
      </c>
      <c r="I313" s="932" t="e">
        <f>H313+(E312*NDDaysInYEar/12)</f>
        <v>#N/A</v>
      </c>
      <c r="J313" s="932" t="e">
        <f>I313+(E312*NDDaysInYEar/12)</f>
        <v>#N/A</v>
      </c>
      <c r="K313" s="932" t="e">
        <f>J313+(E312*NDDaysInYEar/12)</f>
        <v>#N/A</v>
      </c>
      <c r="L313" s="932" t="e">
        <f>K313+(E312*NDDaysInYEar/12)</f>
        <v>#N/A</v>
      </c>
      <c r="M313" s="932" t="e">
        <f>L313+(E312*NDDaysInYEar/12)</f>
        <v>#N/A</v>
      </c>
      <c r="N313" s="932" t="e">
        <f>M313+(E312*NDDaysInYEar/12)</f>
        <v>#N/A</v>
      </c>
      <c r="O313" s="932" t="e">
        <f>N313+(E312*NDDaysInYEar/12)</f>
        <v>#N/A</v>
      </c>
      <c r="P313" s="932" t="e">
        <f>O313+(E312*NDDaysInYEar/12)</f>
        <v>#N/A</v>
      </c>
      <c r="Q313" s="932" t="e">
        <f>P313+(E312*NDDaysInYEar/12)</f>
        <v>#N/A</v>
      </c>
      <c r="R313" s="932" t="e">
        <f>Q313+(E312*NDDaysInYEar/12)</f>
        <v>#N/A</v>
      </c>
      <c r="S313" s="932" t="e">
        <f>R313+(E312*NDDaysInYEar/12)</f>
        <v>#N/A</v>
      </c>
    </row>
    <row r="314" spans="1:19" s="194" customFormat="1">
      <c r="A314" s="194" t="str">
        <f>VLOOKUP(C305,NDasaSeq,10,0)</f>
        <v>Pi</v>
      </c>
      <c r="B314" s="194">
        <f>VLOOKUP(A314,NDasaC,3,0)</f>
        <v>-1</v>
      </c>
      <c r="C314" s="925" t="e">
        <f>IF(MATCH(VLOOKUP(IF((A314="Aq"),VLOOKUP("AqLord",DivCharts,D304,0),IF((A314="Sc"),VLOOKUP("ScLord",DivCharts,D304,0),VLOOKUP(A314,RsInfo,9,0))),DivCharts,D304,0),RsTbl,0)=MATCH(VLOOKUP(IF((A314="Aq"),VLOOKUP("AqLord",DivCharts,D304,0),IF((A314="Sc"),VLOOKUP("ScLord",DivCharts,D304,0),VLOOKUP(A314,RsInfo,9,0))),PlanetData,8,0),RsTbl,0),1,IF(MATCH(VLOOKUP(IF((A314="Aq"),VLOOKUP("AqLord",DivCharts,D304,0),IF((A314="Sc"),VLOOKUP("ScLord",DivCharts,D304,0),VLOOKUP(A314,RsInfo,9,0))),DivCharts,D304,0),RsTbl,0)=MOD(MATCH(VLOOKUP(IF((A314="Aq"),VLOOKUP("AqLord",DivCharts,D304,0),IF((A314="Sc"),VLOOKUP("ScLord",DivCharts,D304,0),VLOOKUP(A314,RsInfo,9,0))),PlanetData,8,0),RsTbl,0)+6,12),-1,0))</f>
        <v>#N/A</v>
      </c>
      <c r="D314" s="925">
        <f>MOD((MATCH(VLOOKUP(IF((A314="Aq"),VLOOKUP("AqLord",DivCharts,D304,0),IF((A314="Sc"),VLOOKUP("ScLord",DivCharts,D304,0),VLOOKUP(A314,RsInfo,9,0))),DivCharts,D304,0),RsTbl,0)*B314)-(B314*MATCH(A314,RsTbl,0))+12,12)</f>
        <v>3</v>
      </c>
      <c r="E314" s="194" t="e">
        <f>IF(ISNA(MATCH((D314+C314),,0)),(D314+C314),12)</f>
        <v>#N/A</v>
      </c>
      <c r="F314" s="932" t="e">
        <f>G312</f>
        <v>#N/A</v>
      </c>
      <c r="G314" s="932" t="e">
        <f>F314+E314*NDDaysInYEar</f>
        <v>#N/A</v>
      </c>
      <c r="H314" s="919" t="str">
        <f>A314</f>
        <v>Pi</v>
      </c>
      <c r="I314" s="194" t="str">
        <f>INDEX(SignSym,MOD(B314+MATCH(H314,SignSym,0)-1,12)+1)</f>
        <v>Aq</v>
      </c>
      <c r="J314" s="194" t="str">
        <f>INDEX(SignSym,MOD(B314+MATCH(I314,SignSym,0)-1,12)+1)</f>
        <v>Cp</v>
      </c>
      <c r="K314" s="194" t="str">
        <f>INDEX(SignSym,MOD(B314+MATCH(J314,SignSym,0)-1,12)+1)</f>
        <v>Sg</v>
      </c>
      <c r="L314" s="194" t="str">
        <f>INDEX(SignSym,MOD(B314+MATCH(K314,SignSym,0)-1,12)+1)</f>
        <v>Sc</v>
      </c>
      <c r="M314" s="194" t="str">
        <f>INDEX(SignSym,MOD(B314+MATCH(L314,SignSym,0)-1,12)+1)</f>
        <v>Li</v>
      </c>
      <c r="N314" s="194" t="str">
        <f>INDEX(SignSym,MOD(B314+MATCH(M314,SignSym,0)-1,12)+1)</f>
        <v>Vi</v>
      </c>
      <c r="O314" s="194" t="str">
        <f>INDEX(SignSym,MOD(B314+MATCH(N314,SignSym,0)-1,12)+1)</f>
        <v>Le</v>
      </c>
      <c r="P314" s="194" t="str">
        <f>INDEX(SignSym,MOD(B314+MATCH(O314,SignSym,0)-1,12)+1)</f>
        <v>Cn</v>
      </c>
      <c r="Q314" s="194" t="str">
        <f>INDEX(SignSym,MOD(B314+MATCH(P314,SignSym,0)-1,12)+1)</f>
        <v>Ge</v>
      </c>
      <c r="R314" s="194" t="str">
        <f>INDEX(SignSym,MOD(B314+MATCH(Q314,SignSym,0)-1,12)+1)</f>
        <v>Ta</v>
      </c>
      <c r="S314" s="194" t="str">
        <f>INDEX(SignSym,MOD(B314+MATCH(R314,SignSym,0)-1,12)+1)</f>
        <v>Ar</v>
      </c>
    </row>
    <row r="315" spans="1:19" s="194" customFormat="1" ht="12.75" hidden="1" customHeight="1">
      <c r="C315" s="925"/>
      <c r="D315" s="925"/>
      <c r="F315" s="932"/>
      <c r="G315" s="932"/>
      <c r="H315" s="932" t="e">
        <f>F314</f>
        <v>#N/A</v>
      </c>
      <c r="I315" s="932" t="e">
        <f>H315+(E314*NDDaysInYEar/12)</f>
        <v>#N/A</v>
      </c>
      <c r="J315" s="932" t="e">
        <f>I315+(E314*NDDaysInYEar/12)</f>
        <v>#N/A</v>
      </c>
      <c r="K315" s="932" t="e">
        <f>J315+(E314*NDDaysInYEar/12)</f>
        <v>#N/A</v>
      </c>
      <c r="L315" s="932" t="e">
        <f>K315+(E314*NDDaysInYEar/12)</f>
        <v>#N/A</v>
      </c>
      <c r="M315" s="932" t="e">
        <f>L315+(E314*NDDaysInYEar/12)</f>
        <v>#N/A</v>
      </c>
      <c r="N315" s="932" t="e">
        <f>M315+(E314*NDDaysInYEar/12)</f>
        <v>#N/A</v>
      </c>
      <c r="O315" s="932" t="e">
        <f>N315+(E314*NDDaysInYEar/12)</f>
        <v>#N/A</v>
      </c>
      <c r="P315" s="932" t="e">
        <f>O315+(E314*NDDaysInYEar/12)</f>
        <v>#N/A</v>
      </c>
      <c r="Q315" s="932" t="e">
        <f>P315+(E314*NDDaysInYEar/12)</f>
        <v>#N/A</v>
      </c>
      <c r="R315" s="932" t="e">
        <f>Q315+(E314*NDDaysInYEar/12)</f>
        <v>#N/A</v>
      </c>
      <c r="S315" s="932" t="e">
        <f>R315+(E314*NDDaysInYEar/12)</f>
        <v>#N/A</v>
      </c>
    </row>
    <row r="316" spans="1:19" s="194" customFormat="1">
      <c r="A316" s="194" t="str">
        <f>VLOOKUP(C305,NDasaSeq,11,0)</f>
        <v>Sc</v>
      </c>
      <c r="B316" s="194">
        <f>VLOOKUP(A316,NDasaC,3,0)</f>
        <v>1</v>
      </c>
      <c r="C316" s="925" t="e">
        <f>IF(MATCH(VLOOKUP(IF((A316="Aq"),VLOOKUP("AqLord",DivCharts,D304,0),IF((A316="Sc"),VLOOKUP("ScLord",DivCharts,D304,0),VLOOKUP(A316,RsInfo,9,0))),DivCharts,D304,0),RsTbl,0)=MATCH(VLOOKUP(IF((A316="Aq"),VLOOKUP("AqLord",DivCharts,D304,0),IF((A316="Sc"),VLOOKUP("ScLord",DivCharts,D304,0),VLOOKUP(A316,RsInfo,9,0))),PlanetData,8,0),RsTbl,0),1,IF(MATCH(VLOOKUP(IF((A316="Aq"),VLOOKUP("AqLord",DivCharts,D304,0),IF((A316="Sc"),VLOOKUP("ScLord",DivCharts,D304,0),VLOOKUP(A316,RsInfo,9,0))),DivCharts,D304,0),RsTbl,0)=MOD(MATCH(VLOOKUP(IF((A316="Aq"),VLOOKUP("AqLord",DivCharts,D304,0),IF((A316="Sc"),VLOOKUP("ScLord",DivCharts,D304,0),VLOOKUP(A316,RsInfo,9,0))),PlanetData,8,0),RsTbl,0)+6,12),-1,0))</f>
        <v>#N/A</v>
      </c>
      <c r="D316" s="925">
        <f>MOD((MATCH(VLOOKUP(IF((A316="Aq"),VLOOKUP("AqLord",DivCharts,D304,0),IF((A316="Sc"),VLOOKUP("ScLord",DivCharts,D304,0),VLOOKUP(A316,RsInfo,9,0))),DivCharts,D304,0),RsTbl,0)*B316)-(B316*MATCH(A316,RsTbl,0))+12,12)</f>
        <v>1</v>
      </c>
      <c r="E316" s="194" t="e">
        <f>IF(ISNA(MATCH((D316+C316),,0)),(D316+C316),12)</f>
        <v>#N/A</v>
      </c>
      <c r="F316" s="932" t="e">
        <f>G314</f>
        <v>#N/A</v>
      </c>
      <c r="G316" s="932" t="e">
        <f>F316+E316*NDDaysInYEar</f>
        <v>#N/A</v>
      </c>
      <c r="H316" s="919" t="str">
        <f>A316</f>
        <v>Sc</v>
      </c>
      <c r="I316" s="194" t="str">
        <f>INDEX(SignSym,MOD(B316+MATCH(H316,SignSym,0)-1,12)+1)</f>
        <v>Sg</v>
      </c>
      <c r="J316" s="194" t="str">
        <f>INDEX(SignSym,MOD(B316+MATCH(I316,SignSym,0)-1,12)+1)</f>
        <v>Cp</v>
      </c>
      <c r="K316" s="194" t="str">
        <f>INDEX(SignSym,MOD(B316+MATCH(J316,SignSym,0)-1,12)+1)</f>
        <v>Aq</v>
      </c>
      <c r="L316" s="194" t="str">
        <f>INDEX(SignSym,MOD(B316+MATCH(K316,SignSym,0)-1,12)+1)</f>
        <v>Pi</v>
      </c>
      <c r="M316" s="194" t="str">
        <f>INDEX(SignSym,MOD(B316+MATCH(L316,SignSym,0)-1,12)+1)</f>
        <v>Ar</v>
      </c>
      <c r="N316" s="194" t="str">
        <f>INDEX(SignSym,MOD(B316+MATCH(M316,SignSym,0)-1,12)+1)</f>
        <v>Ta</v>
      </c>
      <c r="O316" s="194" t="str">
        <f>INDEX(SignSym,MOD(B316+MATCH(N316,SignSym,0)-1,12)+1)</f>
        <v>Ge</v>
      </c>
      <c r="P316" s="194" t="str">
        <f>INDEX(SignSym,MOD(B316+MATCH(O316,SignSym,0)-1,12)+1)</f>
        <v>Cn</v>
      </c>
      <c r="Q316" s="194" t="str">
        <f>INDEX(SignSym,MOD(B316+MATCH(P316,SignSym,0)-1,12)+1)</f>
        <v>Le</v>
      </c>
      <c r="R316" s="194" t="str">
        <f>INDEX(SignSym,MOD(B316+MATCH(Q316,SignSym,0)-1,12)+1)</f>
        <v>Vi</v>
      </c>
      <c r="S316" s="194" t="str">
        <f>INDEX(SignSym,MOD(B316+MATCH(R316,SignSym,0)-1,12)+1)</f>
        <v>Li</v>
      </c>
    </row>
    <row r="317" spans="1:19" s="194" customFormat="1" hidden="1">
      <c r="C317" s="925"/>
      <c r="D317" s="925"/>
      <c r="F317" s="932"/>
      <c r="G317" s="932"/>
      <c r="H317" s="932" t="e">
        <f>F316</f>
        <v>#N/A</v>
      </c>
      <c r="I317" s="932" t="e">
        <f>H317+(E316*NDDaysInYEar/12)</f>
        <v>#N/A</v>
      </c>
      <c r="J317" s="932" t="e">
        <f>I317+(E316*NDDaysInYEar/12)</f>
        <v>#N/A</v>
      </c>
      <c r="K317" s="932" t="e">
        <f>J317+(E316*NDDaysInYEar/12)</f>
        <v>#N/A</v>
      </c>
      <c r="L317" s="932" t="e">
        <f>K317+(E316*NDDaysInYEar/12)</f>
        <v>#N/A</v>
      </c>
      <c r="M317" s="932" t="e">
        <f>L317+(E316*NDDaysInYEar/12)</f>
        <v>#N/A</v>
      </c>
      <c r="N317" s="932" t="e">
        <f>M317+(E316*NDDaysInYEar/12)</f>
        <v>#N/A</v>
      </c>
      <c r="O317" s="932" t="e">
        <f>N317+(E316*NDDaysInYEar/12)</f>
        <v>#N/A</v>
      </c>
      <c r="P317" s="932" t="e">
        <f>O317+(E316*NDDaysInYEar/12)</f>
        <v>#N/A</v>
      </c>
      <c r="Q317" s="932" t="e">
        <f>P317+(E316*NDDaysInYEar/12)</f>
        <v>#N/A</v>
      </c>
      <c r="R317" s="932" t="e">
        <f>Q317+(E316*NDDaysInYEar/12)</f>
        <v>#N/A</v>
      </c>
      <c r="S317" s="932" t="e">
        <f>R317+(E316*NDDaysInYEar/12)</f>
        <v>#N/A</v>
      </c>
    </row>
    <row r="318" spans="1:19" s="194" customFormat="1">
      <c r="A318" s="194" t="str">
        <f>VLOOKUP(C305,NDasaSeq,12,0)</f>
        <v>Cn</v>
      </c>
      <c r="B318" s="194">
        <v>1</v>
      </c>
      <c r="C318" s="925" t="e">
        <f>IF(MATCH(VLOOKUP(IF((A318="Aq"),VLOOKUP("AqLord",DivCharts,D304,0),IF((A318="Sc"),VLOOKUP("ScLord",DivCharts,D304,0),VLOOKUP(A318,RsInfo,9,0))),DivCharts,D304,0),RsTbl,0)=MATCH(VLOOKUP(IF((A318="Aq"),VLOOKUP("AqLord",DivCharts,D304,0),IF((A318="Sc"),VLOOKUP("ScLord",DivCharts,D304,0),VLOOKUP(A318,RsInfo,9,0))),PlanetData,8,0),RsTbl,0),1,IF(MATCH(VLOOKUP(IF((A318="Aq"),VLOOKUP("AqLord",DivCharts,D304,0),IF((A318="Sc"),VLOOKUP("ScLord",DivCharts,D304,0),VLOOKUP(A318,RsInfo,9,0))),DivCharts,D304,0),RsTbl,0)=MOD(MATCH(VLOOKUP(IF((A318="Aq"),VLOOKUP("AqLord",DivCharts,D304,0),IF((A318="Sc"),VLOOKUP("ScLord",DivCharts,D304,0),VLOOKUP(A318,RsInfo,9,0))),PlanetData,8,0),RsTbl,0)+6,12),-1,0))</f>
        <v>#N/A</v>
      </c>
      <c r="D318" s="925">
        <f>MOD((MATCH(VLOOKUP(IF((A318="Aq"),VLOOKUP("AqLord",DivCharts,D304,0),IF((A318="Sc"),VLOOKUP("ScLord",DivCharts,D304,0),VLOOKUP(A318,RsInfo,9,0))),DivCharts,D304,0),RsTbl,0)*B318)-(B318*MATCH(A318,RsTbl,0))+12,12)</f>
        <v>7</v>
      </c>
      <c r="E318" s="194" t="e">
        <f>IF(ISNA(MATCH((D318+C318),,0)),(D318+C318),12)</f>
        <v>#N/A</v>
      </c>
      <c r="F318" s="932" t="e">
        <f>G316</f>
        <v>#N/A</v>
      </c>
      <c r="G318" s="932" t="e">
        <f>F318+E318*NDDaysInYEar</f>
        <v>#N/A</v>
      </c>
      <c r="H318" s="919" t="s">
        <v>699</v>
      </c>
      <c r="I318" s="194" t="str">
        <f>INDEX(SignSym,MOD(B318+MATCH(H318,SignSym,0)-1,12)+1)</f>
        <v>Pi</v>
      </c>
      <c r="J318" s="194" t="str">
        <f>INDEX(SignSym,MOD(B318+MATCH(I318,SignSym,0)-1,12)+1)</f>
        <v>Ar</v>
      </c>
      <c r="K318" s="194" t="str">
        <f>INDEX(SignSym,MOD(B318+MATCH(J318,SignSym,0)-1,12)+1)</f>
        <v>Ta</v>
      </c>
      <c r="L318" s="194" t="str">
        <f>INDEX(SignSym,MOD(B318+MATCH(K318,SignSym,0)-1,12)+1)</f>
        <v>Ge</v>
      </c>
      <c r="M318" s="194" t="str">
        <f>INDEX(SignSym,MOD(B318+MATCH(L318,SignSym,0)-1,12)+1)</f>
        <v>Cn</v>
      </c>
      <c r="N318" s="194" t="str">
        <f>INDEX(SignSym,MOD(B318+MATCH(M318,SignSym,0)-1,12)+1)</f>
        <v>Le</v>
      </c>
      <c r="O318" s="194" t="str">
        <f>INDEX(SignSym,MOD(B318+MATCH(N318,SignSym,0)-1,12)+1)</f>
        <v>Vi</v>
      </c>
      <c r="P318" s="194" t="str">
        <f>INDEX(SignSym,MOD(B318+MATCH(O318,SignSym,0)-1,12)+1)</f>
        <v>Li</v>
      </c>
      <c r="Q318" s="194" t="str">
        <f>INDEX(SignSym,MOD(B318+MATCH(P318,SignSym,0)-1,12)+1)</f>
        <v>Sc</v>
      </c>
      <c r="R318" s="194" t="str">
        <f>INDEX(SignSym,MOD(B318+MATCH(Q318,SignSym,0)-1,12)+1)</f>
        <v>Sg</v>
      </c>
      <c r="S318" s="194" t="str">
        <f>INDEX(SignSym,MOD(B318+MATCH(R318,SignSym,0)-1,12)+1)</f>
        <v>Cp</v>
      </c>
    </row>
    <row r="319" spans="1:19" s="194" customFormat="1" hidden="1">
      <c r="C319" s="925"/>
      <c r="D319" s="925"/>
      <c r="F319" s="932"/>
      <c r="G319" s="932"/>
      <c r="H319" s="932" t="e">
        <f>F318</f>
        <v>#N/A</v>
      </c>
      <c r="I319" s="932" t="e">
        <f>H319+(E318*NDDaysInYEar/12)</f>
        <v>#N/A</v>
      </c>
      <c r="J319" s="932" t="e">
        <f>I319+(E318*NDDaysInYEar/12)</f>
        <v>#N/A</v>
      </c>
      <c r="K319" s="932" t="e">
        <f>J319+(E318*NDDaysInYEar/12)</f>
        <v>#N/A</v>
      </c>
      <c r="L319" s="932" t="e">
        <f>K319+(E318*NDDaysInYEar/12)</f>
        <v>#N/A</v>
      </c>
      <c r="M319" s="932" t="e">
        <f>L319+(E318*NDDaysInYEar/12)</f>
        <v>#N/A</v>
      </c>
      <c r="N319" s="938" t="e">
        <f>M319+(E318*NDDaysInYEar/12)</f>
        <v>#N/A</v>
      </c>
      <c r="O319" s="938" t="e">
        <f>N319+(E318*NDDaysInYEar/12)</f>
        <v>#N/A</v>
      </c>
      <c r="P319" s="932" t="e">
        <f>O319+(E318*NDDaysInYEar/12)</f>
        <v>#N/A</v>
      </c>
      <c r="Q319" s="932" t="e">
        <f>P319+(E318*NDDaysInYEar/12)</f>
        <v>#N/A</v>
      </c>
      <c r="R319" s="932" t="e">
        <f>Q319+(E318*NDDaysInYEar/12)</f>
        <v>#N/A</v>
      </c>
      <c r="S319" s="932" t="e">
        <f>R319+(E318*NDDaysInYEar/12)</f>
        <v>#N/A</v>
      </c>
    </row>
    <row r="320" spans="1:19" s="194" customFormat="1">
      <c r="A320" s="194" t="str">
        <f>VLOOKUP(C305,NDasaSeq,13,0)</f>
        <v>Ge</v>
      </c>
      <c r="B320" s="194">
        <f>VLOOKUP(A320,NDasaC,3,0)</f>
        <v>1</v>
      </c>
      <c r="C320" s="925" t="e">
        <f>IF(MATCH(VLOOKUP(IF((A320="Aq"),VLOOKUP("AqLord",DivCharts,D304,0),IF((A320="Sc"),VLOOKUP("ScLord",DivCharts,D304,0),VLOOKUP(A320,RsInfo,9,0))),DivCharts,D304,0),RsTbl,0)=MATCH(VLOOKUP(IF((A320="Aq"),VLOOKUP("AqLord",DivCharts,D304,0),IF((A320="Sc"),VLOOKUP("ScLord",DivCharts,D304,0),VLOOKUP(A320,RsInfo,9,0))),PlanetData,8,0),RsTbl,0),1,IF(MATCH(VLOOKUP(IF((A320="Aq"),VLOOKUP("AqLord",DivCharts,D304,0),IF((A320="Sc"),VLOOKUP("ScLord",DivCharts,D304,0),VLOOKUP(A320,RsInfo,9,0))),DivCharts,D304,0),RsTbl,0)=MOD(MATCH(VLOOKUP(IF((A320="Aq"),VLOOKUP("AqLord",DivCharts,D304,0),IF((A320="Sc"),VLOOKUP("ScLord",DivCharts,D304,0),VLOOKUP(A320,RsInfo,9,0))),PlanetData,8,0),RsTbl,0)+6,12),-1,0))</f>
        <v>#N/A</v>
      </c>
      <c r="D320" s="925">
        <f>MOD((MATCH(VLOOKUP(IF((A320="Aq"),VLOOKUP("AqLord",DivCharts,D304,0),IF((A320="Sc"),VLOOKUP("ScLord",DivCharts,D304,0),VLOOKUP(A320,RsInfo,9,0))),DivCharts,D304,0),RsTbl,0)*B320)-(B320*MATCH(A320,RsTbl,0))+12,12)</f>
        <v>11</v>
      </c>
      <c r="E320" s="194" t="e">
        <f>IF(ISNA(MATCH((D320+C320),,0)),(D320+C320),12)</f>
        <v>#N/A</v>
      </c>
      <c r="F320" s="932" t="e">
        <f>G318</f>
        <v>#N/A</v>
      </c>
      <c r="G320" s="932" t="e">
        <f>F320+E320*NDDaysInYEar</f>
        <v>#N/A</v>
      </c>
      <c r="H320" s="919" t="s">
        <v>699</v>
      </c>
      <c r="I320" s="194" t="str">
        <f>INDEX(SignSym,MOD(B320+MATCH(H320,SignSym,0)-1,12)+1)</f>
        <v>Pi</v>
      </c>
      <c r="J320" s="194" t="str">
        <f>INDEX(SignSym,MOD(B320+MATCH(I320,SignSym,0)-1,12)+1)</f>
        <v>Ar</v>
      </c>
      <c r="K320" s="194" t="str">
        <f>INDEX(SignSym,MOD(B320+MATCH(J320,SignSym,0)-1,12)+1)</f>
        <v>Ta</v>
      </c>
      <c r="L320" s="194" t="str">
        <f>INDEX(SignSym,MOD(B320+MATCH(K320,SignSym,0)-1,12)+1)</f>
        <v>Ge</v>
      </c>
      <c r="M320" s="194" t="str">
        <f>INDEX(SignSym,MOD(B320+MATCH(L320,SignSym,0)-1,12)+1)</f>
        <v>Cn</v>
      </c>
      <c r="N320" s="194" t="str">
        <f>INDEX(SignSym,MOD(B320+MATCH(M320,SignSym,0)-1,12)+1)</f>
        <v>Le</v>
      </c>
      <c r="O320" s="194" t="str">
        <f>INDEX(SignSym,MOD(B320+MATCH(N320,SignSym,0)-1,12)+1)</f>
        <v>Vi</v>
      </c>
      <c r="P320" s="194" t="str">
        <f>INDEX(SignSym,MOD(B320+MATCH(O320,SignSym,0)-1,12)+1)</f>
        <v>Li</v>
      </c>
      <c r="Q320" s="194" t="str">
        <f>INDEX(SignSym,MOD(B320+MATCH(P320,SignSym,0)-1,12)+1)</f>
        <v>Sc</v>
      </c>
      <c r="R320" s="194" t="str">
        <f>INDEX(SignSym,MOD(B320+MATCH(Q320,SignSym,0)-1,12)+1)</f>
        <v>Sg</v>
      </c>
      <c r="S320" s="194" t="str">
        <f>INDEX(SignSym,MOD(B320+MATCH(R320,SignSym,0)-1,12)+1)</f>
        <v>Cp</v>
      </c>
    </row>
    <row r="321" spans="1:19" s="194" customFormat="1" hidden="1">
      <c r="C321" s="925"/>
      <c r="D321" s="925"/>
      <c r="F321" s="932"/>
      <c r="G321" s="932"/>
      <c r="H321" s="932" t="e">
        <f>F320</f>
        <v>#N/A</v>
      </c>
      <c r="I321" s="932" t="e">
        <f>H321+(E320*NDDaysInYEar/12)</f>
        <v>#N/A</v>
      </c>
      <c r="J321" s="932" t="e">
        <f>I321+(E320*NDDaysInYEar/12)</f>
        <v>#N/A</v>
      </c>
      <c r="K321" s="932" t="e">
        <f>J321+(E320*NDDaysInYEar/12)</f>
        <v>#N/A</v>
      </c>
      <c r="L321" s="932" t="e">
        <f>K321+(E320*NDDaysInYEar/12)</f>
        <v>#N/A</v>
      </c>
      <c r="M321" s="932" t="e">
        <f>L321+(E320*NDDaysInYEar/12)</f>
        <v>#N/A</v>
      </c>
      <c r="N321" s="932" t="e">
        <f>M321+(E320*NDDaysInYEar/12)</f>
        <v>#N/A</v>
      </c>
      <c r="O321" s="932" t="e">
        <f>N321+(E320*NDDaysInYEar/12)</f>
        <v>#N/A</v>
      </c>
      <c r="P321" s="932" t="e">
        <f>O321+(E320*NDDaysInYEar/12)</f>
        <v>#N/A</v>
      </c>
      <c r="Q321" s="932" t="e">
        <f>P321+(E320*NDDaysInYEar/12)</f>
        <v>#N/A</v>
      </c>
      <c r="R321" s="932" t="e">
        <f>Q321+(E320*NDDaysInYEar/12)</f>
        <v>#N/A</v>
      </c>
      <c r="S321" s="932" t="e">
        <f>R321+(E320*NDDaysInYEar/12)</f>
        <v>#N/A</v>
      </c>
    </row>
    <row r="322" spans="1:19" s="194" customFormat="1">
      <c r="A322" s="194" t="str">
        <f>VLOOKUP(C305,NDasaSeq,14,0)</f>
        <v>Aq</v>
      </c>
      <c r="B322" s="194">
        <f>VLOOKUP(A322,NDasaC,3,0)</f>
        <v>-1</v>
      </c>
      <c r="C322" s="925" t="e">
        <f>IF(MATCH(VLOOKUP(IF((A322="Aq"),VLOOKUP("AqLord",DivCharts,D304,0),IF((A322="Sc"),VLOOKUP("ScLord",DivCharts,D304,0),VLOOKUP(A322,RsInfo,9,0))),DivCharts,D304,0),RsTbl,0)=MATCH(VLOOKUP(IF((A322="Aq"),VLOOKUP("AqLord",DivCharts,D304,0),IF((A322="Sc"),VLOOKUP("ScLord",DivCharts,D304,0),VLOOKUP(A322,RsInfo,9,0))),PlanetData,8,0),RsTbl,0),1,IF(MATCH(VLOOKUP(IF((A322="Aq"),VLOOKUP("AqLord",DivCharts,D304,0),IF((A322="Sc"),VLOOKUP("ScLord",DivCharts,D304,0),VLOOKUP(A322,RsInfo,9,0))),DivCharts,D304,0),RsTbl,0)=MOD(MATCH(VLOOKUP(IF((A322="Aq"),VLOOKUP("AqLord",DivCharts,D304,0),IF((A322="Sc"),VLOOKUP("ScLord",DivCharts,D304,0),VLOOKUP(A322,RsInfo,9,0))),PlanetData,8,0),RsTbl,0)+6,12),-1,0))</f>
        <v>#N/A</v>
      </c>
      <c r="D322" s="925">
        <f>MOD((MATCH(VLOOKUP(IF((A322="Aq"),VLOOKUP("AqLord",DivCharts,D304,0),IF((A322="Sc"),VLOOKUP("ScLord",DivCharts,D304,0),VLOOKUP(A322,RsInfo,9,0))),DivCharts,D304,0),RsTbl,0)*B322)-(B322*MATCH(A322,RsTbl,0))+12,12)</f>
        <v>6</v>
      </c>
      <c r="E322" s="194" t="e">
        <f>IF(ISNA(MATCH((D322+C322),,0)),(D322+C322),12)</f>
        <v>#N/A</v>
      </c>
      <c r="F322" s="932" t="e">
        <f>G320</f>
        <v>#N/A</v>
      </c>
      <c r="G322" s="932" t="e">
        <f>F322+E322*NDDaysInYEar</f>
        <v>#N/A</v>
      </c>
      <c r="H322" s="919" t="s">
        <v>693</v>
      </c>
      <c r="I322" s="194" t="str">
        <f>INDEX(SignSym,MOD(B322+MATCH(H322,SignSym,0)-1,12)+1)</f>
        <v>Ar</v>
      </c>
      <c r="J322" s="194" t="str">
        <f>INDEX(SignSym,MOD(B322+MATCH(I322,SignSym,0)-1,12)+1)</f>
        <v>Pi</v>
      </c>
      <c r="K322" s="194" t="str">
        <f>INDEX(SignSym,MOD(B322+MATCH(J322,SignSym,0)-1,12)+1)</f>
        <v>Aq</v>
      </c>
      <c r="L322" s="194" t="str">
        <f>INDEX(SignSym,MOD(B322+MATCH(K322,SignSym,0)-1,12)+1)</f>
        <v>Cp</v>
      </c>
      <c r="M322" s="194" t="str">
        <f>INDEX(SignSym,MOD(B322+MATCH(L322,SignSym,0)-1,12)+1)</f>
        <v>Sg</v>
      </c>
      <c r="N322" s="194" t="str">
        <f>INDEX(SignSym,MOD(B322+MATCH(M322,SignSym,0)-1,12)+1)</f>
        <v>Sc</v>
      </c>
      <c r="O322" s="194" t="str">
        <f>INDEX(SignSym,MOD(B322+MATCH(N322,SignSym,0)-1,12)+1)</f>
        <v>Li</v>
      </c>
      <c r="P322" s="194" t="str">
        <f>INDEX(SignSym,MOD(B322+MATCH(O322,SignSym,0)-1,12)+1)</f>
        <v>Vi</v>
      </c>
      <c r="Q322" s="194" t="str">
        <f>INDEX(SignSym,MOD(B322+MATCH(P322,SignSym,0)-1,12)+1)</f>
        <v>Le</v>
      </c>
      <c r="R322" s="194" t="str">
        <f>INDEX(SignSym,MOD(B322+MATCH(Q322,SignSym,0)-1,12)+1)</f>
        <v>Cn</v>
      </c>
      <c r="S322" s="194" t="str">
        <f>INDEX(SignSym,MOD(B322+MATCH(R322,SignSym,0)-1,12)+1)</f>
        <v>Ge</v>
      </c>
    </row>
    <row r="323" spans="1:19" s="194" customFormat="1" hidden="1">
      <c r="C323" s="925"/>
      <c r="D323" s="925"/>
      <c r="F323" s="932"/>
      <c r="G323" s="932"/>
      <c r="H323" s="932" t="e">
        <f>F322</f>
        <v>#N/A</v>
      </c>
      <c r="I323" s="932" t="e">
        <f>H323+(E322*NDDaysInYEar/12)</f>
        <v>#N/A</v>
      </c>
      <c r="J323" s="932" t="e">
        <f>I323+(E322*NDDaysInYEar/12)</f>
        <v>#N/A</v>
      </c>
      <c r="K323" s="932" t="e">
        <f>J323+(E322*NDDaysInYEar/12)</f>
        <v>#N/A</v>
      </c>
      <c r="L323" s="932" t="e">
        <f>K323+(E322*NDDaysInYEar/12)</f>
        <v>#N/A</v>
      </c>
      <c r="M323" s="932" t="e">
        <f>L323+(E322*NDDaysInYEar/12)</f>
        <v>#N/A</v>
      </c>
      <c r="N323" s="932" t="e">
        <f>M323+(E322*NDDaysInYEar/12)</f>
        <v>#N/A</v>
      </c>
      <c r="O323" s="932" t="e">
        <f>N323+(E322*NDDaysInYEar/12)</f>
        <v>#N/A</v>
      </c>
      <c r="P323" s="932" t="e">
        <f>O323+(E322*NDDaysInYEar/12)</f>
        <v>#N/A</v>
      </c>
      <c r="Q323" s="932" t="e">
        <f>P323+(E322*NDDaysInYEar/12)</f>
        <v>#N/A</v>
      </c>
      <c r="R323" s="932" t="e">
        <f>Q323+(E322*NDDaysInYEar/12)</f>
        <v>#N/A</v>
      </c>
      <c r="S323" s="932" t="e">
        <f>R323+(E322*NDDaysInYEar/12)</f>
        <v>#N/A</v>
      </c>
    </row>
    <row r="324" spans="1:19" s="194" customFormat="1">
      <c r="A324" s="194" t="str">
        <f>VLOOKUP(C305,NDasaSeq,15,0)</f>
        <v>Li</v>
      </c>
      <c r="B324" s="194">
        <f>VLOOKUP(A324,NDasaC,3,0)</f>
        <v>1</v>
      </c>
      <c r="C324" s="925" t="e">
        <f>IF(MATCH(VLOOKUP(IF((A324="Aq"),VLOOKUP("AqLord",DivCharts,D304,0),IF((A324="Sc"),VLOOKUP("ScLord",DivCharts,D304,0),VLOOKUP(A324,RsInfo,9,0))),DivCharts,D304,0),RsTbl,0)=MATCH(VLOOKUP(IF((A324="Aq"),VLOOKUP("AqLord",DivCharts,D304,0),IF((A324="Sc"),VLOOKUP("ScLord",DivCharts,D304,0),VLOOKUP(A324,RsInfo,9,0))),PlanetData,8,0),RsTbl,0),1,IF(MATCH(VLOOKUP(IF((A324="Aq"),VLOOKUP("AqLord",DivCharts,D304,0),IF((A324="Sc"),VLOOKUP("ScLord",DivCharts,D304,0),VLOOKUP(A324,RsInfo,9,0))),DivCharts,D304,0),RsTbl,0)=MOD(MATCH(VLOOKUP(IF((A324="Aq"),VLOOKUP("AqLord",DivCharts,D304,0),IF((A324="Sc"),VLOOKUP("ScLord",DivCharts,D304,0),VLOOKUP(A324,RsInfo,9,0))),PlanetData,8,0),RsTbl,0)+6,12),-1,0))</f>
        <v>#N/A</v>
      </c>
      <c r="D324" s="925">
        <f>MOD((MATCH(VLOOKUP(IF((A324="Aq"),VLOOKUP("AqLord",DivCharts,D304,0),IF((A324="Sc"),VLOOKUP("ScLord",DivCharts,D304,0),VLOOKUP(A324,RsInfo,9,0))),DivCharts,D304,0),RsTbl,0)*B324)-(B324*MATCH(A324,RsTbl,0))+12,12)</f>
        <v>4</v>
      </c>
      <c r="E324" s="194" t="e">
        <f>IF(ISNA(MATCH((D324+C324),,0)),(D324+C324),12)</f>
        <v>#N/A</v>
      </c>
      <c r="F324" s="932" t="e">
        <f>G322</f>
        <v>#N/A</v>
      </c>
      <c r="G324" s="932" t="e">
        <f>F324+E324*NDDaysInYEar</f>
        <v>#N/A</v>
      </c>
      <c r="H324" s="919" t="str">
        <f>A324</f>
        <v>Li</v>
      </c>
      <c r="I324" s="194" t="str">
        <f>INDEX(SignSym,MOD(B324+MATCH(H324,SignSym,0)-1,12)+1)</f>
        <v>Sc</v>
      </c>
      <c r="J324" s="194" t="str">
        <f>INDEX(SignSym,MOD(B324+MATCH(I324,SignSym,0)-1,12)+1)</f>
        <v>Sg</v>
      </c>
      <c r="K324" s="194" t="str">
        <f>INDEX(SignSym,MOD(B324+MATCH(J324,SignSym,0)-1,12)+1)</f>
        <v>Cp</v>
      </c>
      <c r="L324" s="194" t="str">
        <f>INDEX(SignSym,MOD(B324+MATCH(K324,SignSym,0)-1,12)+1)</f>
        <v>Aq</v>
      </c>
      <c r="M324" s="194" t="str">
        <f>INDEX(SignSym,MOD(B324+MATCH(L324,SignSym,0)-1,12)+1)</f>
        <v>Pi</v>
      </c>
      <c r="N324" s="194" t="str">
        <f>INDEX(SignSym,MOD(B324+MATCH(M324,SignSym,0)-1,12)+1)</f>
        <v>Ar</v>
      </c>
      <c r="O324" s="194" t="str">
        <f>INDEX(SignSym,MOD(B324+MATCH(N324,SignSym,0)-1,12)+1)</f>
        <v>Ta</v>
      </c>
      <c r="P324" s="194" t="str">
        <f>INDEX(SignSym,MOD(B324+MATCH(O324,SignSym,0)-1,12)+1)</f>
        <v>Ge</v>
      </c>
      <c r="Q324" s="194" t="str">
        <f>INDEX(SignSym,MOD(B324+MATCH(P324,SignSym,0)-1,12)+1)</f>
        <v>Cn</v>
      </c>
      <c r="R324" s="194" t="str">
        <f>INDEX(SignSym,MOD(B324+MATCH(Q324,SignSym,0)-1,12)+1)</f>
        <v>Le</v>
      </c>
      <c r="S324" s="194" t="str">
        <f>INDEX(SignSym,MOD(B324+MATCH(R324,SignSym,0)-1,12)+1)</f>
        <v>Vi</v>
      </c>
    </row>
    <row r="325" spans="1:19" s="194" customFormat="1" ht="12.75" hidden="1" customHeight="1">
      <c r="C325" s="925"/>
      <c r="D325" s="925"/>
      <c r="F325" s="932"/>
      <c r="G325" s="932"/>
      <c r="H325" s="932" t="e">
        <f>F324</f>
        <v>#N/A</v>
      </c>
      <c r="I325" s="932" t="e">
        <f>H325+(E324*NDDaysInYEar/12)</f>
        <v>#N/A</v>
      </c>
      <c r="J325" s="932" t="e">
        <f>I325+(E324*NDDaysInYEar/12)</f>
        <v>#N/A</v>
      </c>
      <c r="K325" s="932" t="e">
        <f>J325+(E324*NDDaysInYEar/12)</f>
        <v>#N/A</v>
      </c>
      <c r="L325" s="932" t="e">
        <f>K325+(E324*NDDaysInYEar/12)</f>
        <v>#N/A</v>
      </c>
      <c r="M325" s="932" t="e">
        <f>L325+(E324*NDDaysInYEar/12)</f>
        <v>#N/A</v>
      </c>
      <c r="N325" s="932" t="e">
        <f>M325+(E324*NDDaysInYEar/12)</f>
        <v>#N/A</v>
      </c>
      <c r="O325" s="932" t="e">
        <f>N325+(E324*NDDaysInYEar/12)</f>
        <v>#N/A</v>
      </c>
      <c r="P325" s="932" t="e">
        <f>O325+(E324*NDDaysInYEar/12)</f>
        <v>#N/A</v>
      </c>
      <c r="Q325" s="932" t="e">
        <f>P325+(E324*NDDaysInYEar/12)</f>
        <v>#N/A</v>
      </c>
      <c r="R325" s="932" t="e">
        <f>Q325+(E324*NDDaysInYEar/12)</f>
        <v>#N/A</v>
      </c>
      <c r="S325" s="932" t="e">
        <f>R325+(E324*NDDaysInYEar/12)</f>
        <v>#N/A</v>
      </c>
    </row>
    <row r="326" spans="1:19" s="194" customFormat="1">
      <c r="A326" s="194" t="str">
        <f>VLOOKUP(C305,NDasaSeq,16,0)</f>
        <v>Vi</v>
      </c>
      <c r="B326" s="194">
        <f>VLOOKUP(A326,NDasaC,3,0)</f>
        <v>-1</v>
      </c>
      <c r="C326" s="925" t="e">
        <f>IF(MATCH(VLOOKUP(IF((A326="Aq"),VLOOKUP("AqLord",DivCharts,D304,0),IF((A326="Sc"),VLOOKUP("ScLord",DivCharts,D304,0),VLOOKUP(A326,RsInfo,9,0))),DivCharts,D304,0),RsTbl,0)=MATCH(VLOOKUP(IF((A326="Aq"),VLOOKUP("AqLord",DivCharts,D304,0),IF((A326="Sc"),VLOOKUP("ScLord",DivCharts,D304,0),VLOOKUP(A326,RsInfo,9,0))),PlanetData,8,0),RsTbl,0),1,IF(MATCH(VLOOKUP(IF((A326="Aq"),VLOOKUP("AqLord",DivCharts,D304,0),IF((A326="Sc"),VLOOKUP("ScLord",DivCharts,D304,0),VLOOKUP(A326,RsInfo,9,0))),DivCharts,D304,0),RsTbl,0)=MOD(MATCH(VLOOKUP(IF((A326="Aq"),VLOOKUP("AqLord",DivCharts,D304,0),IF((A326="Sc"),VLOOKUP("ScLord",DivCharts,D304,0),VLOOKUP(A326,RsInfo,9,0))),PlanetData,8,0),RsTbl,0)+6,12),-1,0))</f>
        <v>#N/A</v>
      </c>
      <c r="D326" s="925">
        <f>MOD((MATCH(VLOOKUP(IF((A326="Aq"),VLOOKUP("AqLord",DivCharts,D304,0),IF((A326="Sc"),VLOOKUP("ScLord",DivCharts,D304,0),VLOOKUP(A326,RsInfo,9,0))),DivCharts,D304,0),RsTbl,0)*B326)-(B326*MATCH(A326,RsTbl,0))+12,12)</f>
        <v>4</v>
      </c>
      <c r="E326" s="194" t="e">
        <f>IF(ISNA(MATCH((D326+C326),,0)),(D326+C326),12)</f>
        <v>#N/A</v>
      </c>
      <c r="F326" s="932" t="e">
        <f>G324</f>
        <v>#N/A</v>
      </c>
      <c r="G326" s="932" t="e">
        <f>F326+E326*NDDaysInYEar</f>
        <v>#N/A</v>
      </c>
      <c r="H326" s="919" t="str">
        <f>A326</f>
        <v>Vi</v>
      </c>
      <c r="I326" s="194" t="str">
        <f>INDEX(SignSym,MOD(B326+MATCH(H326,SignSym,0)-1,12)+1)</f>
        <v>Le</v>
      </c>
      <c r="J326" s="194" t="str">
        <f>INDEX(SignSym,MOD(B326+MATCH(I326,SignSym,0)-1,12)+1)</f>
        <v>Cn</v>
      </c>
      <c r="K326" s="194" t="str">
        <f>INDEX(SignSym,MOD(B326+MATCH(J326,SignSym,0)-1,12)+1)</f>
        <v>Ge</v>
      </c>
      <c r="L326" s="194" t="str">
        <f>INDEX(SignSym,MOD(B326+MATCH(K326,SignSym,0)-1,12)+1)</f>
        <v>Ta</v>
      </c>
      <c r="M326" s="194" t="str">
        <f>INDEX(SignSym,MOD(B326+MATCH(L326,SignSym,0)-1,12)+1)</f>
        <v>Ar</v>
      </c>
      <c r="N326" s="194" t="str">
        <f>INDEX(SignSym,MOD(B326+MATCH(M326,SignSym,0)-1,12)+1)</f>
        <v>Pi</v>
      </c>
      <c r="O326" s="194" t="str">
        <f>INDEX(SignSym,MOD(B326+MATCH(N326,SignSym,0)-1,12)+1)</f>
        <v>Aq</v>
      </c>
      <c r="P326" s="194" t="str">
        <f>INDEX(SignSym,MOD(B326+MATCH(O326,SignSym,0)-1,12)+1)</f>
        <v>Cp</v>
      </c>
      <c r="Q326" s="194" t="str">
        <f>INDEX(SignSym,MOD(B326+MATCH(P326,SignSym,0)-1,12)+1)</f>
        <v>Sg</v>
      </c>
      <c r="R326" s="194" t="str">
        <f>INDEX(SignSym,MOD(B326+MATCH(Q326,SignSym,0)-1,12)+1)</f>
        <v>Sc</v>
      </c>
      <c r="S326" s="194" t="str">
        <f>INDEX(SignSym,MOD(B326+MATCH(R326,SignSym,0)-1,12)+1)</f>
        <v>Li</v>
      </c>
    </row>
    <row r="327" spans="1:19" s="194" customFormat="1" ht="12.75" hidden="1" customHeight="1">
      <c r="C327" s="925"/>
      <c r="D327" s="925"/>
      <c r="F327" s="932"/>
      <c r="G327" s="932"/>
      <c r="H327" s="932" t="e">
        <f>F326</f>
        <v>#N/A</v>
      </c>
      <c r="I327" s="932" t="e">
        <f>H327+(E326*NDDaysInYEar/12)</f>
        <v>#N/A</v>
      </c>
      <c r="J327" s="932" t="e">
        <f>I327+(E326*NDDaysInYEar/12)</f>
        <v>#N/A</v>
      </c>
      <c r="K327" s="932" t="e">
        <f>J327+(E326*NDDaysInYEar/12)</f>
        <v>#N/A</v>
      </c>
      <c r="L327" s="932" t="e">
        <f>K327+(E326*NDDaysInYEar/12)</f>
        <v>#N/A</v>
      </c>
      <c r="M327" s="932" t="e">
        <f>L327+(E326*NDDaysInYEar/12)</f>
        <v>#N/A</v>
      </c>
      <c r="N327" s="932" t="e">
        <f>M327+(E326*NDDaysInYEar/12)</f>
        <v>#N/A</v>
      </c>
      <c r="O327" s="932" t="e">
        <f>N327+(E326*NDDaysInYEar/12)</f>
        <v>#N/A</v>
      </c>
      <c r="P327" s="932" t="e">
        <f>O327+(E326*NDDaysInYEar/12)</f>
        <v>#N/A</v>
      </c>
      <c r="Q327" s="932" t="e">
        <f>P327+(E326*NDDaysInYEar/12)</f>
        <v>#N/A</v>
      </c>
      <c r="R327" s="932" t="e">
        <f>Q327+(E326*NDDaysInYEar/12)</f>
        <v>#N/A</v>
      </c>
      <c r="S327" s="932" t="e">
        <f>R327+(E326*NDDaysInYEar/12)</f>
        <v>#N/A</v>
      </c>
    </row>
    <row r="328" spans="1:19" s="194" customFormat="1">
      <c r="A328" s="194" t="str">
        <f>VLOOKUP(C305,NDasaSeq,17,0)</f>
        <v>Ta</v>
      </c>
      <c r="B328" s="194">
        <f>VLOOKUP(A328,NDasaC,3,0)</f>
        <v>1</v>
      </c>
      <c r="C328" s="925" t="e">
        <f>IF(MATCH(VLOOKUP(IF((A328="Aq"),VLOOKUP("AqLord",DivCharts,D304,0),IF((A328="Sc"),VLOOKUP("ScLord",DivCharts,D304,0),VLOOKUP(A328,RsInfo,9,0))),DivCharts,D304,0),RsTbl,0)=MATCH(VLOOKUP(IF((A328="Aq"),VLOOKUP("AqLord",DivCharts,D304,0),IF((A328="Sc"),VLOOKUP("ScLord",DivCharts,D304,0),VLOOKUP(A328,RsInfo,9,0))),PlanetData,8,0),RsTbl,0),1,IF(MATCH(VLOOKUP(IF((A328="Aq"),VLOOKUP("AqLord",DivCharts,D304,0),IF((A328="Sc"),VLOOKUP("ScLord",DivCharts,D304,0),VLOOKUP(A328,RsInfo,9,0))),DivCharts,D304,0),RsTbl,0)=MOD(MATCH(VLOOKUP(IF((A328="Aq"),VLOOKUP("AqLord",DivCharts,D304,0),IF((A328="Sc"),VLOOKUP("ScLord",DivCharts,D304,0),VLOOKUP(A328,RsInfo,9,0))),PlanetData,8,0),RsTbl,0)+6,12),-1,0))</f>
        <v>#N/A</v>
      </c>
      <c r="D328" s="925">
        <f>MOD((MATCH(VLOOKUP(IF((A328="Aq"),VLOOKUP("AqLord",DivCharts,D304,0),IF((A328="Sc"),VLOOKUP("ScLord",DivCharts,D304,0),VLOOKUP(A328,RsInfo,9,0))),DivCharts,D304,0),RsTbl,0)*B328)-(B328*MATCH(A328,RsTbl,0))+12,12)</f>
        <v>9</v>
      </c>
      <c r="E328" s="194" t="e">
        <f>IF(ISNA(MATCH((D328+C328),,0)),(D328+C328),12)</f>
        <v>#N/A</v>
      </c>
      <c r="F328" s="932" t="e">
        <f>G326</f>
        <v>#N/A</v>
      </c>
      <c r="G328" s="932" t="e">
        <f>F328+E328*NDDaysInYEar</f>
        <v>#N/A</v>
      </c>
      <c r="H328" s="919" t="str">
        <f>A328</f>
        <v>Ta</v>
      </c>
      <c r="I328" s="194" t="str">
        <f>INDEX(SignSym,MOD(B328+MATCH(H328,SignSym,0)-1,12)+1)</f>
        <v>Ge</v>
      </c>
      <c r="J328" s="194" t="str">
        <f>INDEX(SignSym,MOD(B328+MATCH(I328,SignSym,0)-1,12)+1)</f>
        <v>Cn</v>
      </c>
      <c r="K328" s="194" t="str">
        <f>INDEX(SignSym,MOD(B328+MATCH(J328,SignSym,0)-1,12)+1)</f>
        <v>Le</v>
      </c>
      <c r="L328" s="194" t="str">
        <f>INDEX(SignSym,MOD(B328+MATCH(K328,SignSym,0)-1,12)+1)</f>
        <v>Vi</v>
      </c>
      <c r="M328" s="194" t="str">
        <f>INDEX(SignSym,MOD(B328+MATCH(L328,SignSym,0)-1,12)+1)</f>
        <v>Li</v>
      </c>
      <c r="N328" s="194" t="str">
        <f>INDEX(SignSym,MOD(B328+MATCH(M328,SignSym,0)-1,12)+1)</f>
        <v>Sc</v>
      </c>
      <c r="O328" s="194" t="str">
        <f>INDEX(SignSym,MOD(B328+MATCH(N328,SignSym,0)-1,12)+1)</f>
        <v>Sg</v>
      </c>
      <c r="P328" s="194" t="str">
        <f>INDEX(SignSym,MOD(B328+MATCH(O328,SignSym,0)-1,12)+1)</f>
        <v>Cp</v>
      </c>
      <c r="Q328" s="194" t="str">
        <f>INDEX(SignSym,MOD(B328+MATCH(P328,SignSym,0)-1,12)+1)</f>
        <v>Aq</v>
      </c>
      <c r="R328" s="194" t="str">
        <f>INDEX(SignSym,MOD(B328+MATCH(Q328,SignSym,0)-1,12)+1)</f>
        <v>Pi</v>
      </c>
      <c r="S328" s="194" t="str">
        <f>INDEX(SignSym,MOD(B328+MATCH(R328,SignSym,0)-1,12)+1)</f>
        <v>Ar</v>
      </c>
    </row>
    <row r="329" spans="1:19" s="194" customFormat="1" ht="12.75" hidden="1" customHeight="1">
      <c r="C329" s="925"/>
      <c r="D329" s="925"/>
      <c r="F329" s="932"/>
      <c r="G329" s="932"/>
      <c r="H329" s="932" t="e">
        <f>F328</f>
        <v>#N/A</v>
      </c>
      <c r="I329" s="932" t="e">
        <f>H329+(E328*NDDaysInYEar/12)</f>
        <v>#N/A</v>
      </c>
      <c r="J329" s="932" t="e">
        <f>I329+(E328*NDDaysInYEar/12)</f>
        <v>#N/A</v>
      </c>
      <c r="K329" s="932" t="e">
        <f>J329+(E328*NDDaysInYEar/12)</f>
        <v>#N/A</v>
      </c>
      <c r="L329" s="932" t="e">
        <f>K329+(E328*NDDaysInYEar/12)</f>
        <v>#N/A</v>
      </c>
      <c r="M329" s="932" t="e">
        <f>L329+(E328*NDDaysInYEar/12)</f>
        <v>#N/A</v>
      </c>
      <c r="N329" s="932" t="e">
        <f>M329+(E328*NDDaysInYEar/12)</f>
        <v>#N/A</v>
      </c>
      <c r="O329" s="932" t="e">
        <f>N329+(E328*NDDaysInYEar/12)</f>
        <v>#N/A</v>
      </c>
      <c r="P329" s="932" t="e">
        <f>O329+(E328*NDDaysInYEar/12)</f>
        <v>#N/A</v>
      </c>
      <c r="Q329" s="932" t="e">
        <f>P329+(E328*NDDaysInYEar/12)</f>
        <v>#N/A</v>
      </c>
      <c r="R329" s="932" t="e">
        <f>Q329+(E328*NDDaysInYEar/12)</f>
        <v>#N/A</v>
      </c>
      <c r="S329" s="932" t="e">
        <f>R329+(E328*NDDaysInYEar/12)</f>
        <v>#N/A</v>
      </c>
    </row>
    <row r="330" spans="1:19" s="194" customFormat="1">
      <c r="A330" s="194" t="str">
        <f>VLOOKUP(C305,NDasaSeq,18,0)</f>
        <v>Cp</v>
      </c>
      <c r="B330" s="194">
        <f>VLOOKUP(A330,NDasaC,3,0)</f>
        <v>-1</v>
      </c>
      <c r="C330" s="925" t="e">
        <f>IF(MATCH(VLOOKUP(IF((A330="Aq"),VLOOKUP("AqLord",DivCharts,D304,0),IF((A330="Sc"),VLOOKUP("ScLord",DivCharts,D304,0),VLOOKUP(A330,RsInfo,9,0))),DivCharts,D304,0),RsTbl,0)=MATCH(VLOOKUP(IF((A330="Aq"),VLOOKUP("AqLord",DivCharts,D304,0),IF((A330="Sc"),VLOOKUP("ScLord",DivCharts,D304,0),VLOOKUP(A330,RsInfo,9,0))),PlanetData,8,0),RsTbl,0),1,IF(MATCH(VLOOKUP(IF((A330="Aq"),VLOOKUP("AqLord",DivCharts,D304,0),IF((A330="Sc"),VLOOKUP("ScLord",DivCharts,D304,0),VLOOKUP(A330,RsInfo,9,0))),DivCharts,D304,0),RsTbl,0)=MOD(MATCH(VLOOKUP(IF((A330="Aq"),VLOOKUP("AqLord",DivCharts,D304,0),IF((A330="Sc"),VLOOKUP("ScLord",DivCharts,D304,0),VLOOKUP(A330,RsInfo,9,0))),PlanetData,8,0),RsTbl,0)+6,12),-1,0))</f>
        <v>#N/A</v>
      </c>
      <c r="D330" s="925">
        <f>MOD((MATCH(VLOOKUP(IF((A330="Aq"),VLOOKUP("AqLord",DivCharts,D304,0),IF((A330="Sc"),VLOOKUP("ScLord",DivCharts,D304,0),VLOOKUP(A330,RsInfo,9,0))),DivCharts,D304,0),RsTbl,0)*B330)-(B330*MATCH(A330,RsTbl,0))+12,12)</f>
        <v>5</v>
      </c>
      <c r="E330" s="194" t="e">
        <f>IF(ISNA(MATCH((D330+C330),,0)),(D330+C330),12)</f>
        <v>#N/A</v>
      </c>
      <c r="F330" s="932" t="e">
        <f>G328</f>
        <v>#N/A</v>
      </c>
      <c r="G330" s="932" t="e">
        <f>F330+E330*NDDaysInYEar</f>
        <v>#N/A</v>
      </c>
      <c r="H330" s="919" t="str">
        <f>A330</f>
        <v>Cp</v>
      </c>
      <c r="I330" s="194" t="str">
        <f>INDEX(SignSym,MOD(B330+MATCH(H330,SignSym,0)-1,12)+1)</f>
        <v>Sg</v>
      </c>
      <c r="J330" s="194" t="str">
        <f>INDEX(SignSym,MOD(B330+MATCH(I330,SignSym,0)-1,12)+1)</f>
        <v>Sc</v>
      </c>
      <c r="K330" s="194" t="str">
        <f>INDEX(SignSym,MOD(B330+MATCH(J330,SignSym,0)-1,12)+1)</f>
        <v>Li</v>
      </c>
      <c r="L330" s="194" t="str">
        <f>INDEX(SignSym,MOD(B330+MATCH(K330,SignSym,0)-1,12)+1)</f>
        <v>Vi</v>
      </c>
      <c r="M330" s="194" t="str">
        <f>INDEX(SignSym,MOD(B330+MATCH(L330,SignSym,0)-1,12)+1)</f>
        <v>Le</v>
      </c>
      <c r="N330" s="194" t="str">
        <f>INDEX(SignSym,MOD(B330+MATCH(M330,SignSym,0)-1,12)+1)</f>
        <v>Cn</v>
      </c>
      <c r="O330" s="194" t="str">
        <f>INDEX(SignSym,MOD(B330+MATCH(N330,SignSym,0)-1,12)+1)</f>
        <v>Ge</v>
      </c>
      <c r="P330" s="194" t="str">
        <f>INDEX(SignSym,MOD(B330+MATCH(O330,SignSym,0)-1,12)+1)</f>
        <v>Ta</v>
      </c>
      <c r="Q330" s="194" t="str">
        <f>INDEX(SignSym,MOD(B330+MATCH(P330,SignSym,0)-1,12)+1)</f>
        <v>Ar</v>
      </c>
      <c r="R330" s="194" t="str">
        <f>INDEX(SignSym,MOD(B330+MATCH(Q330,SignSym,0)-1,12)+1)</f>
        <v>Pi</v>
      </c>
      <c r="S330" s="194" t="str">
        <f>INDEX(SignSym,MOD(B330+MATCH(R330,SignSym,0)-1,12)+1)</f>
        <v>Aq</v>
      </c>
    </row>
    <row r="331" spans="1:19" s="194" customFormat="1" hidden="1">
      <c r="D331" s="925"/>
      <c r="H331" s="932" t="e">
        <f>F330</f>
        <v>#N/A</v>
      </c>
      <c r="I331" s="932" t="e">
        <f>H331+(E330*NDDaysInYEar/12)</f>
        <v>#N/A</v>
      </c>
      <c r="J331" s="932" t="e">
        <f>I331+(E330*NDDaysInYEar/12)</f>
        <v>#N/A</v>
      </c>
      <c r="K331" s="932" t="e">
        <f>J331+(E330*NDDaysInYEar/12)</f>
        <v>#N/A</v>
      </c>
      <c r="L331" s="932" t="e">
        <f>K331+(E330*NDDaysInYEar/12)</f>
        <v>#N/A</v>
      </c>
      <c r="M331" s="932" t="e">
        <f>L331+(E330*NDDaysInYEar/12)</f>
        <v>#N/A</v>
      </c>
      <c r="N331" s="932" t="e">
        <f>M331+(E330*NDDaysInYEar/12)</f>
        <v>#N/A</v>
      </c>
      <c r="O331" s="932" t="e">
        <f>N331+(E330*NDDaysInYEar/12)</f>
        <v>#N/A</v>
      </c>
      <c r="P331" s="932" t="e">
        <f>O331+(E330*NDDaysInYEar/12)</f>
        <v>#N/A</v>
      </c>
      <c r="Q331" s="932" t="e">
        <f>P331+(E330*NDDaysInYEar/12)</f>
        <v>#N/A</v>
      </c>
      <c r="R331" s="932" t="e">
        <f>Q331+(E330*NDDaysInYEar/12)</f>
        <v>#N/A</v>
      </c>
      <c r="S331" s="932" t="e">
        <f>R331+(E330*NDDaysInYEar/12)</f>
        <v>#N/A</v>
      </c>
    </row>
    <row r="332" spans="1:19" s="194" customFormat="1">
      <c r="A332" s="931"/>
      <c r="B332" s="931"/>
      <c r="C332" s="931"/>
      <c r="D332" s="931"/>
      <c r="E332" s="931"/>
      <c r="F332" s="931"/>
      <c r="G332" s="931"/>
      <c r="H332" s="931"/>
      <c r="I332" s="931"/>
      <c r="J332" s="931"/>
      <c r="K332" s="931"/>
      <c r="L332" s="931"/>
      <c r="M332" s="931"/>
      <c r="N332" s="931"/>
      <c r="O332" s="931"/>
      <c r="P332" s="931"/>
      <c r="Q332" s="931"/>
      <c r="R332" s="931"/>
      <c r="S332" s="931"/>
    </row>
    <row r="334" spans="1:19">
      <c r="L334" s="29"/>
    </row>
    <row r="335" spans="1:19">
      <c r="A335" s="913" t="s">
        <v>4201</v>
      </c>
      <c r="B335" s="914"/>
      <c r="C335" s="914"/>
      <c r="D335" s="914"/>
      <c r="E335" s="914"/>
      <c r="F335" s="914"/>
      <c r="G335" s="914"/>
      <c r="H335" s="914"/>
      <c r="I335" s="914"/>
      <c r="J335" s="914"/>
      <c r="K335" s="914"/>
      <c r="L335" s="915"/>
      <c r="M335" s="914"/>
      <c r="N335" s="914"/>
      <c r="O335" s="914"/>
      <c r="P335" s="914"/>
      <c r="Q335" s="914"/>
      <c r="R335" s="914"/>
      <c r="S335" s="914"/>
    </row>
    <row r="336" spans="1:19" s="194" customFormat="1">
      <c r="A336" s="1366" t="s">
        <v>4189</v>
      </c>
      <c r="B336" s="1366"/>
      <c r="C336" s="916">
        <v>1</v>
      </c>
      <c r="D336" s="917">
        <f>MATCH(C336,$18:$18,1)</f>
        <v>2</v>
      </c>
      <c r="H336" s="194" t="s">
        <v>4190</v>
      </c>
      <c r="I336" s="918" t="s">
        <v>4191</v>
      </c>
      <c r="N336" s="918"/>
    </row>
    <row r="337" spans="1:19" s="194" customFormat="1">
      <c r="A337" s="1366" t="s">
        <v>4192</v>
      </c>
      <c r="B337" s="1366"/>
      <c r="C337" s="919"/>
      <c r="D337" s="920"/>
      <c r="E337" s="194" t="s">
        <v>4202</v>
      </c>
      <c r="F337" s="194" t="b">
        <f>FALSE()</f>
        <v>0</v>
      </c>
      <c r="G337" s="334"/>
      <c r="H337" s="918" t="b">
        <f>TRUE()</f>
        <v>1</v>
      </c>
      <c r="I337" s="939">
        <f>0.57974537037037</f>
        <v>0.57974537037036999</v>
      </c>
      <c r="J337" s="918"/>
      <c r="P337" s="918"/>
    </row>
    <row r="338" spans="1:19" s="194" customFormat="1">
      <c r="C338" s="918"/>
      <c r="E338" s="918"/>
      <c r="H338" s="918"/>
      <c r="I338" s="918"/>
      <c r="J338" s="918"/>
    </row>
    <row r="339" spans="1:19" s="194" customFormat="1">
      <c r="A339" s="934" t="s">
        <v>4060</v>
      </c>
      <c r="B339" s="934" t="s">
        <v>807</v>
      </c>
      <c r="C339" s="934" t="s">
        <v>4194</v>
      </c>
      <c r="D339" s="934" t="s">
        <v>4195</v>
      </c>
      <c r="E339" s="934" t="s">
        <v>400</v>
      </c>
      <c r="F339" s="934" t="s">
        <v>730</v>
      </c>
      <c r="G339" s="934" t="s">
        <v>805</v>
      </c>
      <c r="H339" s="934" t="s">
        <v>4197</v>
      </c>
      <c r="I339" s="918"/>
      <c r="J339" s="918"/>
    </row>
    <row r="340" spans="1:19" s="194" customFormat="1">
      <c r="A340" s="335" t="s">
        <v>693</v>
      </c>
      <c r="B340" s="194">
        <f>VLOOKUP(A340,NDasaC,3,0)</f>
        <v>1</v>
      </c>
      <c r="C340" s="925" t="e">
        <f>IF(MATCH(VLOOKUP(IF((A340="Aq"),VLOOKUP("AqLord",DivCharts,D336,0),IF((A340="Sc"),VLOOKUP("ScLord",DivCharts,D336,0),VLOOKUP(A340,RsInfo,9,0))),DivCharts,D336,0),RsTbl,0)=MATCH(VLOOKUP(IF((A340="Aq"),VLOOKUP("AqLord",DivCharts,D336,0),IF((A340="Sc"),VLOOKUP("ScLord",DivCharts,D336,0),VLOOKUP(A340,RsInfo,9,0))),PlanetData,8,0),RsTbl,0),1,IF(MATCH(VLOOKUP(IF((A340="Aq"),VLOOKUP("AqLord",DivCharts,D336,0),IF((A340="Sc"),VLOOKUP("ScLord",DivCharts,D336,0),VLOOKUP(A340,RsInfo,9,0))),DivCharts,D336,0),RsTbl,0)=MOD(MATCH(VLOOKUP(IF((A340="Aq"),VLOOKUP("AqLord",DivCharts,D336,0),IF((A340="Sc"),VLOOKUP("ScLord",DivCharts,D336,0),VLOOKUP(A340,RsInfo,9,0))),PlanetData,8,0),RsTbl,0)+6,12),-1,0))</f>
        <v>#N/A</v>
      </c>
      <c r="D340" s="925">
        <f>MOD((MATCH(VLOOKUP(IF((A340="Aq"),VLOOKUP("AqLord",DivCharts,D336,0),IF((A340="Sc"),VLOOKUP("ScLord",DivCharts,D336,0),VLOOKUP(A340,RsInfo,9,0))),DivCharts,D336,0),RsTbl,0)*B340)-(B340*MATCH(A340,RsTbl,0))+12,12)</f>
        <v>1</v>
      </c>
      <c r="E340" s="194" t="e">
        <f>ABS(IF(ISNA(MATCH((D340+C340),,0)),(D340+C340),12)+IF(F337,0,-12))*IF(H337,I337,1)</f>
        <v>#N/A</v>
      </c>
      <c r="F340" s="926">
        <f>NDDoB</f>
        <v>26133.384143518517</v>
      </c>
      <c r="G340" s="926" t="e">
        <f>F340+E340*NDDaysInYEar</f>
        <v>#N/A</v>
      </c>
      <c r="H340" s="927" t="str">
        <f>A340</f>
        <v>Ta</v>
      </c>
      <c r="I340" s="220" t="str">
        <f>INDEX(SignSym,MOD(B340+MATCH(H340,SignSym,0)-1,12)+1)</f>
        <v>Ge</v>
      </c>
      <c r="J340" s="220" t="str">
        <f>INDEX(SignSym,MOD(B340+MATCH(I340,SignSym,0)-1,12)+1)</f>
        <v>Cn</v>
      </c>
      <c r="K340" s="144" t="str">
        <f>INDEX(SignSym,MOD(B340+MATCH(J340,SignSym,0)-1,12)+1)</f>
        <v>Le</v>
      </c>
      <c r="L340" s="219" t="str">
        <f>INDEX(SignSym,MOD(B340+MATCH(K340,SignSym,0)-1,12)+1)</f>
        <v>Vi</v>
      </c>
      <c r="M340" s="220" t="str">
        <f>INDEX(SignSym,MOD(B340+MATCH(L340,SignSym,0)-1,12)+1)</f>
        <v>Li</v>
      </c>
      <c r="N340" s="220" t="str">
        <f>INDEX(SignSym,MOD(B340+MATCH(M340,SignSym,0)-1,12)+1)</f>
        <v>Sc</v>
      </c>
      <c r="O340" s="144" t="str">
        <f>INDEX(SignSym,MOD(B340+MATCH(N340,SignSym,0)-1,12)+1)</f>
        <v>Sg</v>
      </c>
      <c r="P340" s="219" t="str">
        <f>INDEX(SignSym,MOD(B340+MATCH(O340,SignSym,0)-1,12)+1)</f>
        <v>Cp</v>
      </c>
      <c r="Q340" s="220" t="str">
        <f>INDEX(SignSym,MOD(B340+MATCH(P340,SignSym,0)-1,12)+1)</f>
        <v>Aq</v>
      </c>
      <c r="R340" s="220" t="str">
        <f>INDEX(SignSym,MOD(B340+MATCH(Q340,SignSym,0)-1,12)+1)</f>
        <v>Pi</v>
      </c>
      <c r="S340" s="144" t="str">
        <f>INDEX(SignSym,MOD(B340+MATCH(R340,SignSym,0)-1,12)+1)</f>
        <v>Ar</v>
      </c>
    </row>
    <row r="341" spans="1:19" s="194" customFormat="1">
      <c r="C341" s="925"/>
      <c r="D341" s="925"/>
      <c r="F341" s="926"/>
      <c r="G341" s="926"/>
      <c r="H341" s="928">
        <f>F340</f>
        <v>26133.384143518517</v>
      </c>
      <c r="I341" s="929" t="e">
        <f>H341+(E340*NDDaysInYEar/12)</f>
        <v>#N/A</v>
      </c>
      <c r="J341" s="929" t="e">
        <f>I341+(E340*NDDaysInYEar/12)</f>
        <v>#N/A</v>
      </c>
      <c r="K341" s="930" t="e">
        <f>J341+(E340*NDDaysInYEar/12)</f>
        <v>#N/A</v>
      </c>
      <c r="L341" s="928" t="e">
        <f>K341+(E340*NDDaysInYEar/12)</f>
        <v>#N/A</v>
      </c>
      <c r="M341" s="929" t="e">
        <f>L341+(E340*NDDaysInYEar/12)</f>
        <v>#N/A</v>
      </c>
      <c r="N341" s="929" t="e">
        <f>M341+(E340*NDDaysInYEar/12)</f>
        <v>#N/A</v>
      </c>
      <c r="O341" s="930" t="e">
        <f>N341+(E340*NDDaysInYEar/12)</f>
        <v>#N/A</v>
      </c>
      <c r="P341" s="928" t="e">
        <f>O341+(E340*NDDaysInYEar/12)</f>
        <v>#N/A</v>
      </c>
      <c r="Q341" s="929" t="e">
        <f>P341+(E340*NDDaysInYEar/12)</f>
        <v>#N/A</v>
      </c>
      <c r="R341" s="929" t="e">
        <f>Q341+(E340*NDDaysInYEar/12)</f>
        <v>#N/A</v>
      </c>
      <c r="S341" s="930" t="e">
        <f>R341+(E340*NDDaysInYEar/12)</f>
        <v>#N/A</v>
      </c>
    </row>
    <row r="342" spans="1:19" s="194" customFormat="1">
      <c r="A342" s="335" t="s">
        <v>701</v>
      </c>
      <c r="B342" s="194">
        <f>VLOOKUP(A342,NDasaC,3,0)</f>
        <v>-1</v>
      </c>
      <c r="C342" s="925" t="e">
        <f>IF(MATCH(VLOOKUP(IF((A342="Aq"),VLOOKUP("AqLord",DivCharts,D336,0),IF((A342="Sc"),VLOOKUP("ScLord",DivCharts,D336,0),VLOOKUP(A342,RsInfo,9,0))),DivCharts,D336,0),RsTbl,0)=MATCH(VLOOKUP(IF((A342="Aq"),VLOOKUP("AqLord",DivCharts,D336,0),IF((A342="Sc"),VLOOKUP("ScLord",DivCharts,D336,0),VLOOKUP(A342,RsInfo,9,0))),PlanetData,8,0),RsTbl,0),1,IF(MATCH(VLOOKUP(IF((A342="Aq"),VLOOKUP("AqLord",DivCharts,D336,0),IF((A342="Sc"),VLOOKUP("ScLord",DivCharts,D336,0),VLOOKUP(A342,RsInfo,9,0))),DivCharts,D336,0),RsTbl,0)=MOD(MATCH(VLOOKUP(IF((A342="Aq"),VLOOKUP("AqLord",DivCharts,D336,0),IF((A342="Sc"),VLOOKUP("ScLord",DivCharts,D336,0),VLOOKUP(A342,RsInfo,9,0))),PlanetData,8,0),RsTbl,0)+6,12),-1,0))</f>
        <v>#N/A</v>
      </c>
      <c r="D342" s="925">
        <f>MOD((MATCH(VLOOKUP(IF((A342="Aq"),VLOOKUP("AqLord",DivCharts,D336,0),IF((A342="Sc"),VLOOKUP("ScLord",DivCharts,D336,0),VLOOKUP(A342,RsInfo,9,0))),DivCharts,D336,0),RsTbl,0)*B342)-(B342*MATCH(A342,RsTbl,0))+12,12)</f>
        <v>1</v>
      </c>
      <c r="E342" s="194" t="e">
        <f>ABS(IF(ISNA(MATCH((D342+C342),,0)),(D342+C342),12)+IF(F337,0,-12))</f>
        <v>#N/A</v>
      </c>
      <c r="F342" s="926" t="e">
        <f>G340</f>
        <v>#N/A</v>
      </c>
      <c r="G342" s="926" t="e">
        <f>F342+E342*NDDaysInYEar</f>
        <v>#N/A</v>
      </c>
      <c r="H342" s="927" t="str">
        <f>A342</f>
        <v>Le</v>
      </c>
      <c r="I342" s="220" t="str">
        <f>INDEX(SignSym,MOD(B342+MATCH(H342,SignSym,0)-1,12)+1)</f>
        <v>Cn</v>
      </c>
      <c r="J342" s="220" t="str">
        <f>INDEX(SignSym,MOD(B342+MATCH(I342,SignSym,0)-1,12)+1)</f>
        <v>Ge</v>
      </c>
      <c r="K342" s="144" t="str">
        <f>INDEX(SignSym,MOD(B342+MATCH(J342,SignSym,0)-1,12)+1)</f>
        <v>Ta</v>
      </c>
      <c r="L342" s="219" t="str">
        <f>INDEX(SignSym,MOD(B342+MATCH(K342,SignSym,0)-1,12)+1)</f>
        <v>Ar</v>
      </c>
      <c r="M342" s="220" t="str">
        <f>INDEX(SignSym,MOD(B342+MATCH(L342,SignSym,0)-1,12)+1)</f>
        <v>Pi</v>
      </c>
      <c r="N342" s="220" t="str">
        <f>INDEX(SignSym,MOD(B342+MATCH(M342,SignSym,0)-1,12)+1)</f>
        <v>Aq</v>
      </c>
      <c r="O342" s="144" t="str">
        <f>INDEX(SignSym,MOD(B342+MATCH(N342,SignSym,0)-1,12)+1)</f>
        <v>Cp</v>
      </c>
      <c r="P342" s="219" t="str">
        <f>INDEX(SignSym,MOD(B342+MATCH(O342,SignSym,0)-1,12)+1)</f>
        <v>Sg</v>
      </c>
      <c r="Q342" s="220" t="str">
        <f>INDEX(SignSym,MOD(B342+MATCH(P342,SignSym,0)-1,12)+1)</f>
        <v>Sc</v>
      </c>
      <c r="R342" s="220" t="str">
        <f>INDEX(SignSym,MOD(B342+MATCH(Q342,SignSym,0)-1,12)+1)</f>
        <v>Li</v>
      </c>
      <c r="S342" s="144" t="str">
        <f>INDEX(SignSym,MOD(B342+MATCH(R342,SignSym,0)-1,12)+1)</f>
        <v>Vi</v>
      </c>
    </row>
    <row r="343" spans="1:19" s="194" customFormat="1">
      <c r="C343" s="925"/>
      <c r="D343" s="925"/>
      <c r="F343" s="926"/>
      <c r="G343" s="926"/>
      <c r="H343" s="928" t="e">
        <f>F342</f>
        <v>#N/A</v>
      </c>
      <c r="I343" s="929" t="e">
        <f>H343+(E342*NDDaysInYEar/12)</f>
        <v>#N/A</v>
      </c>
      <c r="J343" s="929" t="e">
        <f>I343+(E342*NDDaysInYEar/12)</f>
        <v>#N/A</v>
      </c>
      <c r="K343" s="930" t="e">
        <f>J343+(E342*NDDaysInYEar/12)</f>
        <v>#N/A</v>
      </c>
      <c r="L343" s="928" t="e">
        <f>K343+(E342*NDDaysInYEar/12)</f>
        <v>#N/A</v>
      </c>
      <c r="M343" s="929" t="e">
        <f>L343+(E342*NDDaysInYEar/12)</f>
        <v>#N/A</v>
      </c>
      <c r="N343" s="929" t="e">
        <f>M343+(E342*NDDaysInYEar/12)</f>
        <v>#N/A</v>
      </c>
      <c r="O343" s="930" t="e">
        <f>N343+(E342*NDDaysInYEar/12)</f>
        <v>#N/A</v>
      </c>
      <c r="P343" s="928" t="e">
        <f>O343+(E342*NDDaysInYEar/12)</f>
        <v>#N/A</v>
      </c>
      <c r="Q343" s="929" t="e">
        <f>P343+(E342*NDDaysInYEar/12)</f>
        <v>#N/A</v>
      </c>
      <c r="R343" s="929" t="e">
        <f>Q343+(E342*NDDaysInYEar/12)</f>
        <v>#N/A</v>
      </c>
      <c r="S343" s="930" t="e">
        <f>R343+(E342*NDDaysInYEar/12)</f>
        <v>#N/A</v>
      </c>
    </row>
    <row r="344" spans="1:19" s="194" customFormat="1">
      <c r="A344" s="194" t="s">
        <v>709</v>
      </c>
      <c r="B344" s="194">
        <f>VLOOKUP(A344,NDasaC,3,0)</f>
        <v>1</v>
      </c>
      <c r="C344" s="925" t="e">
        <f>IF(MATCH(VLOOKUP(IF((A344="Aq"),VLOOKUP("AqLord",DivCharts,D336,0),IF((A344="Sc"),VLOOKUP("ScLord",DivCharts,D336,0),VLOOKUP(A344,RsInfo,9,0))),DivCharts,D336,0),RsTbl,0)=MATCH(VLOOKUP(IF((A344="Aq"),VLOOKUP("AqLord",DivCharts,D336,0),IF((A344="Sc"),VLOOKUP("ScLord",DivCharts,D336,0),VLOOKUP(A344,RsInfo,9,0))),PlanetData,8,0),RsTbl,0),1,IF(MATCH(VLOOKUP(IF((A344="Aq"),VLOOKUP("AqLord",DivCharts,D336,0),IF((A344="Sc"),VLOOKUP("ScLord",DivCharts,D336,0),VLOOKUP(A344,RsInfo,9,0))),DivCharts,D336,0),RsTbl,0)=MOD(MATCH(VLOOKUP(IF((A344="Aq"),VLOOKUP("AqLord",DivCharts,D336,0),IF((A344="Sc"),VLOOKUP("ScLord",DivCharts,D336,0),VLOOKUP(A344,RsInfo,9,0))),PlanetData,8,0),RsTbl,0)+6,12),-1,0))</f>
        <v>#N/A</v>
      </c>
      <c r="D344" s="925">
        <f>MOD((MATCH(VLOOKUP(IF((A344="Aq"),VLOOKUP("AqLord",DivCharts,D336,0),IF((A344="Sc"),VLOOKUP("ScLord",DivCharts,D336,0),VLOOKUP(A344,RsInfo,9,0))),DivCharts,D336,0),RsTbl,0)*B344)-(B344*MATCH(A344,RsTbl,0))+12,12)</f>
        <v>8</v>
      </c>
      <c r="E344" s="194" t="e">
        <f>ABS(IF(ISNA(MATCH((D344+C344),,0)),(D344+C344),12)+IF(F337,0,-12))</f>
        <v>#N/A</v>
      </c>
      <c r="F344" s="926" t="e">
        <f>G342</f>
        <v>#N/A</v>
      </c>
      <c r="G344" s="926" t="e">
        <f>F344+E344*NDDaysInYEar</f>
        <v>#N/A</v>
      </c>
      <c r="H344" s="927" t="str">
        <f>A344</f>
        <v>Sc</v>
      </c>
      <c r="I344" s="220" t="str">
        <f>INDEX(SignSym,MOD(B344+MATCH(H344,SignSym,0)-1,12)+1)</f>
        <v>Sg</v>
      </c>
      <c r="J344" s="220" t="str">
        <f>INDEX(SignSym,MOD(B344+MATCH(I344,SignSym,0)-1,12)+1)</f>
        <v>Cp</v>
      </c>
      <c r="K344" s="144" t="str">
        <f>INDEX(SignSym,MOD(B344+MATCH(J344,SignSym,0)-1,12)+1)</f>
        <v>Aq</v>
      </c>
      <c r="L344" s="219" t="str">
        <f>INDEX(SignSym,MOD(B344+MATCH(K344,SignSym,0)-1,12)+1)</f>
        <v>Pi</v>
      </c>
      <c r="M344" s="220" t="str">
        <f>INDEX(SignSym,MOD(B344+MATCH(L344,SignSym,0)-1,12)+1)</f>
        <v>Ar</v>
      </c>
      <c r="N344" s="220" t="str">
        <f>INDEX(SignSym,MOD(B344+MATCH(M344,SignSym,0)-1,12)+1)</f>
        <v>Ta</v>
      </c>
      <c r="O344" s="144" t="str">
        <f>INDEX(SignSym,MOD(B344+MATCH(N344,SignSym,0)-1,12)+1)</f>
        <v>Ge</v>
      </c>
      <c r="P344" s="219" t="str">
        <f>INDEX(SignSym,MOD(B344+MATCH(O344,SignSym,0)-1,12)+1)</f>
        <v>Cn</v>
      </c>
      <c r="Q344" s="220" t="str">
        <f>INDEX(SignSym,MOD(B344+MATCH(P344,SignSym,0)-1,12)+1)</f>
        <v>Le</v>
      </c>
      <c r="R344" s="220" t="str">
        <f>INDEX(SignSym,MOD(B344+MATCH(Q344,SignSym,0)-1,12)+1)</f>
        <v>Vi</v>
      </c>
      <c r="S344" s="144" t="str">
        <f>INDEX(SignSym,MOD(B344+MATCH(R344,SignSym,0)-1,12)+1)</f>
        <v>Li</v>
      </c>
    </row>
    <row r="345" spans="1:19" s="194" customFormat="1">
      <c r="C345" s="925"/>
      <c r="D345" s="925"/>
      <c r="F345" s="926"/>
      <c r="G345" s="926"/>
      <c r="H345" s="928" t="e">
        <f>F344</f>
        <v>#N/A</v>
      </c>
      <c r="I345" s="929" t="e">
        <f>H345+(E344*NDDaysInYEar/12)</f>
        <v>#N/A</v>
      </c>
      <c r="J345" s="929" t="e">
        <f>I345+(E344*NDDaysInYEar/12)</f>
        <v>#N/A</v>
      </c>
      <c r="K345" s="930" t="e">
        <f>J345+(E344*NDDaysInYEar/12)</f>
        <v>#N/A</v>
      </c>
      <c r="L345" s="928" t="e">
        <f>K345+(E344*NDDaysInYEar/12)</f>
        <v>#N/A</v>
      </c>
      <c r="M345" s="929" t="e">
        <f>L345+(E344*NDDaysInYEar/12)</f>
        <v>#N/A</v>
      </c>
      <c r="N345" s="929" t="e">
        <f>M345+(E344*NDDaysInYEar/12)</f>
        <v>#N/A</v>
      </c>
      <c r="O345" s="930" t="e">
        <f>N345+(E344*NDDaysInYEar/12)</f>
        <v>#N/A</v>
      </c>
      <c r="P345" s="928" t="e">
        <f>O345+(E344*NDDaysInYEar/12)</f>
        <v>#N/A</v>
      </c>
      <c r="Q345" s="929" t="e">
        <f>P345+(E344*NDDaysInYEar/12)</f>
        <v>#N/A</v>
      </c>
      <c r="R345" s="929" t="e">
        <f>Q345+(E344*NDDaysInYEar/12)</f>
        <v>#N/A</v>
      </c>
      <c r="S345" s="930" t="e">
        <f>R345+(E344*NDDaysInYEar/12)</f>
        <v>#N/A</v>
      </c>
    </row>
    <row r="346" spans="1:19" s="194" customFormat="1">
      <c r="A346" s="335" t="s">
        <v>699</v>
      </c>
      <c r="B346" s="194">
        <f>VLOOKUP(A346,NDasaC,3,0)</f>
        <v>-1</v>
      </c>
      <c r="C346" s="925" t="e">
        <f>IF(MATCH(VLOOKUP(IF((A346="Aq"),VLOOKUP("AqLord",DivCharts,D336,0),IF((A346="Sc"),VLOOKUP("ScLord",DivCharts,D336,0),VLOOKUP(A346,RsInfo,9,0))),DivCharts,D336,0),RsTbl,0)=MATCH(VLOOKUP(IF((A346="Aq"),VLOOKUP("AqLord",DivCharts,D336,0),IF((A346="Sc"),VLOOKUP("ScLord",DivCharts,D336,0),VLOOKUP(A346,RsInfo,9,0))),PlanetData,8,0),RsTbl,0),1,IF(MATCH(VLOOKUP(IF((A346="Aq"),VLOOKUP("AqLord",DivCharts,D336,0),IF((A346="Sc"),VLOOKUP("ScLord",DivCharts,D336,0),VLOOKUP(A346,RsInfo,9,0))),DivCharts,D336,0),RsTbl,0)=MOD(MATCH(VLOOKUP(IF((A346="Aq"),VLOOKUP("AqLord",DivCharts,D336,0),IF((A346="Sc"),VLOOKUP("ScLord",DivCharts,D336,0),VLOOKUP(A346,RsInfo,9,0))),PlanetData,8,0),RsTbl,0)+6,12),-1,0))</f>
        <v>#N/A</v>
      </c>
      <c r="D346" s="925">
        <f>MOD((MATCH(VLOOKUP(IF((A346="Aq"),VLOOKUP("AqLord",DivCharts,D336,0),IF((A346="Sc"),VLOOKUP("ScLord",DivCharts,D336,0),VLOOKUP(A346,RsInfo,9,0))),DivCharts,D336,0),RsTbl,0)*B346)-(B346*MATCH(A346,RsTbl,0))+12,12)</f>
        <v>1</v>
      </c>
      <c r="E346" s="194" t="e">
        <f>ABS(IF(ISNA(MATCH((D346+C346),,0)),(D346+C346),12)+IF(F337,0,-12))</f>
        <v>#N/A</v>
      </c>
      <c r="F346" s="926" t="e">
        <f>G344</f>
        <v>#N/A</v>
      </c>
      <c r="G346" s="926" t="e">
        <f>F346+E346*NDDaysInYEar</f>
        <v>#N/A</v>
      </c>
      <c r="H346" s="927" t="str">
        <f>A346</f>
        <v>Aq</v>
      </c>
      <c r="I346" s="220" t="str">
        <f>INDEX(SignSym,MOD(B346+MATCH(H346,SignSym,0)-1,12)+1)</f>
        <v>Cp</v>
      </c>
      <c r="J346" s="220" t="str">
        <f>INDEX(SignSym,MOD(B346+MATCH(I346,SignSym,0)-1,12)+1)</f>
        <v>Sg</v>
      </c>
      <c r="K346" s="144" t="str">
        <f>INDEX(SignSym,MOD(B346+MATCH(J346,SignSym,0)-1,12)+1)</f>
        <v>Sc</v>
      </c>
      <c r="L346" s="219" t="str">
        <f>INDEX(SignSym,MOD(B346+MATCH(K346,SignSym,0)-1,12)+1)</f>
        <v>Li</v>
      </c>
      <c r="M346" s="220" t="str">
        <f>INDEX(SignSym,MOD(B346+MATCH(L346,SignSym,0)-1,12)+1)</f>
        <v>Vi</v>
      </c>
      <c r="N346" s="220" t="str">
        <f>INDEX(SignSym,MOD(B346+MATCH(M346,SignSym,0)-1,12)+1)</f>
        <v>Le</v>
      </c>
      <c r="O346" s="144" t="str">
        <f>INDEX(SignSym,MOD(B346+MATCH(N346,SignSym,0)-1,12)+1)</f>
        <v>Cn</v>
      </c>
      <c r="P346" s="219" t="str">
        <f>INDEX(SignSym,MOD(B346+MATCH(O346,SignSym,0)-1,12)+1)</f>
        <v>Ge</v>
      </c>
      <c r="Q346" s="220" t="str">
        <f>INDEX(SignSym,MOD(B346+MATCH(P346,SignSym,0)-1,12)+1)</f>
        <v>Ta</v>
      </c>
      <c r="R346" s="220" t="str">
        <f>INDEX(SignSym,MOD(B346+MATCH(Q346,SignSym,0)-1,12)+1)</f>
        <v>Ar</v>
      </c>
      <c r="S346" s="144" t="str">
        <f>INDEX(SignSym,MOD(B346+MATCH(R346,SignSym,0)-1,12)+1)</f>
        <v>Pi</v>
      </c>
    </row>
    <row r="347" spans="1:19" s="194" customFormat="1">
      <c r="C347" s="925"/>
      <c r="D347" s="925"/>
      <c r="F347" s="926"/>
      <c r="G347" s="926"/>
      <c r="H347" s="928" t="e">
        <f>F346</f>
        <v>#N/A</v>
      </c>
      <c r="I347" s="929" t="e">
        <f>H347+(E346*NDDaysInYEar/12)</f>
        <v>#N/A</v>
      </c>
      <c r="J347" s="929" t="e">
        <f>I347+(E346*NDDaysInYEar/12)</f>
        <v>#N/A</v>
      </c>
      <c r="K347" s="930" t="e">
        <f>J347+(E346*NDDaysInYEar/12)</f>
        <v>#N/A</v>
      </c>
      <c r="L347" s="928" t="e">
        <f>K347+(E346*NDDaysInYEar/12)</f>
        <v>#N/A</v>
      </c>
      <c r="M347" s="929" t="e">
        <f>L347+(E346*NDDaysInYEar/12)</f>
        <v>#N/A</v>
      </c>
      <c r="N347" s="929" t="e">
        <f>M347+(E346*NDDaysInYEar/12)</f>
        <v>#N/A</v>
      </c>
      <c r="O347" s="930" t="e">
        <f>N347+(E346*NDDaysInYEar/12)</f>
        <v>#N/A</v>
      </c>
      <c r="P347" s="928" t="e">
        <f>O347+(E346*NDDaysInYEar/12)</f>
        <v>#N/A</v>
      </c>
      <c r="Q347" s="929" t="e">
        <f>P347+(E346*NDDaysInYEar/12)</f>
        <v>#N/A</v>
      </c>
      <c r="R347" s="929" t="e">
        <f>Q347+(E346*NDDaysInYEar/12)</f>
        <v>#N/A</v>
      </c>
      <c r="S347" s="930" t="e">
        <f>R347+(E346*NDDaysInYEar/12)</f>
        <v>#N/A</v>
      </c>
    </row>
    <row r="348" spans="1:19" s="194" customFormat="1">
      <c r="A348" s="335" t="s">
        <v>695</v>
      </c>
      <c r="B348" s="194">
        <f>VLOOKUP(A348,NDasaC,3,0)</f>
        <v>1</v>
      </c>
      <c r="C348" s="925" t="e">
        <f>IF(MATCH(VLOOKUP(IF((A348="Aq"),VLOOKUP("AqLord",DivCharts,D336,0),IF((A348="Sc"),VLOOKUP("ScLord",DivCharts,D336,0),VLOOKUP(A348,RsInfo,9,0))),DivCharts,D336,0),RsTbl,0)=MATCH(VLOOKUP(IF((A348="Aq"),VLOOKUP("AqLord",DivCharts,D336,0),IF((A348="Sc"),VLOOKUP("ScLord",DivCharts,D336,0),VLOOKUP(A348,RsInfo,9,0))),PlanetData,8,0),RsTbl,0),1,IF(MATCH(VLOOKUP(IF((A348="Aq"),VLOOKUP("AqLord",DivCharts,D336,0),IF((A348="Sc"),VLOOKUP("ScLord",DivCharts,D336,0),VLOOKUP(A348,RsInfo,9,0))),DivCharts,D336,0),RsTbl,0)=MOD(MATCH(VLOOKUP(IF((A348="Aq"),VLOOKUP("AqLord",DivCharts,D336,0),IF((A348="Sc"),VLOOKUP("ScLord",DivCharts,D336,0),VLOOKUP(A348,RsInfo,9,0))),PlanetData,8,0),RsTbl,0)+6,12),-1,0))</f>
        <v>#N/A</v>
      </c>
      <c r="D348" s="925">
        <f>MOD((MATCH(VLOOKUP(IF((A348="Aq"),VLOOKUP("AqLord",DivCharts,D336,0),IF((A348="Sc"),VLOOKUP("ScLord",DivCharts,D336,0),VLOOKUP(A348,RsInfo,9,0))),DivCharts,D336,0),RsTbl,0)*B348)-(B348*MATCH(A348,RsTbl,0))+12,12)</f>
        <v>1</v>
      </c>
      <c r="E348" s="194" t="e">
        <f>ABS(IF(ISNA(MATCH((D348+C348),,0)),(D348+C348),12)+IF(F337,0,-12))</f>
        <v>#N/A</v>
      </c>
      <c r="F348" s="926" t="e">
        <f>G346</f>
        <v>#N/A</v>
      </c>
      <c r="G348" s="926" t="e">
        <f>F348+E348*NDDaysInYEar</f>
        <v>#N/A</v>
      </c>
      <c r="H348" s="927" t="s">
        <v>689</v>
      </c>
      <c r="I348" s="220" t="str">
        <f>INDEX(SignSym,MOD(B348+MATCH(H348,SignSym,0)-1,12)+1)</f>
        <v>Ta</v>
      </c>
      <c r="J348" s="220" t="str">
        <f>INDEX(SignSym,MOD(B348+MATCH(I348,SignSym,0)-1,12)+1)</f>
        <v>Ge</v>
      </c>
      <c r="K348" s="144" t="str">
        <f>INDEX(SignSym,MOD(B348+MATCH(J348,SignSym,0)-1,12)+1)</f>
        <v>Cn</v>
      </c>
      <c r="L348" s="219" t="str">
        <f>INDEX(SignSym,MOD(B348+MATCH(K348,SignSym,0)-1,12)+1)</f>
        <v>Le</v>
      </c>
      <c r="M348" s="220" t="str">
        <f>INDEX(SignSym,MOD(B348+MATCH(L348,SignSym,0)-1,12)+1)</f>
        <v>Vi</v>
      </c>
      <c r="N348" s="220" t="str">
        <f>INDEX(SignSym,MOD(B348+MATCH(M348,SignSym,0)-1,12)+1)</f>
        <v>Li</v>
      </c>
      <c r="O348" s="144" t="str">
        <f>INDEX(SignSym,MOD(B348+MATCH(N348,SignSym,0)-1,12)+1)</f>
        <v>Sc</v>
      </c>
      <c r="P348" s="219" t="str">
        <f>INDEX(SignSym,MOD(B348+MATCH(O348,SignSym,0)-1,12)+1)</f>
        <v>Sg</v>
      </c>
      <c r="Q348" s="220" t="str">
        <f>INDEX(SignSym,MOD(B348+MATCH(P348,SignSym,0)-1,12)+1)</f>
        <v>Cp</v>
      </c>
      <c r="R348" s="220" t="str">
        <f>INDEX(SignSym,MOD(B348+MATCH(Q348,SignSym,0)-1,12)+1)</f>
        <v>Aq</v>
      </c>
      <c r="S348" s="144" t="str">
        <f>INDEX(SignSym,MOD(B348+MATCH(R348,SignSym,0)-1,12)+1)</f>
        <v>Pi</v>
      </c>
    </row>
    <row r="349" spans="1:19" s="194" customFormat="1">
      <c r="C349" s="925"/>
      <c r="D349" s="925"/>
      <c r="F349" s="926"/>
      <c r="G349" s="926"/>
      <c r="H349" s="928" t="e">
        <f>F348</f>
        <v>#N/A</v>
      </c>
      <c r="I349" s="929" t="e">
        <f>H349+(E348*NDDaysInYEar/12)</f>
        <v>#N/A</v>
      </c>
      <c r="J349" s="929" t="e">
        <f>I349+(E348*NDDaysInYEar/12)</f>
        <v>#N/A</v>
      </c>
      <c r="K349" s="930" t="e">
        <f>J349+(E348*NDDaysInYEar/12)</f>
        <v>#N/A</v>
      </c>
      <c r="L349" s="928" t="e">
        <f>K349+(E348*NDDaysInYEar/12)</f>
        <v>#N/A</v>
      </c>
      <c r="M349" s="929" t="e">
        <f>L349+(E348*NDDaysInYEar/12)</f>
        <v>#N/A</v>
      </c>
      <c r="N349" s="929" t="e">
        <f>M349+(E348*NDDaysInYEar/12)</f>
        <v>#N/A</v>
      </c>
      <c r="O349" s="930" t="e">
        <f>N349+(E348*NDDaysInYEar/12)</f>
        <v>#N/A</v>
      </c>
      <c r="P349" s="928" t="e">
        <f>O349+(E348*NDDaysInYEar/12)</f>
        <v>#N/A</v>
      </c>
      <c r="Q349" s="929" t="e">
        <f>P349+(E348*NDDaysInYEar/12)</f>
        <v>#N/A</v>
      </c>
      <c r="R349" s="929" t="e">
        <f>Q349+(E348*NDDaysInYEar/12)</f>
        <v>#N/A</v>
      </c>
      <c r="S349" s="930" t="e">
        <f>R349+(E348*NDDaysInYEar/12)</f>
        <v>#N/A</v>
      </c>
    </row>
    <row r="350" spans="1:19" s="194" customFormat="1">
      <c r="A350" s="940" t="s">
        <v>711</v>
      </c>
      <c r="B350" s="194">
        <f>VLOOKUP(A350,NDasaC,3,0)</f>
        <v>-1</v>
      </c>
      <c r="C350" s="925" t="e">
        <f>IF(MATCH(VLOOKUP(IF((A350="Aq"),VLOOKUP("AqLord",DivCharts,D336,0),IF((A350="Sc"),VLOOKUP("ScLord",DivCharts,D336,0),VLOOKUP(A350,RsInfo,9,0))),DivCharts,D336,0),RsTbl,0)=MATCH(VLOOKUP(IF((A350="Aq"),VLOOKUP("AqLord",DivCharts,D336,0),IF((A350="Sc"),VLOOKUP("ScLord",DivCharts,D336,0),VLOOKUP(A350,RsInfo,9,0))),PlanetData,8,0),RsTbl,0),1,IF(MATCH(VLOOKUP(IF((A350="Aq"),VLOOKUP("AqLord",DivCharts,D336,0),IF((A350="Sc"),VLOOKUP("ScLord",DivCharts,D336,0),VLOOKUP(A350,RsInfo,9,0))),DivCharts,D336,0),RsTbl,0)=MOD(MATCH(VLOOKUP(IF((A350="Aq"),VLOOKUP("AqLord",DivCharts,D336,0),IF((A350="Sc"),VLOOKUP("ScLord",DivCharts,D336,0),VLOOKUP(A350,RsInfo,9,0))),PlanetData,8,0),RsTbl,0)+6,12),-1,0))</f>
        <v>#N/A</v>
      </c>
      <c r="D350" s="925">
        <f>MOD((MATCH(VLOOKUP(IF((A350="Aq"),VLOOKUP("AqLord",DivCharts,D336,0),IF((A350="Sc"),VLOOKUP("ScLord",DivCharts,D336,0),VLOOKUP(A350,RsInfo,9,0))),DivCharts,D336,0),RsTbl,0)*B350)-(B350*MATCH(A350,RsTbl,0))+12,12)</f>
        <v>2</v>
      </c>
      <c r="E350" s="194" t="e">
        <f>ABS(IF(ISNA(MATCH((D350+C350),,0)),(D350+C350),12)+IF(F337,0,-12))</f>
        <v>#N/A</v>
      </c>
      <c r="F350" s="926" t="e">
        <f>G348</f>
        <v>#N/A</v>
      </c>
      <c r="G350" s="926" t="e">
        <f>F350+E350*NDDaysInYEar</f>
        <v>#N/A</v>
      </c>
      <c r="H350" s="927" t="s">
        <v>703</v>
      </c>
      <c r="I350" s="220" t="str">
        <f>INDEX(SignSym,MOD(B350+MATCH(H350,SignSym,0)-1,12)+1)</f>
        <v>Ge</v>
      </c>
      <c r="J350" s="220" t="str">
        <f>INDEX(SignSym,MOD(B350+MATCH(I350,SignSym,0)-1,12)+1)</f>
        <v>Ta</v>
      </c>
      <c r="K350" s="144" t="str">
        <f>INDEX(SignSym,MOD(B350+MATCH(J350,SignSym,0)-1,12)+1)</f>
        <v>Ar</v>
      </c>
      <c r="L350" s="219" t="str">
        <f>INDEX(SignSym,MOD(B350+MATCH(K350,SignSym,0)-1,12)+1)</f>
        <v>Pi</v>
      </c>
      <c r="M350" s="220" t="str">
        <f>INDEX(SignSym,MOD(B350+MATCH(L350,SignSym,0)-1,12)+1)</f>
        <v>Aq</v>
      </c>
      <c r="N350" s="220" t="str">
        <f>INDEX(SignSym,MOD(B350+MATCH(M350,SignSym,0)-1,12)+1)</f>
        <v>Cp</v>
      </c>
      <c r="O350" s="144" t="str">
        <f>INDEX(SignSym,MOD(B350+MATCH(N350,SignSym,0)-1,12)+1)</f>
        <v>Sg</v>
      </c>
      <c r="P350" s="219" t="str">
        <f>INDEX(SignSym,MOD(B350+MATCH(O350,SignSym,0)-1,12)+1)</f>
        <v>Sc</v>
      </c>
      <c r="Q350" s="220" t="str">
        <f>INDEX(SignSym,MOD(B350+MATCH(P350,SignSym,0)-1,12)+1)</f>
        <v>Li</v>
      </c>
      <c r="R350" s="220" t="str">
        <f>INDEX(SignSym,MOD(B350+MATCH(Q350,SignSym,0)-1,12)+1)</f>
        <v>Vi</v>
      </c>
      <c r="S350" s="144" t="str">
        <f>INDEX(SignSym,MOD(B350+MATCH(R350,SignSym,0)-1,12)+1)</f>
        <v>Le</v>
      </c>
    </row>
    <row r="351" spans="1:19" s="194" customFormat="1">
      <c r="C351" s="925"/>
      <c r="D351" s="925"/>
      <c r="F351" s="926"/>
      <c r="G351" s="926"/>
      <c r="H351" s="928" t="e">
        <f>F350</f>
        <v>#N/A</v>
      </c>
      <c r="I351" s="929" t="e">
        <f>H351+(E350*NDDaysInYEar/12)</f>
        <v>#N/A</v>
      </c>
      <c r="J351" s="929" t="e">
        <f>I351+(E350*NDDaysInYEar/12)</f>
        <v>#N/A</v>
      </c>
      <c r="K351" s="930" t="e">
        <f>J351+(E350*NDDaysInYEar/12)</f>
        <v>#N/A</v>
      </c>
      <c r="L351" s="928" t="e">
        <f>K351+(E350*NDDaysInYEar/12)</f>
        <v>#N/A</v>
      </c>
      <c r="M351" s="929" t="e">
        <f>L351+(E350*NDDaysInYEar/12)</f>
        <v>#N/A</v>
      </c>
      <c r="N351" s="929" t="e">
        <f>M351+(E350*NDDaysInYEar/12)</f>
        <v>#N/A</v>
      </c>
      <c r="O351" s="930" t="e">
        <f>N351+(E350*NDDaysInYEar/12)</f>
        <v>#N/A</v>
      </c>
      <c r="P351" s="928" t="e">
        <f>O351+(E350*NDDaysInYEar/12)</f>
        <v>#N/A</v>
      </c>
      <c r="Q351" s="929" t="e">
        <f>P351+(E350*NDDaysInYEar/12)</f>
        <v>#N/A</v>
      </c>
      <c r="R351" s="929" t="e">
        <f>Q351+(E350*NDDaysInYEar/12)</f>
        <v>#N/A</v>
      </c>
      <c r="S351" s="930" t="e">
        <f>R351+(E350*NDDaysInYEar/12)</f>
        <v>#N/A</v>
      </c>
    </row>
    <row r="352" spans="1:19" s="194" customFormat="1">
      <c r="A352" s="940" t="s">
        <v>708</v>
      </c>
      <c r="B352" s="194">
        <f>VLOOKUP(A352,NDasaC,3,0)</f>
        <v>1</v>
      </c>
      <c r="C352" s="925" t="e">
        <f>IF(MATCH(VLOOKUP(IF((A352="Aq"),VLOOKUP("AqLord",DivCharts,D336,0),IF((A352="Sc"),VLOOKUP("ScLord",DivCharts,D336,0),VLOOKUP(A352,RsInfo,9,0))),DivCharts,D336,0),RsTbl,0)=MATCH(VLOOKUP(IF((A352="Aq"),VLOOKUP("AqLord",DivCharts,D336,0),IF((A352="Sc"),VLOOKUP("ScLord",DivCharts,D336,0),VLOOKUP(A352,RsInfo,9,0))),PlanetData,8,0),RsTbl,0),1,IF(MATCH(VLOOKUP(IF((A352="Aq"),VLOOKUP("AqLord",DivCharts,D336,0),IF((A352="Sc"),VLOOKUP("ScLord",DivCharts,D336,0),VLOOKUP(A352,RsInfo,9,0))),DivCharts,D336,0),RsTbl,0)=MOD(MATCH(VLOOKUP(IF((A352="Aq"),VLOOKUP("AqLord",DivCharts,D336,0),IF((A352="Sc"),VLOOKUP("ScLord",DivCharts,D336,0),VLOOKUP(A352,RsInfo,9,0))),PlanetData,8,0),RsTbl,0)+6,12),-1,0))</f>
        <v>#N/A</v>
      </c>
      <c r="D352" s="925">
        <f>MOD((MATCH(VLOOKUP(IF((A352="Aq"),VLOOKUP("AqLord",DivCharts,D336,0),IF((A352="Sc"),VLOOKUP("ScLord",DivCharts,D336,0),VLOOKUP(A352,RsInfo,9,0))),DivCharts,D336,0),RsTbl,0)*B352)-(B352*MATCH(A352,RsTbl,0))+12,12)</f>
        <v>11</v>
      </c>
      <c r="E352" s="194" t="e">
        <f>ABS(IF(ISNA(MATCH((D352+C352),,0)),(D352+C352),12)+IF(F337,0,-12))</f>
        <v>#N/A</v>
      </c>
      <c r="F352" s="926" t="e">
        <f>G350</f>
        <v>#N/A</v>
      </c>
      <c r="G352" s="926" t="e">
        <f>F352+E352*NDDaysInYEar</f>
        <v>#N/A</v>
      </c>
      <c r="H352" s="927" t="s">
        <v>699</v>
      </c>
      <c r="I352" s="220" t="str">
        <f>INDEX(SignSym,MOD(B352+MATCH(H352,SignSym,0)-1,12)+1)</f>
        <v>Pi</v>
      </c>
      <c r="J352" s="220" t="str">
        <f>INDEX(SignSym,MOD(B352+MATCH(I352,SignSym,0)-1,12)+1)</f>
        <v>Ar</v>
      </c>
      <c r="K352" s="144" t="str">
        <f>INDEX(SignSym,MOD(B352+MATCH(J352,SignSym,0)-1,12)+1)</f>
        <v>Ta</v>
      </c>
      <c r="L352" s="219" t="str">
        <f>INDEX(SignSym,MOD(B352+MATCH(K352,SignSym,0)-1,12)+1)</f>
        <v>Ge</v>
      </c>
      <c r="M352" s="220" t="str">
        <f>INDEX(SignSym,MOD(B352+MATCH(L352,SignSym,0)-1,12)+1)</f>
        <v>Cn</v>
      </c>
      <c r="N352" s="220" t="str">
        <f>INDEX(SignSym,MOD(B352+MATCH(M352,SignSym,0)-1,12)+1)</f>
        <v>Le</v>
      </c>
      <c r="O352" s="144" t="str">
        <f>INDEX(SignSym,MOD(B352+MATCH(N352,SignSym,0)-1,12)+1)</f>
        <v>Vi</v>
      </c>
      <c r="P352" s="219" t="str">
        <f>INDEX(SignSym,MOD(B352+MATCH(O352,SignSym,0)-1,12)+1)</f>
        <v>Li</v>
      </c>
      <c r="Q352" s="220" t="str">
        <f>INDEX(SignSym,MOD(B352+MATCH(P352,SignSym,0)-1,12)+1)</f>
        <v>Sc</v>
      </c>
      <c r="R352" s="220" t="str">
        <f>INDEX(SignSym,MOD(B352+MATCH(Q352,SignSym,0)-1,12)+1)</f>
        <v>Sg</v>
      </c>
      <c r="S352" s="144" t="str">
        <f>INDEX(SignSym,MOD(B352+MATCH(R352,SignSym,0)-1,12)+1)</f>
        <v>Cp</v>
      </c>
    </row>
    <row r="353" spans="1:19" s="194" customFormat="1">
      <c r="C353" s="925"/>
      <c r="D353" s="925"/>
      <c r="F353" s="926"/>
      <c r="G353" s="926"/>
      <c r="H353" s="928" t="e">
        <f>F352</f>
        <v>#N/A</v>
      </c>
      <c r="I353" s="929" t="e">
        <f>H353+(E352*NDDaysInYEar/12)</f>
        <v>#N/A</v>
      </c>
      <c r="J353" s="929" t="e">
        <f>I353+(E352*NDDaysInYEar/12)</f>
        <v>#N/A</v>
      </c>
      <c r="K353" s="930" t="e">
        <f>J353+(E352*NDDaysInYEar/12)</f>
        <v>#N/A</v>
      </c>
      <c r="L353" s="928" t="e">
        <f>K353+(E352*NDDaysInYEar/12)</f>
        <v>#N/A</v>
      </c>
      <c r="M353" s="929" t="e">
        <f>L353+(E352*NDDaysInYEar/12)</f>
        <v>#N/A</v>
      </c>
      <c r="N353" s="929" t="e">
        <f>M353+(E352*NDDaysInYEar/12)</f>
        <v>#N/A</v>
      </c>
      <c r="O353" s="930" t="e">
        <f>N353+(E352*NDDaysInYEar/12)</f>
        <v>#N/A</v>
      </c>
      <c r="P353" s="928" t="e">
        <f>O353+(E352*NDDaysInYEar/12)</f>
        <v>#N/A</v>
      </c>
      <c r="Q353" s="929" t="e">
        <f>P353+(E352*NDDaysInYEar/12)</f>
        <v>#N/A</v>
      </c>
      <c r="R353" s="929" t="e">
        <f>Q353+(E352*NDDaysInYEar/12)</f>
        <v>#N/A</v>
      </c>
      <c r="S353" s="930" t="e">
        <f>R353+(E352*NDDaysInYEar/12)</f>
        <v>#N/A</v>
      </c>
    </row>
    <row r="354" spans="1:19" s="194" customFormat="1">
      <c r="A354" s="940" t="s">
        <v>694</v>
      </c>
      <c r="B354" s="194">
        <f>VLOOKUP(A354,NDasaC,3,0)</f>
        <v>-1</v>
      </c>
      <c r="C354" s="925" t="e">
        <f>IF(MATCH(VLOOKUP(IF((A354="Aq"),VLOOKUP("AqLord",DivCharts,D336,0),IF((A354="Sc"),VLOOKUP("ScLord",DivCharts,D336,0),VLOOKUP(A354,RsInfo,9,0))),DivCharts,D336,0),RsTbl,0)=MATCH(VLOOKUP(IF((A354="Aq"),VLOOKUP("AqLord",DivCharts,D336,0),IF((A354="Sc"),VLOOKUP("ScLord",DivCharts,D336,0),VLOOKUP(A354,RsInfo,9,0))),PlanetData,8,0),RsTbl,0),1,IF(MATCH(VLOOKUP(IF((A354="Aq"),VLOOKUP("AqLord",DivCharts,D336,0),IF((A354="Sc"),VLOOKUP("ScLord",DivCharts,D336,0),VLOOKUP(A354,RsInfo,9,0))),DivCharts,D336,0),RsTbl,0)=MOD(MATCH(VLOOKUP(IF((A354="Aq"),VLOOKUP("AqLord",DivCharts,D336,0),IF((A354="Sc"),VLOOKUP("ScLord",DivCharts,D336,0),VLOOKUP(A354,RsInfo,9,0))),PlanetData,8,0),RsTbl,0)+6,12),-1,0))</f>
        <v>#N/A</v>
      </c>
      <c r="D354" s="925">
        <f>MOD((MATCH(VLOOKUP(IF((A354="Aq"),VLOOKUP("AqLord",DivCharts,D336,0),IF((A354="Sc"),VLOOKUP("ScLord",DivCharts,D336,0),VLOOKUP(A354,RsInfo,9,0))),DivCharts,D336,0),RsTbl,0)*B354)-(B354*MATCH(A354,RsTbl,0))+12,12)</f>
        <v>4</v>
      </c>
      <c r="E354" s="194" t="e">
        <f>ABS(IF(ISNA(MATCH((D354+C354),,0)),(D354+C354),12)+IF(F337,0,-12))</f>
        <v>#N/A</v>
      </c>
      <c r="F354" s="926" t="e">
        <f>G352</f>
        <v>#N/A</v>
      </c>
      <c r="G354" s="926" t="e">
        <f>F354+E354*NDDaysInYEar</f>
        <v>#N/A</v>
      </c>
      <c r="H354" s="927" t="s">
        <v>693</v>
      </c>
      <c r="I354" s="220" t="str">
        <f>INDEX(SignSym,MOD(B354+MATCH(H354,SignSym,0)-1,12)+1)</f>
        <v>Ar</v>
      </c>
      <c r="J354" s="220" t="str">
        <f>INDEX(SignSym,MOD(B354+MATCH(I354,SignSym,0)-1,12)+1)</f>
        <v>Pi</v>
      </c>
      <c r="K354" s="144" t="str">
        <f>INDEX(SignSym,MOD(B354+MATCH(J354,SignSym,0)-1,12)+1)</f>
        <v>Aq</v>
      </c>
      <c r="L354" s="219" t="str">
        <f>INDEX(SignSym,MOD(B354+MATCH(K354,SignSym,0)-1,12)+1)</f>
        <v>Cp</v>
      </c>
      <c r="M354" s="220" t="str">
        <f>INDEX(SignSym,MOD(B354+MATCH(L354,SignSym,0)-1,12)+1)</f>
        <v>Sg</v>
      </c>
      <c r="N354" s="220" t="str">
        <f>INDEX(SignSym,MOD(B354+MATCH(M354,SignSym,0)-1,12)+1)</f>
        <v>Sc</v>
      </c>
      <c r="O354" s="144" t="str">
        <f>INDEX(SignSym,MOD(B354+MATCH(N354,SignSym,0)-1,12)+1)</f>
        <v>Li</v>
      </c>
      <c r="P354" s="219" t="str">
        <f>INDEX(SignSym,MOD(B354+MATCH(O354,SignSym,0)-1,12)+1)</f>
        <v>Vi</v>
      </c>
      <c r="Q354" s="220" t="str">
        <f>INDEX(SignSym,MOD(B354+MATCH(P354,SignSym,0)-1,12)+1)</f>
        <v>Le</v>
      </c>
      <c r="R354" s="220" t="str">
        <f>INDEX(SignSym,MOD(B354+MATCH(Q354,SignSym,0)-1,12)+1)</f>
        <v>Cn</v>
      </c>
      <c r="S354" s="144" t="str">
        <f>INDEX(SignSym,MOD(B354+MATCH(R354,SignSym,0)-1,12)+1)</f>
        <v>Ge</v>
      </c>
    </row>
    <row r="355" spans="1:19" s="194" customFormat="1">
      <c r="C355" s="925"/>
      <c r="D355" s="925"/>
      <c r="F355" s="926"/>
      <c r="G355" s="926"/>
      <c r="H355" s="928" t="e">
        <f>F354</f>
        <v>#N/A</v>
      </c>
      <c r="I355" s="929" t="e">
        <f>H355+(E354*NDDaysInYEar/12)</f>
        <v>#N/A</v>
      </c>
      <c r="J355" s="929" t="e">
        <f>I355+(E354*NDDaysInYEar/12)</f>
        <v>#N/A</v>
      </c>
      <c r="K355" s="930" t="e">
        <f>J355+(E354*NDDaysInYEar/12)</f>
        <v>#N/A</v>
      </c>
      <c r="L355" s="928" t="e">
        <f>K355+(E354*NDDaysInYEar/12)</f>
        <v>#N/A</v>
      </c>
      <c r="M355" s="929" t="e">
        <f>L355+(E354*NDDaysInYEar/12)</f>
        <v>#N/A</v>
      </c>
      <c r="N355" s="929" t="e">
        <f>M355+(E354*NDDaysInYEar/12)</f>
        <v>#N/A</v>
      </c>
      <c r="O355" s="930" t="e">
        <f>N355+(E354*NDDaysInYEar/12)</f>
        <v>#N/A</v>
      </c>
      <c r="P355" s="928" t="e">
        <f>O355+(E354*NDDaysInYEar/12)</f>
        <v>#N/A</v>
      </c>
      <c r="Q355" s="929" t="e">
        <f>P355+(E354*NDDaysInYEar/12)</f>
        <v>#N/A</v>
      </c>
      <c r="R355" s="929" t="e">
        <f>Q355+(E354*NDDaysInYEar/12)</f>
        <v>#N/A</v>
      </c>
      <c r="S355" s="930" t="e">
        <f>R355+(E354*NDDaysInYEar/12)</f>
        <v>#N/A</v>
      </c>
    </row>
    <row r="356" spans="1:19" s="194" customFormat="1">
      <c r="A356" s="194" t="s">
        <v>703</v>
      </c>
      <c r="B356" s="194">
        <f>VLOOKUP(A356,NDasaC,3,0)</f>
        <v>-1</v>
      </c>
      <c r="C356" s="925" t="e">
        <f>IF(MATCH(VLOOKUP(IF((A356="Aq"),VLOOKUP("AqLord",DivCharts,D336,0),IF((A356="Sc"),VLOOKUP("ScLord",DivCharts,D336,0),VLOOKUP(A356,RsInfo,9,0))),DivCharts,D336,0),RsTbl,0)=MATCH(VLOOKUP(IF((A356="Aq"),VLOOKUP("AqLord",DivCharts,D336,0),IF((A356="Sc"),VLOOKUP("ScLord",DivCharts,D336,0),VLOOKUP(A356,RsInfo,9,0))),PlanetData,8,0),RsTbl,0),1,IF(MATCH(VLOOKUP(IF((A356="Aq"),VLOOKUP("AqLord",DivCharts,D336,0),IF((A356="Sc"),VLOOKUP("ScLord",DivCharts,D336,0),VLOOKUP(A356,RsInfo,9,0))),DivCharts,D336,0),RsTbl,0)=MOD(MATCH(VLOOKUP(IF((A356="Aq"),VLOOKUP("AqLord",DivCharts,D336,0),IF((A356="Sc"),VLOOKUP("ScLord",DivCharts,D336,0),VLOOKUP(A356,RsInfo,9,0))),PlanetData,8,0),RsTbl,0)+6,12),-1,0))</f>
        <v>#N/A</v>
      </c>
      <c r="D356" s="925">
        <f>MOD((MATCH(VLOOKUP(IF((A356="Aq"),VLOOKUP("AqLord",DivCharts,D336,0),IF((A356="Sc"),VLOOKUP("ScLord",DivCharts,D336,0),VLOOKUP(A356,RsInfo,9,0))),DivCharts,D336,0),RsTbl,0)*B356)-(B356*MATCH(A356,RsTbl,0))+12,12)</f>
        <v>2</v>
      </c>
      <c r="E356" s="194" t="e">
        <f>ABS(IF(ISNA(MATCH((D356+C356),,0)),(D356+C356),12)+IF(F337,0,-12))</f>
        <v>#N/A</v>
      </c>
      <c r="F356" s="926" t="e">
        <f>G354</f>
        <v>#N/A</v>
      </c>
      <c r="G356" s="926" t="e">
        <f>F356+E356*NDDaysInYEar</f>
        <v>#N/A</v>
      </c>
      <c r="H356" s="927" t="str">
        <f>A356</f>
        <v>Cn</v>
      </c>
      <c r="I356" s="220" t="str">
        <f>INDEX(SignSym,MOD(B356+MATCH(H356,SignSym,0)-1,12)+1)</f>
        <v>Ge</v>
      </c>
      <c r="J356" s="220" t="str">
        <f>INDEX(SignSym,MOD(B356+MATCH(I356,SignSym,0)-1,12)+1)</f>
        <v>Ta</v>
      </c>
      <c r="K356" s="144" t="str">
        <f>INDEX(SignSym,MOD(B356+MATCH(J356,SignSym,0)-1,12)+1)</f>
        <v>Ar</v>
      </c>
      <c r="L356" s="219" t="str">
        <f>INDEX(SignSym,MOD(B356+MATCH(K356,SignSym,0)-1,12)+1)</f>
        <v>Pi</v>
      </c>
      <c r="M356" s="220" t="str">
        <f>INDEX(SignSym,MOD(B356+MATCH(L356,SignSym,0)-1,12)+1)</f>
        <v>Aq</v>
      </c>
      <c r="N356" s="220" t="str">
        <f>INDEX(SignSym,MOD(B356+MATCH(M356,SignSym,0)-1,12)+1)</f>
        <v>Cp</v>
      </c>
      <c r="O356" s="144" t="str">
        <f>INDEX(SignSym,MOD(B356+MATCH(N356,SignSym,0)-1,12)+1)</f>
        <v>Sg</v>
      </c>
      <c r="P356" s="219" t="str">
        <f>INDEX(SignSym,MOD(B356+MATCH(O356,SignSym,0)-1,12)+1)</f>
        <v>Sc</v>
      </c>
      <c r="Q356" s="220" t="str">
        <f>INDEX(SignSym,MOD(B356+MATCH(P356,SignSym,0)-1,12)+1)</f>
        <v>Li</v>
      </c>
      <c r="R356" s="220" t="str">
        <f>INDEX(SignSym,MOD(B356+MATCH(Q356,SignSym,0)-1,12)+1)</f>
        <v>Vi</v>
      </c>
      <c r="S356" s="144" t="str">
        <f>INDEX(SignSym,MOD(B356+MATCH(R356,SignSym,0)-1,12)+1)</f>
        <v>Le</v>
      </c>
    </row>
    <row r="357" spans="1:19" s="194" customFormat="1">
      <c r="C357" s="925"/>
      <c r="D357" s="925"/>
      <c r="F357" s="926"/>
      <c r="G357" s="926"/>
      <c r="H357" s="928" t="e">
        <f>F356</f>
        <v>#N/A</v>
      </c>
      <c r="I357" s="929" t="e">
        <f>H357+(E356*NDDaysInYEar/12)</f>
        <v>#N/A</v>
      </c>
      <c r="J357" s="929" t="e">
        <f>I357+(E356*NDDaysInYEar/12)</f>
        <v>#N/A</v>
      </c>
      <c r="K357" s="930" t="e">
        <f>J357+(E356*NDDaysInYEar/12)</f>
        <v>#N/A</v>
      </c>
      <c r="L357" s="928" t="e">
        <f>K357+(E356*NDDaysInYEar/12)</f>
        <v>#N/A</v>
      </c>
      <c r="M357" s="929" t="e">
        <f>L357+(E356*NDDaysInYEar/12)</f>
        <v>#N/A</v>
      </c>
      <c r="N357" s="929" t="e">
        <f>M357+(E356*NDDaysInYEar/12)</f>
        <v>#N/A</v>
      </c>
      <c r="O357" s="930" t="e">
        <f>N357+(E356*NDDaysInYEar/12)</f>
        <v>#N/A</v>
      </c>
      <c r="P357" s="928" t="e">
        <f>O357+(E356*NDDaysInYEar/12)</f>
        <v>#N/A</v>
      </c>
      <c r="Q357" s="929" t="e">
        <f>P357+(E356*NDDaysInYEar/12)</f>
        <v>#N/A</v>
      </c>
      <c r="R357" s="929" t="e">
        <f>Q357+(E356*NDDaysInYEar/12)</f>
        <v>#N/A</v>
      </c>
      <c r="S357" s="930" t="e">
        <f>R357+(E356*NDDaysInYEar/12)</f>
        <v>#N/A</v>
      </c>
    </row>
    <row r="358" spans="1:19" s="194" customFormat="1">
      <c r="A358" s="335" t="s">
        <v>710</v>
      </c>
      <c r="B358" s="194">
        <f>VLOOKUP(A358,NDasaC,3,0)</f>
        <v>1</v>
      </c>
      <c r="C358" s="925" t="e">
        <f>IF(MATCH(VLOOKUP(IF((A358="Aq"),VLOOKUP("AqLord",DivCharts,D336,0),IF((A358="Sc"),VLOOKUP("ScLord",DivCharts,D336,0),VLOOKUP(A358,RsInfo,9,0))),DivCharts,D336,0),RsTbl,0)=MATCH(VLOOKUP(IF((A358="Aq"),VLOOKUP("AqLord",DivCharts,D336,0),IF((A358="Sc"),VLOOKUP("ScLord",DivCharts,D336,0),VLOOKUP(A358,RsInfo,9,0))),PlanetData,8,0),RsTbl,0),1,IF(MATCH(VLOOKUP(IF((A358="Aq"),VLOOKUP("AqLord",DivCharts,D336,0),IF((A358="Sc"),VLOOKUP("ScLord",DivCharts,D336,0),VLOOKUP(A358,RsInfo,9,0))),DivCharts,D336,0),RsTbl,0)=MOD(MATCH(VLOOKUP(IF((A358="Aq"),VLOOKUP("AqLord",DivCharts,D336,0),IF((A358="Sc"),VLOOKUP("ScLord",DivCharts,D336,0),VLOOKUP(A358,RsInfo,9,0))),PlanetData,8,0),RsTbl,0)+6,12),-1,0))</f>
        <v>#N/A</v>
      </c>
      <c r="D358" s="925">
        <f>MOD((MATCH(VLOOKUP(IF((A358="Aq"),VLOOKUP("AqLord",DivCharts,D336,0),IF((A358="Sc"),VLOOKUP("ScLord",DivCharts,D336,0),VLOOKUP(A358,RsInfo,9,0))),DivCharts,D336,0),RsTbl,0)*B358)-(B358*MATCH(A358,RsTbl,0))+12,12)</f>
        <v>8</v>
      </c>
      <c r="E358" s="194" t="e">
        <f>ABS(IF(ISNA(MATCH((D358+C358),,0)),(D358+C358),12)+IF(F337,0,-12))</f>
        <v>#N/A</v>
      </c>
      <c r="F358" s="926" t="e">
        <f>G356</f>
        <v>#N/A</v>
      </c>
      <c r="G358" s="926" t="e">
        <f>F358+E358*NDDaysInYEar</f>
        <v>#N/A</v>
      </c>
      <c r="H358" s="927" t="str">
        <f>A358</f>
        <v>Li</v>
      </c>
      <c r="I358" s="220" t="str">
        <f>INDEX(SignSym,MOD(B358+MATCH(H358,SignSym,0)-1,12)+1)</f>
        <v>Sc</v>
      </c>
      <c r="J358" s="220" t="str">
        <f>INDEX(SignSym,MOD(B358+MATCH(I358,SignSym,0)-1,12)+1)</f>
        <v>Sg</v>
      </c>
      <c r="K358" s="144" t="str">
        <f>INDEX(SignSym,MOD(B358+MATCH(J358,SignSym,0)-1,12)+1)</f>
        <v>Cp</v>
      </c>
      <c r="L358" s="219" t="str">
        <f>INDEX(SignSym,MOD(B358+MATCH(K358,SignSym,0)-1,12)+1)</f>
        <v>Aq</v>
      </c>
      <c r="M358" s="220" t="str">
        <f>INDEX(SignSym,MOD(B358+MATCH(L358,SignSym,0)-1,12)+1)</f>
        <v>Pi</v>
      </c>
      <c r="N358" s="220" t="str">
        <f>INDEX(SignSym,MOD(B358+MATCH(M358,SignSym,0)-1,12)+1)</f>
        <v>Ar</v>
      </c>
      <c r="O358" s="144" t="str">
        <f>INDEX(SignSym,MOD(B358+MATCH(N358,SignSym,0)-1,12)+1)</f>
        <v>Ta</v>
      </c>
      <c r="P358" s="219" t="str">
        <f>INDEX(SignSym,MOD(B358+MATCH(O358,SignSym,0)-1,12)+1)</f>
        <v>Ge</v>
      </c>
      <c r="Q358" s="220" t="str">
        <f>INDEX(SignSym,MOD(B358+MATCH(P358,SignSym,0)-1,12)+1)</f>
        <v>Cn</v>
      </c>
      <c r="R358" s="220" t="str">
        <f>INDEX(SignSym,MOD(B358+MATCH(Q358,SignSym,0)-1,12)+1)</f>
        <v>Le</v>
      </c>
      <c r="S358" s="144" t="str">
        <f>INDEX(SignSym,MOD(B358+MATCH(R358,SignSym,0)-1,12)+1)</f>
        <v>Vi</v>
      </c>
    </row>
    <row r="359" spans="1:19" s="194" customFormat="1">
      <c r="C359" s="925"/>
      <c r="D359" s="925"/>
      <c r="F359" s="926"/>
      <c r="G359" s="926"/>
      <c r="H359" s="928" t="e">
        <f>F358</f>
        <v>#N/A</v>
      </c>
      <c r="I359" s="929" t="e">
        <f>H359+(E358*NDDaysInYEar/12)</f>
        <v>#N/A</v>
      </c>
      <c r="J359" s="929" t="e">
        <f>I359+(E358*NDDaysInYEar/12)</f>
        <v>#N/A</v>
      </c>
      <c r="K359" s="930" t="e">
        <f>J359+(E358*NDDaysInYEar/12)</f>
        <v>#N/A</v>
      </c>
      <c r="L359" s="928" t="e">
        <f>K359+(E358*NDDaysInYEar/12)</f>
        <v>#N/A</v>
      </c>
      <c r="M359" s="929" t="e">
        <f>L359+(E358*NDDaysInYEar/12)</f>
        <v>#N/A</v>
      </c>
      <c r="N359" s="929" t="e">
        <f>M359+(E358*NDDaysInYEar/12)</f>
        <v>#N/A</v>
      </c>
      <c r="O359" s="930" t="e">
        <f>N359+(E358*NDDaysInYEar/12)</f>
        <v>#N/A</v>
      </c>
      <c r="P359" s="928" t="e">
        <f>O359+(E358*NDDaysInYEar/12)</f>
        <v>#N/A</v>
      </c>
      <c r="Q359" s="929" t="e">
        <f>P359+(E358*NDDaysInYEar/12)</f>
        <v>#N/A</v>
      </c>
      <c r="R359" s="929" t="e">
        <f>Q359+(E358*NDDaysInYEar/12)</f>
        <v>#N/A</v>
      </c>
      <c r="S359" s="930" t="e">
        <f>R359+(E358*NDDaysInYEar/12)</f>
        <v>#N/A</v>
      </c>
    </row>
    <row r="360" spans="1:19" s="194" customFormat="1">
      <c r="A360" s="194" t="s">
        <v>706</v>
      </c>
      <c r="B360" s="194">
        <f>VLOOKUP(A360,NDasaC,3,0)</f>
        <v>-1</v>
      </c>
      <c r="C360" s="925" t="e">
        <f>IF(MATCH(VLOOKUP(IF((A360="Aq"),VLOOKUP("AqLord",DivCharts,D336,0),IF((A360="Sc"),VLOOKUP("ScLord",DivCharts,D336,0),VLOOKUP(A360,RsInfo,9,0))),DivCharts,D336,0),RsTbl,0)=MATCH(VLOOKUP(IF((A360="Aq"),VLOOKUP("AqLord",DivCharts,D336,0),IF((A360="Sc"),VLOOKUP("ScLord",DivCharts,D336,0),VLOOKUP(A360,RsInfo,9,0))),PlanetData,8,0),RsTbl,0),1,IF(MATCH(VLOOKUP(IF((A360="Aq"),VLOOKUP("AqLord",DivCharts,D336,0),IF((A360="Sc"),VLOOKUP("ScLord",DivCharts,D336,0),VLOOKUP(A360,RsInfo,9,0))),DivCharts,D336,0),RsTbl,0)=MOD(MATCH(VLOOKUP(IF((A360="Aq"),VLOOKUP("AqLord",DivCharts,D336,0),IF((A360="Sc"),VLOOKUP("ScLord",DivCharts,D336,0),VLOOKUP(A360,RsInfo,9,0))),PlanetData,8,0),RsTbl,0)+6,12),-1,0))</f>
        <v>#N/A</v>
      </c>
      <c r="D360" s="925">
        <f>MOD((MATCH(VLOOKUP(IF((A360="Aq"),VLOOKUP("AqLord",DivCharts,D336,0),IF((A360="Sc"),VLOOKUP("ScLord",DivCharts,D336,0),VLOOKUP(A360,RsInfo,9,0))),DivCharts,D336,0),RsTbl,0)*B360)-(B360*MATCH(A360,RsTbl,0))+12,12)</f>
        <v>8</v>
      </c>
      <c r="E360" s="194" t="e">
        <f>ABS(IF(ISNA(MATCH((D360+C360),,0)),(D360+C360),12)+IF(F337,0,-12))</f>
        <v>#N/A</v>
      </c>
      <c r="F360" s="926" t="e">
        <f>G358</f>
        <v>#N/A</v>
      </c>
      <c r="G360" s="926" t="e">
        <f>F360+E360*NDDaysInYEar</f>
        <v>#N/A</v>
      </c>
      <c r="H360" s="927" t="str">
        <f>A360</f>
        <v>Cp</v>
      </c>
      <c r="I360" s="220" t="str">
        <f>INDEX(SignSym,MOD(B360+MATCH(H360,SignSym,0)-1,12)+1)</f>
        <v>Sg</v>
      </c>
      <c r="J360" s="220" t="str">
        <f>INDEX(SignSym,MOD(B360+MATCH(I360,SignSym,0)-1,12)+1)</f>
        <v>Sc</v>
      </c>
      <c r="K360" s="144" t="str">
        <f>INDEX(SignSym,MOD(B360+MATCH(J360,SignSym,0)-1,12)+1)</f>
        <v>Li</v>
      </c>
      <c r="L360" s="219" t="str">
        <f>INDEX(SignSym,MOD(B360+MATCH(K360,SignSym,0)-1,12)+1)</f>
        <v>Vi</v>
      </c>
      <c r="M360" s="220" t="str">
        <f>INDEX(SignSym,MOD(B360+MATCH(L360,SignSym,0)-1,12)+1)</f>
        <v>Le</v>
      </c>
      <c r="N360" s="220" t="str">
        <f>INDEX(SignSym,MOD(B360+MATCH(M360,SignSym,0)-1,12)+1)</f>
        <v>Cn</v>
      </c>
      <c r="O360" s="144" t="str">
        <f>INDEX(SignSym,MOD(B360+MATCH(N360,SignSym,0)-1,12)+1)</f>
        <v>Ge</v>
      </c>
      <c r="P360" s="219" t="str">
        <f>INDEX(SignSym,MOD(B360+MATCH(O360,SignSym,0)-1,12)+1)</f>
        <v>Ta</v>
      </c>
      <c r="Q360" s="220" t="str">
        <f>INDEX(SignSym,MOD(B360+MATCH(P360,SignSym,0)-1,12)+1)</f>
        <v>Ar</v>
      </c>
      <c r="R360" s="220" t="str">
        <f>INDEX(SignSym,MOD(B360+MATCH(Q360,SignSym,0)-1,12)+1)</f>
        <v>Pi</v>
      </c>
      <c r="S360" s="144" t="str">
        <f>INDEX(SignSym,MOD(B360+MATCH(R360,SignSym,0)-1,12)+1)</f>
        <v>Aq</v>
      </c>
    </row>
    <row r="361" spans="1:19" s="194" customFormat="1">
      <c r="C361" s="925"/>
      <c r="D361" s="925"/>
      <c r="F361" s="926"/>
      <c r="G361" s="926"/>
      <c r="H361" s="928" t="e">
        <f>F360</f>
        <v>#N/A</v>
      </c>
      <c r="I361" s="929" t="e">
        <f>H361+(E360*NDDaysInYEar/12)</f>
        <v>#N/A</v>
      </c>
      <c r="J361" s="929" t="e">
        <f>I361+(E360*NDDaysInYEar/12)</f>
        <v>#N/A</v>
      </c>
      <c r="K361" s="930" t="e">
        <f>J361+(E360*NDDaysInYEar/12)</f>
        <v>#N/A</v>
      </c>
      <c r="L361" s="928" t="e">
        <f>K361+(E360*NDDaysInYEar/12)</f>
        <v>#N/A</v>
      </c>
      <c r="M361" s="929" t="e">
        <f>L361+(E360*NDDaysInYEar/12)</f>
        <v>#N/A</v>
      </c>
      <c r="N361" s="929" t="e">
        <f>M361+(E360*NDDaysInYEar/12)</f>
        <v>#N/A</v>
      </c>
      <c r="O361" s="930" t="e">
        <f>N361+(E360*NDDaysInYEar/12)</f>
        <v>#N/A</v>
      </c>
      <c r="P361" s="928" t="e">
        <f>O361+(E360*NDDaysInYEar/12)</f>
        <v>#N/A</v>
      </c>
      <c r="Q361" s="929" t="e">
        <f>P361+(E360*NDDaysInYEar/12)</f>
        <v>#N/A</v>
      </c>
      <c r="R361" s="929" t="e">
        <f>Q361+(E360*NDDaysInYEar/12)</f>
        <v>#N/A</v>
      </c>
      <c r="S361" s="930" t="e">
        <f>R361+(E360*NDDaysInYEar/12)</f>
        <v>#N/A</v>
      </c>
    </row>
    <row r="362" spans="1:19" s="194" customFormat="1">
      <c r="A362" s="335" t="s">
        <v>689</v>
      </c>
      <c r="B362" s="194">
        <f>VLOOKUP(A362,NDasaC,3,0)</f>
        <v>1</v>
      </c>
      <c r="C362" s="925" t="e">
        <f>IF(MATCH(VLOOKUP(IF((A362="Aq"),VLOOKUP("AqLord",DivCharts,D336,0),IF((A362="Sc"),VLOOKUP("ScLord",DivCharts,D336,0),VLOOKUP(A362,RsInfo,9,0))),DivCharts,D336,0),RsTbl,0)=MATCH(VLOOKUP(IF((A362="Aq"),VLOOKUP("AqLord",DivCharts,D336,0),IF((A362="Sc"),VLOOKUP("ScLord",DivCharts,D336,0),VLOOKUP(A362,RsInfo,9,0))),PlanetData,8,0),RsTbl,0),1,IF(MATCH(VLOOKUP(IF((A362="Aq"),VLOOKUP("AqLord",DivCharts,D336,0),IF((A362="Sc"),VLOOKUP("ScLord",DivCharts,D336,0),VLOOKUP(A362,RsInfo,9,0))),DivCharts,D336,0),RsTbl,0)=MOD(MATCH(VLOOKUP(IF((A362="Aq"),VLOOKUP("AqLord",DivCharts,D336,0),IF((A362="Sc"),VLOOKUP("ScLord",DivCharts,D336,0),VLOOKUP(A362,RsInfo,9,0))),PlanetData,8,0),RsTbl,0)+6,12),-1,0))</f>
        <v>#N/A</v>
      </c>
      <c r="D362" s="925">
        <f>MOD((MATCH(VLOOKUP(IF((A362="Aq"),VLOOKUP("AqLord",DivCharts,D336,0),IF((A362="Sc"),VLOOKUP("ScLord",DivCharts,D336,0),VLOOKUP(A362,RsInfo,9,0))),DivCharts,D336,0),RsTbl,0)*B362)-(B362*MATCH(A362,RsTbl,0))+12,12)</f>
        <v>9</v>
      </c>
      <c r="E362" s="194" t="e">
        <f>ABS(IF(ISNA(MATCH((D362+C362),,0)),(D362+C362),12)+IF(F337,0,-12))</f>
        <v>#N/A</v>
      </c>
      <c r="F362" s="926" t="e">
        <f>G360</f>
        <v>#N/A</v>
      </c>
      <c r="G362" s="926" t="e">
        <f>F362+E362*NDDaysInYEar</f>
        <v>#N/A</v>
      </c>
      <c r="H362" s="927" t="str">
        <f>A362</f>
        <v>Ar</v>
      </c>
      <c r="I362" s="220" t="str">
        <f>INDEX(SignSym,MOD(B362+MATCH(H362,SignSym,0)-1,12)+1)</f>
        <v>Ta</v>
      </c>
      <c r="J362" s="220" t="str">
        <f>INDEX(SignSym,MOD(B362+MATCH(I362,SignSym,0)-1,12)+1)</f>
        <v>Ge</v>
      </c>
      <c r="K362" s="144" t="str">
        <f>INDEX(SignSym,MOD(B362+MATCH(J362,SignSym,0)-1,12)+1)</f>
        <v>Cn</v>
      </c>
      <c r="L362" s="219" t="str">
        <f>INDEX(SignSym,MOD(B362+MATCH(K362,SignSym,0)-1,12)+1)</f>
        <v>Le</v>
      </c>
      <c r="M362" s="220" t="str">
        <f>INDEX(SignSym,MOD(B362+MATCH(L362,SignSym,0)-1,12)+1)</f>
        <v>Vi</v>
      </c>
      <c r="N362" s="220" t="str">
        <f>INDEX(SignSym,MOD(B362+MATCH(M362,SignSym,0)-1,12)+1)</f>
        <v>Li</v>
      </c>
      <c r="O362" s="144" t="str">
        <f>INDEX(SignSym,MOD(B362+MATCH(N362,SignSym,0)-1,12)+1)</f>
        <v>Sc</v>
      </c>
      <c r="P362" s="219" t="str">
        <f>INDEX(SignSym,MOD(B362+MATCH(O362,SignSym,0)-1,12)+1)</f>
        <v>Sg</v>
      </c>
      <c r="Q362" s="220" t="str">
        <f>INDEX(SignSym,MOD(B362+MATCH(P362,SignSym,0)-1,12)+1)</f>
        <v>Cp</v>
      </c>
      <c r="R362" s="220" t="str">
        <f>INDEX(SignSym,MOD(B362+MATCH(Q362,SignSym,0)-1,12)+1)</f>
        <v>Aq</v>
      </c>
      <c r="S362" s="144" t="str">
        <f>INDEX(SignSym,MOD(B362+MATCH(R362,SignSym,0)-1,12)+1)</f>
        <v>Pi</v>
      </c>
    </row>
    <row r="363" spans="1:19" s="194" customFormat="1">
      <c r="D363" s="925"/>
      <c r="F363" s="926"/>
      <c r="G363" s="926"/>
      <c r="H363" s="928" t="e">
        <f>F362</f>
        <v>#N/A</v>
      </c>
      <c r="I363" s="929" t="e">
        <f>H363+(E362*NDDaysInYEar/12)</f>
        <v>#N/A</v>
      </c>
      <c r="J363" s="929" t="e">
        <f>I363+(E362*NDDaysInYEar/12)</f>
        <v>#N/A</v>
      </c>
      <c r="K363" s="930" t="e">
        <f>J363+(E362*NDDaysInYEar/12)</f>
        <v>#N/A</v>
      </c>
      <c r="L363" s="928" t="e">
        <f>K363+(E362*NDDaysInYEar/12)</f>
        <v>#N/A</v>
      </c>
      <c r="M363" s="929" t="e">
        <f>L363+(E362*NDDaysInYEar/12)</f>
        <v>#N/A</v>
      </c>
      <c r="N363" s="929" t="e">
        <f>M363+(E362*NDDaysInYEar/12)</f>
        <v>#N/A</v>
      </c>
      <c r="O363" s="930" t="e">
        <f>N363+(E362*NDDaysInYEar/12)</f>
        <v>#N/A</v>
      </c>
      <c r="P363" s="928" t="e">
        <f>O363+(E362*NDDaysInYEar/12)</f>
        <v>#N/A</v>
      </c>
      <c r="Q363" s="929" t="e">
        <f>P363+(E362*NDDaysInYEar/12)</f>
        <v>#N/A</v>
      </c>
      <c r="R363" s="929" t="e">
        <f>Q363+(E362*NDDaysInYEar/12)</f>
        <v>#N/A</v>
      </c>
      <c r="S363" s="930" t="e">
        <f>R363+(E362*NDDaysInYEar/12)</f>
        <v>#N/A</v>
      </c>
    </row>
    <row r="364" spans="1:19" s="194" customFormat="1">
      <c r="A364" s="931"/>
      <c r="B364" s="931"/>
      <c r="C364" s="931"/>
      <c r="D364" s="931"/>
      <c r="E364" s="931"/>
      <c r="F364" s="931"/>
      <c r="G364" s="931"/>
      <c r="H364" s="931"/>
      <c r="I364" s="931"/>
      <c r="J364" s="931"/>
      <c r="K364" s="931"/>
      <c r="L364" s="931"/>
      <c r="M364" s="931"/>
      <c r="N364" s="931"/>
      <c r="O364" s="931"/>
      <c r="P364" s="931"/>
      <c r="Q364" s="931"/>
      <c r="R364" s="931"/>
      <c r="S364" s="931"/>
    </row>
    <row r="365" spans="1:19" s="194" customFormat="1" hidden="1">
      <c r="H365" s="932"/>
      <c r="I365" s="932"/>
      <c r="J365" s="932"/>
      <c r="K365" s="932"/>
      <c r="L365" s="932"/>
      <c r="M365" s="932"/>
      <c r="N365" s="932"/>
      <c r="O365" s="932"/>
      <c r="P365" s="932"/>
      <c r="Q365" s="932"/>
      <c r="R365" s="932"/>
      <c r="S365" s="932"/>
    </row>
    <row r="366" spans="1:19" s="194" customFormat="1"/>
    <row r="367" spans="1:19" s="194" customFormat="1"/>
  </sheetData>
  <mergeCells count="21">
    <mergeCell ref="A337:B337"/>
    <mergeCell ref="A273:B273"/>
    <mergeCell ref="A274:B274"/>
    <mergeCell ref="A304:B304"/>
    <mergeCell ref="A305:B305"/>
    <mergeCell ref="A336:B336"/>
    <mergeCell ref="A172:B172"/>
    <mergeCell ref="A206:B206"/>
    <mergeCell ref="A207:B207"/>
    <mergeCell ref="A241:B241"/>
    <mergeCell ref="A242:B242"/>
    <mergeCell ref="A102:B102"/>
    <mergeCell ref="A103:B103"/>
    <mergeCell ref="A135:B135"/>
    <mergeCell ref="A136:B136"/>
    <mergeCell ref="A171:B171"/>
    <mergeCell ref="A32:H32"/>
    <mergeCell ref="A35:B35"/>
    <mergeCell ref="A36:B36"/>
    <mergeCell ref="A70:B70"/>
    <mergeCell ref="A71:B71"/>
  </mergeCells>
  <pageMargins left="0.74791666666666701" right="0.74791666666666701" top="0.98402777777777795" bottom="0.98402777777777795" header="0.511811023622047" footer="0.511811023622047"/>
  <pageSetup scale="44" orientation="landscape" horizontalDpi="300" verticalDpi="300"/>
  <rowBreaks count="4" manualBreakCount="4">
    <brk id="67" max="16383" man="1"/>
    <brk id="133" max="16383" man="1"/>
    <brk id="202" max="16383" man="1"/>
    <brk id="271" max="16383" man="1"/>
  </rowBreaks>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X14"/>
  <sheetViews>
    <sheetView topLeftCell="A4" zoomScaleNormal="100" workbookViewId="0">
      <selection activeCell="N4" sqref="N4"/>
    </sheetView>
  </sheetViews>
  <sheetFormatPr defaultColWidth="7.140625" defaultRowHeight="15"/>
  <cols>
    <col min="2" max="2" width="2.28515625" customWidth="1"/>
    <col min="3" max="7" width="8.42578125" customWidth="1"/>
    <col min="8" max="8" width="9.28515625" customWidth="1"/>
    <col min="9" max="11" width="8.42578125" customWidth="1"/>
    <col min="12" max="12" width="2.28515625" customWidth="1"/>
    <col min="13" max="13" width="10.140625" customWidth="1"/>
    <col min="17" max="17" width="9.5703125" customWidth="1"/>
  </cols>
  <sheetData>
    <row r="1" spans="1:24" ht="49.7" customHeight="1">
      <c r="A1" s="941"/>
      <c r="B1" s="941"/>
      <c r="C1" s="941"/>
      <c r="D1" s="942" t="str">
        <f>IF(TRUNC(Basics!B67/StarDeg)=2,Basics!$A$67&amp;"/ ","")&amp;IF(TRUNC(Basics!B60/StarDeg)=2,Basics!$A$60&amp;"/ ","")&amp;IF(TRUNC(Basics!B58/StarDeg)=2,Basics!$A$58&amp;"/ ","")&amp;IF(TRUNC(Basics!B59/StarDeg)=2,Basics!$A$59&amp;"/ ","")&amp;IF(TRUNC(Basics!B66/StarDeg)=2,Basics!$A$66&amp;"/ ","")&amp;IF(TRUNC(Basics!B61/StarDeg)=2,Basics!$A$61&amp;"/ ","")&amp;IF(TRUNC(Basics!B65/StarDeg)=2,Basics!$A$65&amp;"/ ","")&amp;IF(TRUNC(Basics!B62/StarDeg)=2,Basics!$A$62&amp;"/ ","")&amp;IF(TRUNC(Basics!B63/StarDeg)=2,Basics!$A$63&amp;"/ ","")&amp;IF(TRUNC(Basics!B64/StarDeg)=2,Basics!$A$64&amp;"/ ","")</f>
        <v xml:space="preserve">Saturn/ </v>
      </c>
      <c r="E1" s="943" t="str">
        <f>IF(TRUNC(Basics!B67/StarDeg)=3,Basics!$A$67&amp;"/ ","")&amp;IF(TRUNC(Basics!B60/StarDeg)=3,Basics!$A$60&amp;"/ ","")&amp;IF(TRUNC(Basics!B58/StarDeg)=3,Basics!$A$58&amp;"/ ","")&amp;IF(TRUNC(Basics!B59/StarDeg)=3,Basics!$A$59&amp;"/ ","")&amp;IF(TRUNC(Basics!B66/StarDeg)=3,Basics!$A$66&amp;"/ ","")&amp;IF(TRUNC(Basics!B61/StarDeg)=3,Basics!$A$61&amp;"/ ","")&amp;IF(TRUNC(Basics!B65/StarDeg)=3,Basics!$A$65&amp;"/ ","")&amp;IF(TRUNC(Basics!B62/StarDeg)=3,Basics!$A$62&amp;"/ ","")&amp;IF(TRUNC(Basics!B63/StarDeg)=3,Basics!$A$63&amp;"/ ","")&amp;IF(TRUNC(Basics!B64/StarDeg)=3,Basics!$A$64&amp;"/ ","")</f>
        <v xml:space="preserve">Moon/ </v>
      </c>
      <c r="F1" s="941" t="str">
        <f>IF(TRUNC(Basics!B67/StarDeg)=4,Basics!$A$67&amp;"/ ","")&amp;IF(TRUNC(Basics!B60/StarDeg)=4,Basics!$A$60&amp;"/ ","")&amp;IF(TRUNC(Basics!B58/StarDeg)=4,Basics!$A$58&amp;"/ ","")&amp;IF(TRUNC(Basics!B59/StarDeg)=4,Basics!$A$59&amp;"/ ","")&amp;IF(TRUNC(Basics!B66/StarDeg)=4,Basics!$A$66&amp;"/ ","")&amp;IF(TRUNC(Basics!B61/StarDeg)=4,Basics!$A$61&amp;"/ ","")&amp;IF(TRUNC(Basics!B65/StarDeg)=4,Basics!$A$65&amp;"/ ","")&amp;IF(TRUNC(Basics!B62/StarDeg)=4,Basics!$A$62&amp;"/ ","")&amp;IF(TRUNC(Basics!B63/StarDeg)=4,Basics!$A$63&amp;"/ ","")&amp;IF(TRUNC(Basics!B64/StarDeg)=4,Basics!$A$64&amp;"/ ","")</f>
        <v/>
      </c>
      <c r="G1" s="944" t="str">
        <f>IF(TRUNC(Basics!B67/StarDeg)=5,Basics!$A$67&amp;"/ ","")&amp;IF(TRUNC(Basics!B60/StarDeg)=5,Basics!$A$60&amp;"/ ","")&amp;IF(TRUNC(Basics!B58/StarDeg)=5,Basics!$A$58&amp;"/ ","")&amp;IF(TRUNC(Basics!B59/StarDeg)=5,Basics!$A$59&amp;"/ ","")&amp;IF(TRUNC(Basics!B66/StarDeg)=5,Basics!$A$66&amp;"/ ","")&amp;IF(TRUNC(Basics!B61/StarDeg)=5,Basics!$A$61&amp;"/ ","")&amp;IF(TRUNC(Basics!B65/StarDeg)=5,Basics!$A$65&amp;"/ ","")&amp;IF(TRUNC(Basics!B62/StarDeg)=5,Basics!$A$62&amp;"/ ","")&amp;IF(TRUNC(Basics!B63/StarDeg)=5,Basics!$A$63&amp;"/ ","")&amp;IF(TRUNC(Basics!B64/StarDeg)=5,Basics!$A$64&amp;"/ ","")</f>
        <v/>
      </c>
      <c r="H1" s="945" t="str">
        <f>IF(TRUNC(Basics!B67/StarDeg)=6,Basics!$A$67&amp;"/ ","")&amp;IF(TRUNC(Basics!B60/StarDeg)=6,Basics!$A$60&amp;"/ ","")&amp;IF(TRUNC(Basics!B58/StarDeg)=6,Basics!$A$58&amp;"/ ","")&amp;IF(TRUNC(Basics!B59/StarDeg)=6,Basics!$A$59&amp;"/ ","")&amp;IF(TRUNC(Basics!B66/StarDeg)=6,Basics!$A$66&amp;"/ ","")&amp;IF(TRUNC(Basics!B61/StarDeg)=6,Basics!$A$61&amp;"/ ","")&amp;IF(TRUNC(Basics!B65/StarDeg)=6,Basics!$A$65&amp;"/ ","")&amp;IF(TRUNC(Basics!B62/StarDeg)=6,Basics!$A$62&amp;"/ ","")&amp;IF(TRUNC(Basics!B63/StarDeg)=6,Basics!$A$63&amp;"/ ","")&amp;IF(TRUNC(Basics!B64/StarDeg)=6,Basics!$A$64&amp;"/ ","")</f>
        <v xml:space="preserve">Sun/ Venus/ </v>
      </c>
      <c r="I1" s="946" t="str">
        <f>IF(TRUNC(Basics!B67/StarDeg)=7,Basics!$A$67&amp;"/ ","")&amp;IF(TRUNC(Basics!B60/StarDeg)=7,Basics!$A$60&amp;"/ ","")&amp;IF(TRUNC(Basics!B58/StarDeg)=7,Basics!$A$58&amp;"/ ","")&amp;IF(TRUNC(Basics!B59/StarDeg)=7,Basics!$A$59&amp;"/ ","")&amp;IF(TRUNC(Basics!B66/StarDeg)=7,Basics!$A$66&amp;"/ ","")&amp;IF(TRUNC(Basics!B61/StarDeg)=7,Basics!$A$61&amp;"/ ","")&amp;IF(TRUNC(Basics!B65/StarDeg)=7,Basics!$A$65&amp;"/ ","")&amp;IF(TRUNC(Basics!B62/StarDeg)=7,Basics!$A$62&amp;"/ ","")&amp;IF(TRUNC(Basics!B63/StarDeg)=7,Basics!$A$63&amp;"/ ","")&amp;IF(TRUNC(Basics!B64/StarDeg)=7,Basics!$A$64&amp;"/ ","")</f>
        <v/>
      </c>
      <c r="J1" s="944" t="str">
        <f>IF(TRUNC(Basics!B67/StarDeg)=8,Basics!$A$67&amp;"/ ","")&amp;IF(TRUNC(Basics!B60/StarDeg)=8,Basics!$A$60&amp;"/ ","")&amp;IF(TRUNC(Basics!B58/StarDeg)=8,Basics!$A$58&amp;"/ ","")&amp;IF(TRUNC(Basics!B59/StarDeg)=8,Basics!$A$59&amp;"/ ","")&amp;IF(TRUNC(Basics!B66/StarDeg)=8,Basics!$A$66&amp;"/ ","")&amp;IF(TRUNC(Basics!B61/StarDeg)=8,Basics!$A$61&amp;"/ ","")&amp;IF(TRUNC(Basics!B65/StarDeg)=8,Basics!$A$65&amp;"/ ","")&amp;IF(TRUNC(Basics!B62/StarDeg)=8,Basics!$A$62&amp;"/ ","")&amp;IF(TRUNC(Basics!B63/StarDeg)=8,Basics!$A$63&amp;"/ ","")&amp;IF(TRUNC(Basics!B64/StarDeg)=8,Basics!$A$64&amp;"/ ","")</f>
        <v xml:space="preserve">Ketu/ Mercury/ </v>
      </c>
      <c r="K1" s="947"/>
      <c r="L1" s="46"/>
      <c r="M1" s="948"/>
    </row>
    <row r="2" spans="1:24" ht="15" customHeight="1">
      <c r="A2" s="941"/>
      <c r="B2" s="941"/>
      <c r="C2" s="1367" t="s">
        <v>4203</v>
      </c>
      <c r="D2" s="1367"/>
      <c r="E2" s="1367"/>
      <c r="F2" s="1367"/>
      <c r="G2" s="1367"/>
      <c r="H2" s="1367"/>
      <c r="I2" s="1367"/>
      <c r="J2" s="1367"/>
      <c r="K2" s="1367"/>
      <c r="L2" s="46"/>
      <c r="M2" s="948"/>
    </row>
    <row r="3" spans="1:24" ht="50.25" customHeight="1">
      <c r="A3" s="949"/>
      <c r="B3" s="1368" t="s">
        <v>4204</v>
      </c>
      <c r="C3" s="950" t="s">
        <v>4205</v>
      </c>
      <c r="D3" s="951" t="s">
        <v>4206</v>
      </c>
      <c r="E3" s="952" t="s">
        <v>641</v>
      </c>
      <c r="F3" s="951" t="s">
        <v>4207</v>
      </c>
      <c r="G3" s="952" t="s">
        <v>557</v>
      </c>
      <c r="H3" s="951" t="s">
        <v>643</v>
      </c>
      <c r="I3" s="952" t="s">
        <v>4208</v>
      </c>
      <c r="J3" s="951" t="s">
        <v>4209</v>
      </c>
      <c r="K3" s="953" t="s">
        <v>4210</v>
      </c>
      <c r="L3" s="1369" t="s">
        <v>4211</v>
      </c>
      <c r="M3" s="954"/>
    </row>
    <row r="4" spans="1:24" ht="50.25" customHeight="1">
      <c r="A4" s="955" t="str">
        <f>IF(TRUNC(Basics!B67/StarDeg)=1,Basics!$A$67&amp;"/ ","")&amp;IF(TRUNC(Basics!B60/StarDeg)=1,Basics!$A$60&amp;"/ ","")&amp;IF(TRUNC(Basics!B58/StarDeg)=1,Basics!$A$58&amp;"/ ","")&amp;IF(TRUNC(Basics!B59/StarDeg)=1,Basics!$A$59&amp;"/ ","")&amp;IF(TRUNC(Basics!B66/StarDeg)=1,Basics!$A$66&amp;"/ ","")&amp;IF(TRUNC(Basics!B61/StarDeg)=1,Basics!$A$61&amp;"/ ","")&amp;IF(TRUNC(Basics!B65/StarDeg)=1,Basics!$A$65&amp;"/ ","")&amp;IF(TRUNC(Basics!B62/StarDeg)=1,Basics!$A$62&amp;"/ ","")&amp;IF(TRUNC(Basics!B63/StarDeg)=1,Basics!$A$63&amp;"/ ","")&amp;IF(TRUNC(Basics!B64/StarDeg)=1,Basics!$A$64&amp;"/ ","")</f>
        <v/>
      </c>
      <c r="B4" s="1368"/>
      <c r="C4" s="951" t="s">
        <v>639</v>
      </c>
      <c r="D4" s="950" t="s">
        <v>4212</v>
      </c>
      <c r="E4" s="956" t="s">
        <v>4205</v>
      </c>
      <c r="F4" s="950" t="s">
        <v>4213</v>
      </c>
      <c r="G4" s="956" t="s">
        <v>4214</v>
      </c>
      <c r="H4" s="950" t="s">
        <v>4215</v>
      </c>
      <c r="I4" s="956" t="s">
        <v>4216</v>
      </c>
      <c r="J4" s="950" t="s">
        <v>4217</v>
      </c>
      <c r="K4" s="957" t="s">
        <v>4218</v>
      </c>
      <c r="L4" s="1369"/>
      <c r="M4" s="958" t="str">
        <f>IF(TRUNC(Basics!B67/StarDeg)=9,Basics!$A$67&amp;"/ ","")&amp;IF(TRUNC(Basics!B60/StarDeg)=9,Basics!$A$60&amp;"/ ","")&amp;IF(TRUNC(Basics!B58/StarDeg)=9,Basics!$A$58&amp;"/ ","")&amp;IF(TRUNC(Basics!B59/StarDeg)=9,Basics!$A$59&amp;"/ ","")&amp;IF(TRUNC(Basics!B66/StarDeg)=9,Basics!$A$66&amp;"/ ","")&amp;IF(TRUNC(Basics!B61/StarDeg)=9,Basics!$A$61&amp;"/ ","")&amp;IF(TRUNC(Basics!B65/StarDeg)=9,Basics!$A$65&amp;"/ ","")&amp;IF(TRUNC(Basics!B62/StarDeg)=9,Basics!$A$62&amp;"/ ","")&amp;IF(TRUNC(Basics!B63/StarDeg)=9,Basics!$A$63&amp;"/ ","")&amp;IF(TRUNC(Basics!B64/StarDeg)=9,Basics!$A$64&amp;"/ ","")</f>
        <v/>
      </c>
      <c r="Q4" s="959" t="s">
        <v>1358</v>
      </c>
      <c r="R4" t="s">
        <v>4219</v>
      </c>
      <c r="X4">
        <v>4</v>
      </c>
    </row>
    <row r="5" spans="1:24" ht="50.25" customHeight="1">
      <c r="A5" s="960" t="str">
        <f>IF(TRUNC(Basics!B67/StarDeg)=0,Basics!$A$67&amp;"/ ","")&amp;IF(TRUNC(Basics!B60/StarDeg)=0,Basics!$A$60&amp;"/ ","")&amp;IF(TRUNC(Basics!B58/StarDeg)=0,Basics!$A$58&amp;"/ ","")&amp;IF(TRUNC(Basics!B59/StarDeg)=0,Basics!$A$59&amp;"/ ","")&amp;IF(TRUNC(Basics!B66/StarDeg)=0,Basics!$A$66&amp;"/ ","")&amp;IF(TRUNC(Basics!B61/StarDeg)=0,Basics!$A$61&amp;"/ ","")&amp;IF(TRUNC(Basics!B65/StarDeg)=0,Basics!$A$65&amp;"/ ","")&amp;IF(TRUNC(Basics!B62/StarDeg)=0,Basics!$A$62&amp;"/ ","")&amp;IF(TRUNC(Basics!B63/StarDeg)=0,Basics!$A$63&amp;"/ ","")&amp;IF(TRUNC(Basics!B64/StarDeg)=0,Basics!$A$64&amp;"/ ","")</f>
        <v/>
      </c>
      <c r="B5" s="1368"/>
      <c r="C5" s="952" t="s">
        <v>638</v>
      </c>
      <c r="D5" s="956" t="s">
        <v>4220</v>
      </c>
      <c r="E5" s="950" t="s">
        <v>4221</v>
      </c>
      <c r="F5" s="961" t="s">
        <v>4222</v>
      </c>
      <c r="G5" s="962" t="s">
        <v>4223</v>
      </c>
      <c r="H5" s="961" t="s">
        <v>4224</v>
      </c>
      <c r="I5" s="950" t="s">
        <v>4225</v>
      </c>
      <c r="J5" s="956" t="s">
        <v>4226</v>
      </c>
      <c r="K5" s="963" t="s">
        <v>4227</v>
      </c>
      <c r="L5" s="1369"/>
      <c r="M5" s="958" t="str">
        <f>IF(TRUNC(Basics!B67/StarDeg)=10,Basics!$A$67&amp;"/ ","")&amp;IF(TRUNC(Basics!B60/StarDeg)=10,Basics!$A$60&amp;"/ ","")&amp;IF(TRUNC(Basics!B58/StarDeg)=10,Basics!$A$58&amp;"/ ","")&amp;IF(TRUNC(Basics!B59/StarDeg)=10,Basics!$A$59&amp;"/ ","")&amp;IF(TRUNC(Basics!B66/StarDeg)=10,Basics!$A$66&amp;"/ ","")&amp;IF(TRUNC(Basics!B61/StarDeg)=10,Basics!$A$61&amp;"/ ","")&amp;IF(TRUNC(Basics!B65/StarDeg)=10,Basics!$A$65&amp;"/ ","")&amp;IF(TRUNC(Basics!B62/StarDeg)=10,Basics!$A$62&amp;"/ ","")&amp;IF(TRUNC(Basics!B63/StarDeg)=10,Basics!$A$63&amp;"/ ","")&amp;IF(TRUNC(Basics!B64/StarDeg)=10,Basics!$A$64&amp;"/ ","")</f>
        <v xml:space="preserve">Asc/ </v>
      </c>
      <c r="Q5" s="964" t="s">
        <v>1388</v>
      </c>
      <c r="R5" t="s">
        <v>4228</v>
      </c>
      <c r="X5">
        <v>5</v>
      </c>
    </row>
    <row r="6" spans="1:24" ht="50.25" customHeight="1">
      <c r="A6" s="949" t="str">
        <f>IF(TRUNC(Basics!B67/StarDeg)=26,Basics!$A$67&amp;"/ ","")&amp;IF(TRUNC(Basics!B60/StarDeg)=26,Basics!$A$60&amp;"/ ","")&amp;IF(TRUNC(Basics!B58/StarDeg)=26,Basics!$A$58&amp;"/ ","")&amp;IF(TRUNC(Basics!B59/StarDeg)=26,Basics!$A$59&amp;"/ ","")&amp;IF(TRUNC(Basics!B66/StarDeg)=26,Basics!$A$66&amp;"/ ","")&amp;IF(TRUNC(Basics!B61/StarDeg)=26,Basics!$A$61&amp;"/ ","")&amp;IF(TRUNC(Basics!B65/StarDeg)=26,Basics!$A$65&amp;"/ ","")&amp;IF(TRUNC(Basics!B62/StarDeg)=26,Basics!$A$62&amp;"/ ","")&amp;IF(TRUNC(Basics!B63/StarDeg)=26,Basics!$A$63&amp;"/ ","")&amp;IF(TRUNC(Basics!B64/StarDeg)=26,Basics!$A$64&amp;"/ ","")</f>
        <v/>
      </c>
      <c r="B6" s="1368"/>
      <c r="C6" s="951" t="s">
        <v>574</v>
      </c>
      <c r="D6" s="950" t="s">
        <v>4229</v>
      </c>
      <c r="E6" s="961" t="s">
        <v>4230</v>
      </c>
      <c r="F6" s="950" t="s">
        <v>4231</v>
      </c>
      <c r="G6" s="951" t="s">
        <v>4232</v>
      </c>
      <c r="H6" s="950" t="s">
        <v>4233</v>
      </c>
      <c r="I6" s="961" t="s">
        <v>4083</v>
      </c>
      <c r="J6" s="950" t="s">
        <v>4234</v>
      </c>
      <c r="K6" s="957" t="s">
        <v>4235</v>
      </c>
      <c r="L6" s="1369"/>
      <c r="M6" s="965" t="str">
        <f>IF(TRUNC(Basics!B67/StarDeg)=11,Basics!$A$67&amp;"/ ","")&amp;IF(TRUNC(Basics!B60/StarDeg)=11,Basics!$A$60&amp;"/ ","")&amp;IF(TRUNC(Basics!B58/StarDeg)=11,Basics!$A$58&amp;"/ ","")&amp;IF(TRUNC(Basics!B59/StarDeg)=11,Basics!$A$59&amp;"/ ","")&amp;IF(TRUNC(Basics!B66/StarDeg)=11,Basics!$A$66&amp;"/ ","")&amp;IF(TRUNC(Basics!B61/StarDeg)=11,Basics!$A$61&amp;"/ ","")&amp;IF(TRUNC(Basics!B65/StarDeg)=11,Basics!$A$65&amp;"/ ","")&amp;IF(TRUNC(Basics!B62/StarDeg)=11,Basics!$A$62&amp;"/ ","")&amp;IF(TRUNC(Basics!B63/StarDeg)=11,Basics!$A$63&amp;"/ ","")&amp;IF(TRUNC(Basics!B64/StarDeg)=11,Basics!$A$64&amp;"/ ","")</f>
        <v/>
      </c>
      <c r="Q6" s="966" t="s">
        <v>1419</v>
      </c>
      <c r="R6" t="s">
        <v>4236</v>
      </c>
      <c r="X6">
        <v>2</v>
      </c>
    </row>
    <row r="7" spans="1:24" ht="54" customHeight="1">
      <c r="A7" s="967" t="str">
        <f>IF(TRUNC(Basics!B67/StarDeg)=25,Basics!$A$67&amp;"/ ","")&amp;IF(TRUNC(Basics!B60/StarDeg)=25,Basics!$A$60&amp;"/ ","")&amp;IF(TRUNC(Basics!B58/StarDeg)=25,Basics!$A$58&amp;"/ ","")&amp;IF(TRUNC(Basics!B59/StarDeg)=25,Basics!$A$59&amp;"/ ","")&amp;IF(TRUNC(Basics!B66/StarDeg)=25,Basics!$A$66&amp;"/ ","")&amp;IF(TRUNC(Basics!B61/StarDeg)=25,Basics!$A$61&amp;"/ ","")&amp;IF(TRUNC(Basics!B65/StarDeg)=25,Basics!$A$65&amp;"/ ","")&amp;IF(TRUNC(Basics!B62/StarDeg)=25,Basics!$A$62&amp;"/ ","")&amp;IF(TRUNC(Basics!B63/StarDeg)=25,Basics!$A$63&amp;"/ ","")&amp;IF(TRUNC(Basics!B64/StarDeg)=25,Basics!$A$64&amp;"/ ","")</f>
        <v/>
      </c>
      <c r="B7" s="1368"/>
      <c r="C7" s="952" t="s">
        <v>4237</v>
      </c>
      <c r="D7" s="956" t="s">
        <v>4238</v>
      </c>
      <c r="E7" s="962" t="s">
        <v>4055</v>
      </c>
      <c r="F7" s="951" t="s">
        <v>4239</v>
      </c>
      <c r="G7" s="952" t="s">
        <v>4240</v>
      </c>
      <c r="H7" s="951" t="s">
        <v>4241</v>
      </c>
      <c r="I7" s="962" t="s">
        <v>4087</v>
      </c>
      <c r="J7" s="956" t="s">
        <v>4242</v>
      </c>
      <c r="K7" s="963" t="s">
        <v>648</v>
      </c>
      <c r="L7" s="1369"/>
      <c r="M7" s="968" t="str">
        <f>IF(TRUNC(Basics!B67/StarDeg)=12,Basics!$A$67&amp;"/ ","")&amp;IF(TRUNC(Basics!B60/StarDeg)=12,Basics!$A$60&amp;"/ ","")&amp;IF(TRUNC(Basics!B58/StarDeg)=12,Basics!$A$58&amp;"/ ","")&amp;IF(TRUNC(Basics!B59/StarDeg)=12,Basics!$A$59&amp;"/ ","")&amp;IF(TRUNC(Basics!B66/StarDeg)=12,Basics!$A$66&amp;"/ ","")&amp;IF(TRUNC(Basics!B61/StarDeg)=12,Basics!$A$61&amp;"/ ","")&amp;IF(TRUNC(Basics!B65/StarDeg)=12,Basics!$A$65&amp;"/ ","")&amp;IF(TRUNC(Basics!B62/StarDeg)=12,Basics!$A$62&amp;"/ ","")&amp;IF(TRUNC(Basics!B63/StarDeg)=12,Basics!$A$63&amp;"/ ","")&amp;IF(TRUNC(Basics!B64/StarDeg)=12,Basics!$A$64&amp;"/ ","")</f>
        <v/>
      </c>
      <c r="Q7" s="969" t="s">
        <v>1444</v>
      </c>
      <c r="R7" t="s">
        <v>4243</v>
      </c>
      <c r="X7">
        <v>4</v>
      </c>
    </row>
    <row r="8" spans="1:24" ht="50.25" customHeight="1">
      <c r="A8" s="955" t="str">
        <f>IF(TRUNC(Basics!B67/StarDeg)=24,Basics!$A$67&amp;"/ ","")&amp;IF(TRUNC(Basics!B60/StarDeg)=24,Basics!$A$60&amp;"/ ","")&amp;IF(TRUNC(Basics!B58/StarDeg)=24,Basics!$A$58&amp;"/ ","")&amp;IF(TRUNC(Basics!B59/StarDeg)=24,Basics!$A$59&amp;"/ ","")&amp;IF(TRUNC(Basics!B66/StarDeg)=24,Basics!$A$66&amp;"/ ","")&amp;IF(TRUNC(Basics!B61/StarDeg)=24,Basics!$A$61&amp;"/ ","")&amp;IF(TRUNC(Basics!B65/StarDeg)=24,Basics!$A$65&amp;"/ ","")&amp;IF(TRUNC(Basics!B62/StarDeg)=24,Basics!$A$62&amp;"/ ","")&amp;IF(TRUNC(Basics!B63/StarDeg)=24,Basics!$A$63&amp;"/ ","")&amp;IF(TRUNC(Basics!B64/StarDeg)=24,Basics!$A$64&amp;"/ ","")</f>
        <v/>
      </c>
      <c r="B8" s="1368"/>
      <c r="C8" s="951" t="s">
        <v>4244</v>
      </c>
      <c r="D8" s="950" t="s">
        <v>4245</v>
      </c>
      <c r="E8" s="961" t="s">
        <v>4246</v>
      </c>
      <c r="F8" s="950" t="s">
        <v>4247</v>
      </c>
      <c r="G8" s="951" t="s">
        <v>4248</v>
      </c>
      <c r="H8" s="950" t="s">
        <v>4249</v>
      </c>
      <c r="I8" s="961" t="s">
        <v>4088</v>
      </c>
      <c r="J8" s="950" t="s">
        <v>4250</v>
      </c>
      <c r="K8" s="957" t="s">
        <v>649</v>
      </c>
      <c r="L8" s="1369"/>
      <c r="M8" s="954" t="str">
        <f>IF(TRUNC(Basics!B67/StarDeg)=13,Basics!$A$67&amp;"/ ","")&amp;IF(TRUNC(Basics!B60/StarDeg)=13,Basics!$A$60&amp;"/ ","")&amp;IF(TRUNC(Basics!B58/StarDeg)=13,Basics!$A$58&amp;"/ ","")&amp;IF(TRUNC(Basics!B59/StarDeg)=13,Basics!$A$59&amp;"/ ","")&amp;IF(TRUNC(Basics!B66/StarDeg)=13,Basics!$A$66&amp;"/ ","")&amp;IF(TRUNC(Basics!B61/StarDeg)=13,Basics!$A$61&amp;"/ ","")&amp;IF(TRUNC(Basics!B65/StarDeg)=13,Basics!$A$65&amp;"/ ","")&amp;IF(TRUNC(Basics!B62/StarDeg)=13,Basics!$A$62&amp;"/ ","")&amp;IF(TRUNC(Basics!B63/StarDeg)=13,Basics!$A$63&amp;"/ ","")&amp;IF(TRUNC(Basics!B64/StarDeg)=13,Basics!$A$64&amp;"/ ","")</f>
        <v/>
      </c>
      <c r="Q8" s="970" t="s">
        <v>1472</v>
      </c>
      <c r="R8" t="s">
        <v>4251</v>
      </c>
      <c r="X8">
        <v>4</v>
      </c>
    </row>
    <row r="9" spans="1:24" ht="50.25" customHeight="1">
      <c r="A9" s="971" t="str">
        <f>IF(TRUNC(Basics!B67/StarDeg)=23,Basics!$A$67&amp;"/ ","")&amp;IF(TRUNC(Basics!B60/StarDeg)=23,Basics!$A$60&amp;"/ ","")&amp;IF(TRUNC(Basics!B58/StarDeg)=23,Basics!$A$58&amp;"/ ","")&amp;IF(TRUNC(Basics!B59/StarDeg)=23,Basics!$A$59&amp;"/ ","")&amp;IF(TRUNC(Basics!B66/StarDeg)=23,Basics!$A$66&amp;"/ ","")&amp;IF(TRUNC(Basics!B61/StarDeg)=23,Basics!$A$61&amp;"/ ","")&amp;IF(TRUNC(Basics!B65/StarDeg)=23,Basics!$A$65&amp;"/ ","")&amp;IF(TRUNC(Basics!B62/StarDeg)=23,Basics!$A$62&amp;"/ ","")&amp;IF(TRUNC(Basics!B63/StarDeg)=23,Basics!$A$63&amp;"/ ","")&amp;IF(TRUNC(Basics!B64/StarDeg)=23,Basics!$A$64&amp;"/ ","")</f>
        <v/>
      </c>
      <c r="B9" s="1368"/>
      <c r="C9" s="952" t="s">
        <v>4252</v>
      </c>
      <c r="D9" s="956" t="s">
        <v>4253</v>
      </c>
      <c r="E9" s="950" t="s">
        <v>4254</v>
      </c>
      <c r="F9" s="961" t="s">
        <v>4255</v>
      </c>
      <c r="G9" s="962" t="s">
        <v>4256</v>
      </c>
      <c r="H9" s="961" t="s">
        <v>4257</v>
      </c>
      <c r="I9" s="950" t="s">
        <v>4258</v>
      </c>
      <c r="J9" s="956" t="s">
        <v>4259</v>
      </c>
      <c r="K9" s="963" t="s">
        <v>592</v>
      </c>
      <c r="L9" s="1369"/>
      <c r="M9" s="972" t="str">
        <f>IF(TRUNC(Basics!B67/StarDeg)=14,Basics!$A$67&amp;"/ ","")&amp;IF(TRUNC(Basics!B60/StarDeg)=14,Basics!$A$60&amp;"/ ","")&amp;IF(TRUNC(Basics!B58/StarDeg)=14,Basics!$A$58&amp;"/ ","")&amp;IF(TRUNC(Basics!B59/StarDeg)=14,Basics!$A$59&amp;"/ ","")&amp;IF(TRUNC(Basics!B66/StarDeg)=14,Basics!$A$66&amp;"/ ","")&amp;IF(TRUNC(Basics!B61/StarDeg)=14,Basics!$A$61&amp;"/ ","")&amp;IF(TRUNC(Basics!B65/StarDeg)=14,Basics!$A$65&amp;"/ ","")&amp;IF(TRUNC(Basics!B62/StarDeg)=14,Basics!$A$62&amp;"/ ","")&amp;IF(TRUNC(Basics!B63/StarDeg)=14,Basics!$A$63&amp;"/ ","")&amp;IF(TRUNC(Basics!B64/StarDeg)=14,Basics!$A$64&amp;"/ ","")</f>
        <v/>
      </c>
      <c r="Q9" s="973" t="s">
        <v>1498</v>
      </c>
      <c r="R9" t="s">
        <v>4260</v>
      </c>
      <c r="X9">
        <v>4</v>
      </c>
    </row>
    <row r="10" spans="1:24" ht="50.25" customHeight="1">
      <c r="A10" s="971" t="str">
        <f>IF(TRUNC(Basics!B67/StarDeg)=22,Basics!$A$67&amp;"/ ","")&amp;IF(TRUNC(Basics!B60/StarDeg)=22,Basics!$A$60&amp;"/ ","")&amp;IF(TRUNC(Basics!B58/StarDeg)=22,Basics!$A$58&amp;"/ ","")&amp;IF(TRUNC(Basics!B59/StarDeg)=22,Basics!$A$59&amp;"/ ","")&amp;IF(TRUNC(Basics!B66/StarDeg)=22,Basics!$A$66&amp;"/ ","")&amp;IF(TRUNC(Basics!B61/StarDeg)=22,Basics!$A$61&amp;"/ ","")&amp;IF(TRUNC(Basics!B65/StarDeg)=22,Basics!$A$65&amp;"/ ","")&amp;IF(TRUNC(Basics!B62/StarDeg)=22,Basics!$A$62&amp;"/ ","")&amp;IF(TRUNC(Basics!B63/StarDeg)=22,Basics!$A$63&amp;"/ ","")&amp;IF(TRUNC(Basics!B64/StarDeg)=22,Basics!$A$64&amp;"/ ","")</f>
        <v xml:space="preserve">Mars/ </v>
      </c>
      <c r="B10" s="1368"/>
      <c r="C10" s="951" t="s">
        <v>4261</v>
      </c>
      <c r="D10" s="950" t="s">
        <v>4262</v>
      </c>
      <c r="E10" s="956" t="s">
        <v>4263</v>
      </c>
      <c r="F10" s="950" t="s">
        <v>4264</v>
      </c>
      <c r="G10" s="956" t="s">
        <v>4265</v>
      </c>
      <c r="H10" s="950" t="s">
        <v>4266</v>
      </c>
      <c r="I10" s="956" t="s">
        <v>4267</v>
      </c>
      <c r="J10" s="950" t="s">
        <v>4268</v>
      </c>
      <c r="K10" s="957" t="s">
        <v>4269</v>
      </c>
      <c r="L10" s="1369"/>
      <c r="M10" s="974" t="str">
        <f>IF(TRUNC(Basics!B67/StarDeg)=15,Basics!$A$67&amp;"/ ","")&amp;IF(TRUNC(Basics!B60/StarDeg)=15,Basics!$A$60&amp;"/ ","")&amp;IF(TRUNC(Basics!B58/StarDeg)=15,Basics!$A$58&amp;"/ ","")&amp;IF(TRUNC(Basics!B59/StarDeg)=15,Basics!$A$59&amp;"/ ","")&amp;IF(TRUNC(Basics!B66/StarDeg)=15,Basics!$A$66&amp;"/ ","")&amp;IF(TRUNC(Basics!B61/StarDeg)=15,Basics!$A$61&amp;"/ ","")&amp;IF(TRUNC(Basics!B65/StarDeg)=15,Basics!$A$65&amp;"/ ","")&amp;IF(TRUNC(Basics!B62/StarDeg)=15,Basics!$A$62&amp;"/ ","")&amp;IF(TRUNC(Basics!B63/StarDeg)=15,Basics!$A$63&amp;"/ ","")&amp;IF(TRUNC(Basics!B64/StarDeg)=15,Basics!$A$64&amp;"/ ","")</f>
        <v xml:space="preserve">Jupiter/ </v>
      </c>
      <c r="Q10" s="975" t="s">
        <v>1519</v>
      </c>
      <c r="R10" t="s">
        <v>4270</v>
      </c>
      <c r="X10">
        <v>5</v>
      </c>
    </row>
    <row r="11" spans="1:24" ht="50.25" customHeight="1">
      <c r="A11" s="949"/>
      <c r="B11" s="1368"/>
      <c r="C11" s="950" t="s">
        <v>4271</v>
      </c>
      <c r="D11" s="951" t="s">
        <v>2771</v>
      </c>
      <c r="E11" s="952" t="s">
        <v>655</v>
      </c>
      <c r="F11" s="951" t="s">
        <v>4272</v>
      </c>
      <c r="G11" s="952" t="s">
        <v>4273</v>
      </c>
      <c r="H11" s="951" t="s">
        <v>652</v>
      </c>
      <c r="I11" s="952" t="s">
        <v>860</v>
      </c>
      <c r="J11" s="951" t="s">
        <v>581</v>
      </c>
      <c r="K11" s="953" t="s">
        <v>4274</v>
      </c>
      <c r="L11" s="1369"/>
      <c r="M11" s="954"/>
      <c r="P11" s="68"/>
    </row>
    <row r="12" spans="1:24">
      <c r="A12" s="46"/>
      <c r="B12" s="46"/>
      <c r="C12" s="9" t="s">
        <v>4275</v>
      </c>
      <c r="D12" s="9"/>
      <c r="E12" s="9"/>
      <c r="F12" s="9"/>
      <c r="G12" s="9"/>
      <c r="H12" s="9"/>
      <c r="I12" s="9"/>
      <c r="J12" s="9"/>
      <c r="K12" s="46"/>
      <c r="L12" s="46"/>
      <c r="M12" s="46"/>
    </row>
    <row r="13" spans="1:24" ht="48.95" customHeight="1">
      <c r="A13" s="976"/>
      <c r="B13" s="976"/>
      <c r="C13" s="977"/>
      <c r="D13" s="978" t="str">
        <f>IF(TRUNC(Basics!B67/StarDeg)=21,Basics!$A$67&amp;"/ ","")&amp;IF(TRUNC(Basics!B60/StarDeg)=21,Basics!$A$60&amp;"/ ","")&amp;IF(TRUNC(Basics!B58/StarDeg)=21,Basics!$A$58&amp;"/ ","")&amp;IF(TRUNC(Basics!B59/StarDeg)=21,Basics!$A$59&amp;"/ ","")&amp;IF(TRUNC(Basics!B66/StarDeg)=21,Basics!$A$66&amp;"/ ","")&amp;IF(TRUNC(Basics!B61/StarDeg)=21,Basics!$A$61&amp;"/ ","")&amp;IF(TRUNC(Basics!B65/StarDeg)=21,Basics!$A$65&amp;"/ ","")&amp;IF(TRUNC(Basics!B62/StarDeg)=21,Basics!$A$62&amp;"/ ","")&amp;IF(TRUNC(Basics!B63/StarDeg)=21,Basics!$A$63&amp;"/ ","")&amp;IF(TRUNC(Basics!B64/StarDeg)=21,Basics!$A$64&amp;"/ ","")</f>
        <v xml:space="preserve">Rahu/ </v>
      </c>
      <c r="E13" s="979"/>
      <c r="F13" s="980" t="str">
        <f>IF(TRUNC(Basics!B67/StarDeg)=20,Basics!$A$67&amp;"/ ","")&amp;IF(TRUNC(Basics!B60/StarDeg)=20,Basics!$A$60&amp;"/ ","")&amp;IF(TRUNC(Basics!B58/StarDeg)=20,Basics!$A$58&amp;"/ ","")&amp;IF(TRUNC(Basics!B59/StarDeg)=20,Basics!$A$59&amp;"/ ","")&amp;IF(TRUNC(Basics!B66/StarDeg)=20,Basics!$A$66&amp;"/ ","")&amp;IF(TRUNC(Basics!B61/StarDeg)=20,Basics!$A$61&amp;"/ ","")&amp;IF(TRUNC(Basics!B65/StarDeg)=20,Basics!$A$65&amp;"/ ","")&amp;IF(TRUNC(Basics!B62/StarDeg)=20,Basics!$A$62&amp;"/ ","")&amp;IF(TRUNC(Basics!B63/StarDeg)=20,Basics!$A$63&amp;"/ ","")&amp;IF(TRUNC(Basics!B64/StarDeg)=20,Basics!$A$64&amp;"/ ","")</f>
        <v/>
      </c>
      <c r="G13" s="981" t="str">
        <f>IF(TRUNC(Basics!B67/StarDeg)=19,Basics!$A$67&amp;"/ ","")&amp;IF(TRUNC(Basics!B60/StarDeg)=19,Basics!$A$60&amp;"/ ","")&amp;IF(TRUNC(Basics!B58/StarDeg)=19,Basics!$A$58&amp;"/ ","")&amp;IF(TRUNC(Basics!B59/StarDeg)=19,Basics!$A$59&amp;"/ ","")&amp;IF(TRUNC(Basics!B66/StarDeg)=19,Basics!$A$66&amp;"/ ","")&amp;IF(TRUNC(Basics!B61/StarDeg)=19,Basics!$A$61&amp;"/ ","")&amp;IF(TRUNC(Basics!B65/StarDeg)=19,Basics!$A$65&amp;"/ ","")&amp;IF(TRUNC(Basics!B62/StarDeg)=19,Basics!$A$62&amp;"/ ","")&amp;IF(TRUNC(Basics!B63/StarDeg)=19,Basics!$A$63&amp;"/ ","")&amp;IF(TRUNC(Basics!B64/StarDeg)=19,Basics!$A$64&amp;"/ ","")</f>
        <v/>
      </c>
      <c r="H13" s="982" t="str">
        <f>IF(TRUNC(Basics!B67/StarDeg)=18,Basics!$A$67&amp;"/ ","")&amp;IF(TRUNC(Basics!B60/StarDeg)=18,Basics!$A$60&amp;"/ ","")&amp;IF(TRUNC(Basics!B58/StarDeg)=18,Basics!$A$58&amp;"/ ","")&amp;IF(TRUNC(Basics!B59/StarDeg)=18,Basics!$A$59&amp;"/ ","")&amp;IF(TRUNC(Basics!B66/StarDeg)=18,Basics!$A$66&amp;"/ ","")&amp;IF(TRUNC(Basics!B61/StarDeg)=18,Basics!$A$61&amp;"/ ","")&amp;IF(TRUNC(Basics!B65/StarDeg)=18,Basics!$A$65&amp;"/ ","")&amp;IF(TRUNC(Basics!B62/StarDeg)=18,Basics!$A$62&amp;"/ ","")&amp;IF(TRUNC(Basics!B63/StarDeg)=18,Basics!$A$63&amp;"/ ","")&amp;IF(TRUNC(Basics!B64/StarDeg)=18,Basics!$A$64&amp;"/ ","")</f>
        <v/>
      </c>
      <c r="I13" s="982" t="str">
        <f>IF(TRUNC(Basics!B67/StarDeg)=17,Basics!$A$67&amp;"/ ","")&amp;IF(TRUNC(Basics!B60/StarDeg)=17,Basics!$A$60&amp;"/ ","")&amp;IF(TRUNC(Basics!B58/StarDeg)=17,Basics!$A$58&amp;"/ ","")&amp;IF(TRUNC(Basics!B59/StarDeg)=17,Basics!$A$59&amp;"/ ","")&amp;IF(TRUNC(Basics!B66/StarDeg)=17,Basics!$A$66&amp;"/ ","")&amp;IF(TRUNC(Basics!B61/StarDeg)=17,Basics!$A$61&amp;"/ ","")&amp;IF(TRUNC(Basics!B65/StarDeg)=17,Basics!$A$65&amp;"/ ","")&amp;IF(TRUNC(Basics!B62/StarDeg)=17,Basics!$A$62&amp;"/ ","")&amp;IF(TRUNC(Basics!B63/StarDeg)=17,Basics!$A$63&amp;"/ ","")&amp;IF(TRUNC(Basics!B64/StarDeg)=17,Basics!$A$64&amp;"/ ","")</f>
        <v/>
      </c>
      <c r="J13" s="977" t="str">
        <f>IF(TRUNC(Basics!B67/StarDeg)=16,Basics!$A$67&amp;"/ ","")&amp;IF(TRUNC(Basics!B60/StarDeg)=16,Basics!$A$60&amp;"/ ","")&amp;IF(TRUNC(Basics!B58/StarDeg)=16,Basics!$A$58&amp;"/ ","")&amp;IF(TRUNC(Basics!B59/StarDeg)=16,Basics!$A$59&amp;"/ ","")&amp;IF(TRUNC(Basics!B66/StarDeg)=16,Basics!$A$66&amp;"/ ","")&amp;IF(TRUNC(Basics!B61/StarDeg)=16,Basics!$A$61&amp;"/ ","")&amp;IF(TRUNC(Basics!B65/StarDeg)=16,Basics!$A$65&amp;"/ ","")&amp;IF(TRUNC(Basics!B62/StarDeg)=16,Basics!$A$62&amp;"/ ","")&amp;IF(TRUNC(Basics!B63/StarDeg)=16,Basics!$A$63&amp;"/ ","")&amp;IF(TRUNC(Basics!B64/StarDeg)=16,Basics!$A$64&amp;"/ ","")</f>
        <v/>
      </c>
      <c r="K13" s="983"/>
      <c r="L13" s="46"/>
      <c r="M13" s="954"/>
    </row>
    <row r="14" spans="1:24">
      <c r="A14" s="185" t="s">
        <v>4276</v>
      </c>
      <c r="B14" s="185"/>
      <c r="L14" s="984"/>
    </row>
  </sheetData>
  <mergeCells count="4">
    <mergeCell ref="C2:K2"/>
    <mergeCell ref="B3:B11"/>
    <mergeCell ref="L3:L11"/>
    <mergeCell ref="C12:J12"/>
  </mergeCells>
  <pageMargins left="0.7" right="0.7" top="0.75" bottom="0.75" header="0.511811023622047" footer="0.511811023622047"/>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61"/>
  <sheetViews>
    <sheetView zoomScaleNormal="100" workbookViewId="0">
      <pane xSplit="4" ySplit="13" topLeftCell="E14" activePane="bottomRight" state="frozen"/>
      <selection pane="topRight" activeCell="E1" sqref="E1"/>
      <selection pane="bottomLeft" activeCell="A14" sqref="A14"/>
      <selection pane="bottomRight" activeCell="G13" sqref="G13"/>
    </sheetView>
  </sheetViews>
  <sheetFormatPr defaultColWidth="8.5703125" defaultRowHeight="15"/>
  <cols>
    <col min="1" max="1" width="4.140625" customWidth="1"/>
    <col min="2" max="2" width="12.7109375" customWidth="1"/>
    <col min="3" max="3" width="23.7109375" customWidth="1"/>
    <col min="4" max="4" width="34.5703125" customWidth="1"/>
    <col min="5" max="5" width="29.28515625" customWidth="1"/>
    <col min="6" max="6" width="11.140625" style="30" customWidth="1"/>
    <col min="7" max="7" width="18.5703125" style="30" customWidth="1"/>
    <col min="8" max="8" width="9" style="267" customWidth="1"/>
    <col min="9" max="9" width="9.7109375" style="30" customWidth="1"/>
    <col min="10" max="10" width="10.42578125" style="247" customWidth="1"/>
    <col min="11" max="11" width="11.42578125" customWidth="1"/>
    <col min="12" max="12" width="17.85546875" customWidth="1"/>
  </cols>
  <sheetData>
    <row r="1" spans="1:13">
      <c r="A1" s="32" t="s">
        <v>243</v>
      </c>
      <c r="B1" s="32" t="s">
        <v>4277</v>
      </c>
      <c r="C1" s="32" t="s">
        <v>224</v>
      </c>
      <c r="D1" s="32" t="s">
        <v>4278</v>
      </c>
      <c r="E1" s="32" t="s">
        <v>2011</v>
      </c>
      <c r="F1" s="985" t="s">
        <v>4279</v>
      </c>
      <c r="G1" s="985" t="s">
        <v>4280</v>
      </c>
      <c r="H1" s="985" t="s">
        <v>4281</v>
      </c>
      <c r="I1" s="985" t="s">
        <v>4282</v>
      </c>
      <c r="J1" s="986" t="s">
        <v>173</v>
      </c>
      <c r="K1" s="32" t="s">
        <v>1280</v>
      </c>
      <c r="L1" s="32" t="s">
        <v>140</v>
      </c>
      <c r="M1" t="s">
        <v>4283</v>
      </c>
    </row>
    <row r="2" spans="1:13">
      <c r="B2" t="s">
        <v>4284</v>
      </c>
      <c r="D2" s="104" t="s">
        <v>158</v>
      </c>
      <c r="F2" s="37"/>
      <c r="G2" s="37"/>
      <c r="H2" s="987">
        <f t="shared" ref="H2:H13" ca="1" si="0">INDIRECT(D2)</f>
        <v>92.399202777777774</v>
      </c>
      <c r="I2" s="37">
        <f t="shared" ref="I2:I33" ca="1" si="1">MOD(H2+360,360)</f>
        <v>92.399202777777759</v>
      </c>
      <c r="J2" s="988" t="str">
        <f t="shared" ref="J2:J33" ca="1" si="2">INDEX(RasiDeg,ROUNDUP(I2/30,0),1)</f>
        <v>Cn</v>
      </c>
      <c r="K2" s="989">
        <f t="shared" ref="K2:K33" ca="1" si="3">MOD(I2,30)*0.042</f>
        <v>0.1007665166666659</v>
      </c>
      <c r="L2" s="38" t="str">
        <f t="shared" ref="L2:L33" ca="1" si="4">INDEX(NakshatraTbl,INT(I2*0.075)+1,1)</f>
        <v>Punarvasu</v>
      </c>
    </row>
    <row r="3" spans="1:13">
      <c r="B3" t="s">
        <v>4125</v>
      </c>
      <c r="D3" s="104" t="s">
        <v>161</v>
      </c>
      <c r="F3" s="37"/>
      <c r="G3" s="37"/>
      <c r="H3" s="987">
        <f t="shared" ca="1" si="0"/>
        <v>117.12978611111112</v>
      </c>
      <c r="I3" s="37">
        <f t="shared" ca="1" si="1"/>
        <v>117.12978611111112</v>
      </c>
      <c r="J3" s="988" t="str">
        <f t="shared" ca="1" si="2"/>
        <v>Cn</v>
      </c>
      <c r="K3" s="989">
        <f t="shared" ca="1" si="3"/>
        <v>1.1394510166666669</v>
      </c>
      <c r="L3" s="38" t="str">
        <f t="shared" ca="1" si="4"/>
        <v>Ashlesha</v>
      </c>
    </row>
    <row r="4" spans="1:13">
      <c r="B4" t="s">
        <v>4126</v>
      </c>
      <c r="D4" s="104" t="s">
        <v>163</v>
      </c>
      <c r="F4" s="37"/>
      <c r="G4" s="37"/>
      <c r="H4" s="987">
        <f t="shared" ca="1" si="0"/>
        <v>81.540602777777778</v>
      </c>
      <c r="I4" s="37">
        <f t="shared" ca="1" si="1"/>
        <v>81.540602777777792</v>
      </c>
      <c r="J4" s="988" t="str">
        <f t="shared" ca="1" si="2"/>
        <v>Ge</v>
      </c>
      <c r="K4" s="989">
        <f t="shared" ca="1" si="3"/>
        <v>0.90470531666666731</v>
      </c>
      <c r="L4" s="38" t="str">
        <f t="shared" ca="1" si="4"/>
        <v>Punarvasu</v>
      </c>
    </row>
    <row r="5" spans="1:13">
      <c r="B5" t="s">
        <v>4127</v>
      </c>
      <c r="D5" s="104" t="s">
        <v>166</v>
      </c>
      <c r="F5" s="37"/>
      <c r="G5" s="37"/>
      <c r="H5" s="987">
        <f t="shared" ca="1" si="0"/>
        <v>111.96723888888889</v>
      </c>
      <c r="I5" s="37">
        <f t="shared" ca="1" si="1"/>
        <v>111.96723888888891</v>
      </c>
      <c r="J5" s="988" t="str">
        <f t="shared" ca="1" si="2"/>
        <v>Cn</v>
      </c>
      <c r="K5" s="989">
        <f t="shared" ca="1" si="3"/>
        <v>0.92262403333333443</v>
      </c>
      <c r="L5" s="38" t="str">
        <f t="shared" ca="1" si="4"/>
        <v>Ashlesha</v>
      </c>
    </row>
    <row r="6" spans="1:13">
      <c r="B6" t="s">
        <v>4128</v>
      </c>
      <c r="D6" s="104" t="s">
        <v>162</v>
      </c>
      <c r="F6" s="37"/>
      <c r="G6" s="37"/>
      <c r="H6" s="987">
        <f t="shared" ca="1" si="0"/>
        <v>213.19717499999999</v>
      </c>
      <c r="I6" s="37">
        <f t="shared" ca="1" si="1"/>
        <v>213.19717500000002</v>
      </c>
      <c r="J6" s="988" t="str">
        <f t="shared" ca="1" si="2"/>
        <v>Sc</v>
      </c>
      <c r="K6" s="989">
        <f t="shared" ca="1" si="3"/>
        <v>0.13428135000000066</v>
      </c>
      <c r="L6" s="38" t="str">
        <f t="shared" ca="1" si="4"/>
        <v>Vishakha</v>
      </c>
    </row>
    <row r="7" spans="1:13">
      <c r="B7" t="s">
        <v>4129</v>
      </c>
      <c r="D7" s="104" t="s">
        <v>164</v>
      </c>
      <c r="F7" s="37"/>
      <c r="G7" s="37"/>
      <c r="H7" s="987">
        <f t="shared" ca="1" si="0"/>
        <v>39.885211111111111</v>
      </c>
      <c r="I7" s="37">
        <f t="shared" ca="1" si="1"/>
        <v>39.885211111111118</v>
      </c>
      <c r="J7" s="988" t="str">
        <f t="shared" ca="1" si="2"/>
        <v>Ta</v>
      </c>
      <c r="K7" s="989">
        <f t="shared" ca="1" si="3"/>
        <v>0.41517886666666698</v>
      </c>
      <c r="L7" s="38" t="str">
        <f t="shared" ca="1" si="4"/>
        <v>Kritika</v>
      </c>
    </row>
    <row r="8" spans="1:13">
      <c r="B8" t="s">
        <v>4130</v>
      </c>
      <c r="D8" s="104" t="s">
        <v>164</v>
      </c>
      <c r="F8" s="37"/>
      <c r="G8" s="37"/>
      <c r="H8" s="987">
        <f t="shared" ca="1" si="0"/>
        <v>39.885211111111111</v>
      </c>
      <c r="I8" s="37">
        <f t="shared" ca="1" si="1"/>
        <v>39.885211111111118</v>
      </c>
      <c r="J8" s="988" t="str">
        <f t="shared" ca="1" si="2"/>
        <v>Ta</v>
      </c>
      <c r="K8" s="989">
        <f t="shared" ca="1" si="3"/>
        <v>0.41517886666666698</v>
      </c>
      <c r="L8" s="38" t="str">
        <f t="shared" ca="1" si="4"/>
        <v>Kritika</v>
      </c>
    </row>
    <row r="9" spans="1:13">
      <c r="B9" t="s">
        <v>4131</v>
      </c>
      <c r="D9" s="104" t="s">
        <v>162</v>
      </c>
      <c r="F9" s="37"/>
      <c r="G9" s="37"/>
      <c r="H9" s="987">
        <f t="shared" ca="1" si="0"/>
        <v>213.19717499999999</v>
      </c>
      <c r="I9" s="37">
        <f t="shared" ca="1" si="1"/>
        <v>213.19717500000002</v>
      </c>
      <c r="J9" s="988" t="str">
        <f t="shared" ca="1" si="2"/>
        <v>Sc</v>
      </c>
      <c r="K9" s="989">
        <f t="shared" ca="1" si="3"/>
        <v>0.13428135000000066</v>
      </c>
      <c r="L9" s="38" t="str">
        <f t="shared" ca="1" si="4"/>
        <v>Vishakha</v>
      </c>
    </row>
    <row r="10" spans="1:13">
      <c r="B10" t="s">
        <v>4132</v>
      </c>
      <c r="D10" s="104" t="s">
        <v>160</v>
      </c>
      <c r="F10" s="37"/>
      <c r="G10" s="37"/>
      <c r="H10" s="987">
        <f t="shared" ca="1" si="0"/>
        <v>298.10866388888888</v>
      </c>
      <c r="I10" s="37">
        <f t="shared" ca="1" si="1"/>
        <v>298.10866388888894</v>
      </c>
      <c r="J10" s="988" t="str">
        <f t="shared" ca="1" si="2"/>
        <v>Cp</v>
      </c>
      <c r="K10" s="989">
        <f t="shared" ca="1" si="3"/>
        <v>1.1805638833333356</v>
      </c>
      <c r="L10" s="38" t="str">
        <f t="shared" ca="1" si="4"/>
        <v>Shravan</v>
      </c>
    </row>
    <row r="11" spans="1:13">
      <c r="B11" t="s">
        <v>4133</v>
      </c>
      <c r="D11" s="104" t="s">
        <v>163</v>
      </c>
      <c r="F11" s="37"/>
      <c r="G11" s="37"/>
      <c r="H11" s="987">
        <f t="shared" ca="1" si="0"/>
        <v>81.540602777777778</v>
      </c>
      <c r="I11" s="37">
        <f t="shared" ca="1" si="1"/>
        <v>81.540602777777792</v>
      </c>
      <c r="J11" s="988" t="str">
        <f t="shared" ca="1" si="2"/>
        <v>Ge</v>
      </c>
      <c r="K11" s="989">
        <f t="shared" ca="1" si="3"/>
        <v>0.90470531666666731</v>
      </c>
      <c r="L11" s="38" t="str">
        <f t="shared" ca="1" si="4"/>
        <v>Punarvasu</v>
      </c>
    </row>
    <row r="12" spans="1:13">
      <c r="B12" t="s">
        <v>4134</v>
      </c>
      <c r="D12" s="104" t="s">
        <v>161</v>
      </c>
      <c r="F12" s="37"/>
      <c r="G12" s="37"/>
      <c r="H12" s="987">
        <f t="shared" ca="1" si="0"/>
        <v>117.12978611111112</v>
      </c>
      <c r="I12" s="37">
        <f t="shared" ca="1" si="1"/>
        <v>117.12978611111112</v>
      </c>
      <c r="J12" s="988" t="str">
        <f t="shared" ca="1" si="2"/>
        <v>Cn</v>
      </c>
      <c r="K12" s="989">
        <f t="shared" ca="1" si="3"/>
        <v>1.1394510166666669</v>
      </c>
      <c r="L12" s="38" t="str">
        <f t="shared" ca="1" si="4"/>
        <v>Ashlesha</v>
      </c>
    </row>
    <row r="13" spans="1:13">
      <c r="B13" t="s">
        <v>4135</v>
      </c>
      <c r="D13" s="104" t="s">
        <v>159</v>
      </c>
      <c r="F13" s="37"/>
      <c r="G13" s="37"/>
      <c r="H13" s="987">
        <f t="shared" ca="1" si="0"/>
        <v>53.015944444444443</v>
      </c>
      <c r="I13" s="37">
        <f t="shared" ca="1" si="1"/>
        <v>53.015944444444472</v>
      </c>
      <c r="J13" s="988" t="str">
        <f t="shared" ca="1" si="2"/>
        <v>Ta</v>
      </c>
      <c r="K13" s="989">
        <f t="shared" ca="1" si="3"/>
        <v>0.96666966666666787</v>
      </c>
      <c r="L13" s="38" t="str">
        <f t="shared" ca="1" si="4"/>
        <v>Rohini</v>
      </c>
    </row>
    <row r="14" spans="1:13">
      <c r="A14" t="s">
        <v>4285</v>
      </c>
      <c r="B14" t="s">
        <v>4286</v>
      </c>
      <c r="C14" t="s">
        <v>4287</v>
      </c>
      <c r="D14" t="s">
        <v>4288</v>
      </c>
      <c r="E14" t="s">
        <v>4289</v>
      </c>
      <c r="F14" s="37">
        <f>Moon-Sun</f>
        <v>-39.38325833333333</v>
      </c>
      <c r="G14" s="987">
        <f t="shared" ref="G14:G50" si="5">IF(NOT(DayBirth),F14+Lagna,-F14+Lagna)</f>
        <v>176.09477499999997</v>
      </c>
      <c r="H14" s="987">
        <f t="shared" ref="H14:H21" si="6">IF(DayBirth,F14+Lagna,-F14+Lagna)</f>
        <v>97.328258333333324</v>
      </c>
      <c r="I14" s="37">
        <f t="shared" si="1"/>
        <v>97.328258333333338</v>
      </c>
      <c r="J14" s="988" t="str">
        <f t="shared" si="2"/>
        <v>Cn</v>
      </c>
      <c r="K14" s="989">
        <f t="shared" si="3"/>
        <v>0.30778685000000022</v>
      </c>
      <c r="L14" s="38" t="str">
        <f t="shared" si="4"/>
        <v>Pushya</v>
      </c>
    </row>
    <row r="15" spans="1:13">
      <c r="A15" t="s">
        <v>4290</v>
      </c>
      <c r="B15" t="s">
        <v>4291</v>
      </c>
      <c r="C15" t="s">
        <v>4292</v>
      </c>
      <c r="D15" t="s">
        <v>4293</v>
      </c>
      <c r="E15" t="s">
        <v>4289</v>
      </c>
      <c r="F15" s="37">
        <f>Sun-Moon</f>
        <v>39.38325833333333</v>
      </c>
      <c r="G15" s="987">
        <f t="shared" si="5"/>
        <v>97.328258333333324</v>
      </c>
      <c r="H15" s="987">
        <f t="shared" si="6"/>
        <v>176.09477499999997</v>
      </c>
      <c r="I15" s="37">
        <f t="shared" si="1"/>
        <v>176.09477500000003</v>
      </c>
      <c r="J15" s="988" t="str">
        <f t="shared" si="2"/>
        <v>Vi</v>
      </c>
      <c r="K15" s="989">
        <f t="shared" si="3"/>
        <v>1.0959805500000013</v>
      </c>
      <c r="L15" s="38" t="str">
        <f t="shared" si="4"/>
        <v>Chitra</v>
      </c>
    </row>
    <row r="16" spans="1:13">
      <c r="A16">
        <v>3</v>
      </c>
      <c r="B16" t="s">
        <v>4294</v>
      </c>
      <c r="C16" t="s">
        <v>4295</v>
      </c>
      <c r="D16" t="s">
        <v>4296</v>
      </c>
      <c r="F16" s="37">
        <f>Jupiter-PunyaSaham</f>
        <v>115.86891666666665</v>
      </c>
      <c r="G16" s="987">
        <f t="shared" si="5"/>
        <v>20.842600000000004</v>
      </c>
      <c r="H16" s="987">
        <f t="shared" si="6"/>
        <v>252.5804333333333</v>
      </c>
      <c r="I16" s="37">
        <f t="shared" si="1"/>
        <v>252.5804333333333</v>
      </c>
      <c r="J16" s="988" t="str">
        <f t="shared" si="2"/>
        <v>Sg</v>
      </c>
      <c r="K16" s="989">
        <f t="shared" si="3"/>
        <v>0.5283781999999988</v>
      </c>
      <c r="L16" s="38" t="str">
        <f t="shared" si="4"/>
        <v>Mula</v>
      </c>
    </row>
    <row r="17" spans="1:12">
      <c r="A17">
        <v>4</v>
      </c>
      <c r="B17" t="s">
        <v>282</v>
      </c>
      <c r="C17" t="s">
        <v>4297</v>
      </c>
      <c r="D17" t="s">
        <v>4298</v>
      </c>
      <c r="F17" s="37">
        <v>0</v>
      </c>
      <c r="G17" s="987">
        <f t="shared" si="5"/>
        <v>136.71151666666665</v>
      </c>
      <c r="H17" s="987">
        <f t="shared" si="6"/>
        <v>136.71151666666665</v>
      </c>
      <c r="I17" s="37">
        <f t="shared" si="1"/>
        <v>136.71151666666663</v>
      </c>
      <c r="J17" s="988" t="str">
        <f t="shared" si="2"/>
        <v>Le</v>
      </c>
      <c r="K17" s="989">
        <f t="shared" si="3"/>
        <v>0.70188369999999833</v>
      </c>
      <c r="L17" s="38" t="str">
        <f t="shared" si="4"/>
        <v>Purva Phalguni</v>
      </c>
    </row>
    <row r="18" spans="1:12">
      <c r="A18">
        <v>5</v>
      </c>
      <c r="B18" t="s">
        <v>4299</v>
      </c>
      <c r="C18" t="s">
        <v>4300</v>
      </c>
      <c r="D18" t="s">
        <v>4301</v>
      </c>
      <c r="F18" s="37">
        <v>0</v>
      </c>
      <c r="G18" s="987">
        <f t="shared" si="5"/>
        <v>136.71151666666665</v>
      </c>
      <c r="H18" s="987">
        <f t="shared" si="6"/>
        <v>136.71151666666665</v>
      </c>
      <c r="I18" s="37">
        <f t="shared" si="1"/>
        <v>136.71151666666663</v>
      </c>
      <c r="J18" s="988" t="str">
        <f t="shared" si="2"/>
        <v>Le</v>
      </c>
      <c r="K18" s="989">
        <f t="shared" si="3"/>
        <v>0.70188369999999833</v>
      </c>
      <c r="L18" s="38" t="str">
        <f t="shared" si="4"/>
        <v>Purva Phalguni</v>
      </c>
    </row>
    <row r="19" spans="1:12">
      <c r="A19">
        <v>6</v>
      </c>
      <c r="B19" t="s">
        <v>4302</v>
      </c>
      <c r="C19" t="s">
        <v>4303</v>
      </c>
      <c r="D19" t="s">
        <v>4304</v>
      </c>
      <c r="F19" s="37">
        <f>Saturn-Mars</f>
        <v>-258.22345277777777</v>
      </c>
      <c r="G19" s="987">
        <f t="shared" si="5"/>
        <v>394.93496944444439</v>
      </c>
      <c r="H19" s="987">
        <f t="shared" si="6"/>
        <v>-121.51193611111111</v>
      </c>
      <c r="I19" s="37">
        <f t="shared" si="1"/>
        <v>238.48806388888889</v>
      </c>
      <c r="J19" s="988" t="str">
        <f t="shared" si="2"/>
        <v>Sc</v>
      </c>
      <c r="K19" s="989">
        <f t="shared" si="3"/>
        <v>1.1964986833333333</v>
      </c>
      <c r="L19" s="38" t="str">
        <f t="shared" si="4"/>
        <v>Jyeshtha</v>
      </c>
    </row>
    <row r="20" spans="1:12">
      <c r="A20">
        <v>7</v>
      </c>
      <c r="B20" t="s">
        <v>4305</v>
      </c>
      <c r="C20" t="s">
        <v>4306</v>
      </c>
      <c r="D20" t="s">
        <v>4307</v>
      </c>
      <c r="E20" t="s">
        <v>4308</v>
      </c>
      <c r="F20" s="37">
        <f ca="1">Mars-LagnaLordD</f>
        <v>205.70946111111112</v>
      </c>
      <c r="G20" s="987">
        <f t="shared" ca="1" si="5"/>
        <v>-68.997944444444471</v>
      </c>
      <c r="H20" s="987">
        <f t="shared" ca="1" si="6"/>
        <v>342.42097777777781</v>
      </c>
      <c r="I20" s="37">
        <f t="shared" ca="1" si="1"/>
        <v>342.42097777777781</v>
      </c>
      <c r="J20" s="988" t="str">
        <f t="shared" ca="1" si="2"/>
        <v>Pi</v>
      </c>
      <c r="K20" s="989">
        <f t="shared" ca="1" si="3"/>
        <v>0.52168106666666791</v>
      </c>
      <c r="L20" s="38" t="str">
        <f t="shared" ca="1" si="4"/>
        <v>Purva Bhadrapad</v>
      </c>
    </row>
    <row r="21" spans="1:12">
      <c r="A21">
        <v>8</v>
      </c>
      <c r="B21" t="s">
        <v>4309</v>
      </c>
      <c r="C21" t="s">
        <v>4310</v>
      </c>
      <c r="D21" t="s">
        <v>4311</v>
      </c>
      <c r="E21" t="s">
        <v>4312</v>
      </c>
      <c r="F21" s="37">
        <f>Jupiter-Saturn</f>
        <v>173.31196388888887</v>
      </c>
      <c r="G21" s="987">
        <f t="shared" si="5"/>
        <v>-36.600447222222215</v>
      </c>
      <c r="H21" s="987">
        <f t="shared" si="6"/>
        <v>310.02348055555552</v>
      </c>
      <c r="I21" s="37">
        <f t="shared" si="1"/>
        <v>310.02348055555558</v>
      </c>
      <c r="J21" s="988" t="str">
        <f t="shared" si="2"/>
        <v>Aq</v>
      </c>
      <c r="K21" s="989">
        <f t="shared" si="3"/>
        <v>0.42098618333333437</v>
      </c>
      <c r="L21" s="38" t="str">
        <f t="shared" si="4"/>
        <v>Dhanistha</v>
      </c>
    </row>
    <row r="22" spans="1:12">
      <c r="A22">
        <v>9</v>
      </c>
      <c r="B22" t="s">
        <v>4313</v>
      </c>
      <c r="C22" t="s">
        <v>4314</v>
      </c>
      <c r="D22" t="s">
        <v>4315</v>
      </c>
      <c r="F22" s="37">
        <f>Jupiter-Moon</f>
        <v>160.18123055555554</v>
      </c>
      <c r="G22" s="987">
        <f t="shared" si="5"/>
        <v>-23.46971388888889</v>
      </c>
      <c r="H22" s="987">
        <f>IF(DayBirth,F22+Sun,-F22+Sun)</f>
        <v>252.5804333333333</v>
      </c>
      <c r="I22" s="37">
        <f t="shared" si="1"/>
        <v>252.5804333333333</v>
      </c>
      <c r="J22" s="988" t="str">
        <f t="shared" si="2"/>
        <v>Sg</v>
      </c>
      <c r="K22" s="989">
        <f t="shared" si="3"/>
        <v>0.5283781999999988</v>
      </c>
      <c r="L22" s="38" t="str">
        <f t="shared" si="4"/>
        <v>Mula</v>
      </c>
    </row>
    <row r="23" spans="1:12">
      <c r="A23">
        <v>10</v>
      </c>
      <c r="B23" t="s">
        <v>4316</v>
      </c>
      <c r="C23" t="s">
        <v>4317</v>
      </c>
      <c r="D23" t="s">
        <v>4318</v>
      </c>
      <c r="F23" s="37">
        <f>Saturn-Sun</f>
        <v>-52.513991666666662</v>
      </c>
      <c r="G23" s="987">
        <f t="shared" si="5"/>
        <v>189.22550833333332</v>
      </c>
      <c r="H23" s="987">
        <f t="shared" ref="H23:H30" si="7">IF(DayBirth,F23+Lagna,-F23+Lagna)</f>
        <v>84.197524999999985</v>
      </c>
      <c r="I23" s="37">
        <f t="shared" si="1"/>
        <v>84.197524999999985</v>
      </c>
      <c r="J23" s="988" t="str">
        <f t="shared" si="2"/>
        <v>Ge</v>
      </c>
      <c r="K23" s="989">
        <f t="shared" si="3"/>
        <v>1.0162960499999993</v>
      </c>
      <c r="L23" s="38" t="str">
        <f t="shared" si="4"/>
        <v>Punarvasu</v>
      </c>
    </row>
    <row r="24" spans="1:12">
      <c r="A24">
        <v>11</v>
      </c>
      <c r="B24" t="s">
        <v>4319</v>
      </c>
      <c r="C24" t="s">
        <v>4320</v>
      </c>
      <c r="D24" t="s">
        <v>4318</v>
      </c>
      <c r="F24" s="37">
        <f>Saturn-Sun</f>
        <v>-52.513991666666662</v>
      </c>
      <c r="G24" s="987">
        <f t="shared" si="5"/>
        <v>189.22550833333332</v>
      </c>
      <c r="H24" s="987">
        <f t="shared" si="7"/>
        <v>84.197524999999985</v>
      </c>
      <c r="I24" s="37">
        <f t="shared" si="1"/>
        <v>84.197524999999985</v>
      </c>
      <c r="J24" s="988" t="str">
        <f t="shared" si="2"/>
        <v>Ge</v>
      </c>
      <c r="K24" s="989">
        <f t="shared" si="3"/>
        <v>1.0162960499999993</v>
      </c>
      <c r="L24" s="38" t="str">
        <f t="shared" si="4"/>
        <v>Punarvasu</v>
      </c>
    </row>
    <row r="25" spans="1:12">
      <c r="A25">
        <v>12</v>
      </c>
      <c r="B25" t="s">
        <v>4321</v>
      </c>
      <c r="C25" t="s">
        <v>4322</v>
      </c>
      <c r="D25" t="s">
        <v>4323</v>
      </c>
      <c r="F25" s="37">
        <f>Moon-Venus</f>
        <v>-28.524658333333335</v>
      </c>
      <c r="G25" s="987">
        <f t="shared" si="5"/>
        <v>165.236175</v>
      </c>
      <c r="H25" s="987">
        <f t="shared" si="7"/>
        <v>108.18685833333332</v>
      </c>
      <c r="I25" s="37">
        <f t="shared" si="1"/>
        <v>108.1868583333333</v>
      </c>
      <c r="J25" s="988" t="str">
        <f t="shared" si="2"/>
        <v>Cn</v>
      </c>
      <c r="K25" s="989">
        <f t="shared" si="3"/>
        <v>0.76384804999999889</v>
      </c>
      <c r="L25" s="38" t="str">
        <f t="shared" si="4"/>
        <v>Ashlesha</v>
      </c>
    </row>
    <row r="26" spans="1:12">
      <c r="A26">
        <v>13</v>
      </c>
      <c r="B26" t="s">
        <v>4324</v>
      </c>
      <c r="C26" t="s">
        <v>4325</v>
      </c>
      <c r="D26" t="s">
        <v>4326</v>
      </c>
      <c r="F26" s="37">
        <f>Jupiter-Moon</f>
        <v>160.18123055555554</v>
      </c>
      <c r="G26" s="987">
        <f t="shared" si="5"/>
        <v>-23.46971388888889</v>
      </c>
      <c r="H26" s="987">
        <f t="shared" si="7"/>
        <v>296.89274722222217</v>
      </c>
      <c r="I26" s="37">
        <f t="shared" si="1"/>
        <v>296.89274722222217</v>
      </c>
      <c r="J26" s="988" t="str">
        <f t="shared" si="2"/>
        <v>Cp</v>
      </c>
      <c r="K26" s="989">
        <f t="shared" si="3"/>
        <v>1.1294953833333312</v>
      </c>
      <c r="L26" s="38" t="str">
        <f t="shared" si="4"/>
        <v>Shravan</v>
      </c>
    </row>
    <row r="27" spans="1:12">
      <c r="A27">
        <v>14</v>
      </c>
      <c r="B27" t="s">
        <v>4136</v>
      </c>
      <c r="C27" t="s">
        <v>4327</v>
      </c>
      <c r="D27" t="s">
        <v>4328</v>
      </c>
      <c r="F27" s="37">
        <f>Saturn-Jupiter</f>
        <v>-173.31196388888887</v>
      </c>
      <c r="G27" s="987">
        <f t="shared" si="5"/>
        <v>310.02348055555552</v>
      </c>
      <c r="H27" s="987">
        <f t="shared" si="7"/>
        <v>-36.600447222222215</v>
      </c>
      <c r="I27" s="37">
        <f t="shared" si="1"/>
        <v>323.39955277777779</v>
      </c>
      <c r="J27" s="988" t="str">
        <f t="shared" si="2"/>
        <v>Aq</v>
      </c>
      <c r="K27" s="989">
        <f t="shared" si="3"/>
        <v>0.98278121666666707</v>
      </c>
      <c r="L27" s="38" t="str">
        <f t="shared" si="4"/>
        <v>Satabishak</v>
      </c>
    </row>
    <row r="28" spans="1:12">
      <c r="A28">
        <v>15</v>
      </c>
      <c r="B28" t="s">
        <v>256</v>
      </c>
      <c r="C28" t="s">
        <v>4329</v>
      </c>
      <c r="D28" t="s">
        <v>4330</v>
      </c>
      <c r="F28" s="37">
        <f>Mars-Mercury</f>
        <v>180.97887777777777</v>
      </c>
      <c r="G28" s="987">
        <f t="shared" si="5"/>
        <v>-44.267361111111114</v>
      </c>
      <c r="H28" s="987">
        <f t="shared" si="7"/>
        <v>317.69039444444445</v>
      </c>
      <c r="I28" s="37">
        <f t="shared" si="1"/>
        <v>317.69039444444445</v>
      </c>
      <c r="J28" s="988" t="str">
        <f t="shared" si="2"/>
        <v>Aq</v>
      </c>
      <c r="K28" s="989">
        <f t="shared" si="3"/>
        <v>0.74299656666666691</v>
      </c>
      <c r="L28" s="38" t="str">
        <f t="shared" si="4"/>
        <v>Dhanistha</v>
      </c>
    </row>
    <row r="29" spans="1:12">
      <c r="A29">
        <v>16</v>
      </c>
      <c r="B29" t="s">
        <v>4331</v>
      </c>
      <c r="C29" t="s">
        <v>4332</v>
      </c>
      <c r="D29" t="s">
        <v>4333</v>
      </c>
      <c r="E29" t="s">
        <v>4312</v>
      </c>
      <c r="F29" s="37">
        <v>0</v>
      </c>
      <c r="G29" s="987">
        <f t="shared" si="5"/>
        <v>136.71151666666665</v>
      </c>
      <c r="H29" s="987">
        <f t="shared" si="7"/>
        <v>136.71151666666665</v>
      </c>
      <c r="I29" s="37">
        <f t="shared" si="1"/>
        <v>136.71151666666663</v>
      </c>
      <c r="J29" s="988" t="str">
        <f t="shared" si="2"/>
        <v>Le</v>
      </c>
      <c r="K29" s="989">
        <f t="shared" si="3"/>
        <v>0.70188369999999833</v>
      </c>
      <c r="L29" s="38" t="str">
        <f t="shared" si="4"/>
        <v>Purva Phalguni</v>
      </c>
    </row>
    <row r="30" spans="1:12">
      <c r="A30">
        <v>17</v>
      </c>
      <c r="B30" t="s">
        <v>910</v>
      </c>
      <c r="C30" t="s">
        <v>4334</v>
      </c>
      <c r="D30" t="s">
        <v>4335</v>
      </c>
      <c r="F30" s="37">
        <f>Jupiter-Mars</f>
        <v>-84.911488888888897</v>
      </c>
      <c r="G30" s="987">
        <f t="shared" si="5"/>
        <v>221.62300555555555</v>
      </c>
      <c r="H30" s="987">
        <f t="shared" si="7"/>
        <v>51.800027777777757</v>
      </c>
      <c r="I30" s="37">
        <f t="shared" si="1"/>
        <v>51.800027777777757</v>
      </c>
      <c r="J30" s="988" t="str">
        <f t="shared" si="2"/>
        <v>Ta</v>
      </c>
      <c r="K30" s="989">
        <f t="shared" si="3"/>
        <v>0.9156011666666658</v>
      </c>
      <c r="L30" s="38" t="str">
        <f t="shared" si="4"/>
        <v>Rohini</v>
      </c>
    </row>
    <row r="31" spans="1:12">
      <c r="A31">
        <v>18</v>
      </c>
      <c r="B31" t="s">
        <v>4336</v>
      </c>
      <c r="C31" t="s">
        <v>4337</v>
      </c>
      <c r="D31" t="s">
        <v>4338</v>
      </c>
      <c r="F31" s="37">
        <f>Jupiter-Saturn</f>
        <v>173.31196388888887</v>
      </c>
      <c r="G31" s="987">
        <f t="shared" si="5"/>
        <v>-36.600447222222215</v>
      </c>
      <c r="H31" s="987">
        <f>IF(DayBirth,F31+Mercury,-F31+Mercury)</f>
        <v>290.44174999999996</v>
      </c>
      <c r="I31" s="37">
        <f t="shared" si="1"/>
        <v>290.44174999999996</v>
      </c>
      <c r="J31" s="988" t="str">
        <f t="shared" si="2"/>
        <v>Cp</v>
      </c>
      <c r="K31" s="989">
        <f t="shared" si="3"/>
        <v>0.85855349999999819</v>
      </c>
      <c r="L31" s="38" t="str">
        <f t="shared" si="4"/>
        <v>Abhijit</v>
      </c>
    </row>
    <row r="32" spans="1:12">
      <c r="A32">
        <v>19</v>
      </c>
      <c r="B32" t="s">
        <v>4339</v>
      </c>
      <c r="C32" t="s">
        <v>4340</v>
      </c>
      <c r="D32" t="s">
        <v>4341</v>
      </c>
      <c r="F32" s="37">
        <v>0</v>
      </c>
      <c r="G32" s="987">
        <f t="shared" si="5"/>
        <v>136.71151666666665</v>
      </c>
      <c r="H32" s="987">
        <f t="shared" ref="H32:H50" si="8">IF(DayBirth,F32+Lagna,-F32+Lagna)</f>
        <v>136.71151666666665</v>
      </c>
      <c r="I32" s="37">
        <f t="shared" si="1"/>
        <v>136.71151666666663</v>
      </c>
      <c r="J32" s="988" t="str">
        <f t="shared" si="2"/>
        <v>Le</v>
      </c>
      <c r="K32" s="989">
        <f t="shared" si="3"/>
        <v>0.70188369999999833</v>
      </c>
      <c r="L32" s="38" t="str">
        <f t="shared" si="4"/>
        <v>Purva Phalguni</v>
      </c>
    </row>
    <row r="33" spans="1:12">
      <c r="A33">
        <v>20</v>
      </c>
      <c r="B33" t="s">
        <v>1320</v>
      </c>
      <c r="C33" t="s">
        <v>4342</v>
      </c>
      <c r="D33" t="s">
        <v>4343</v>
      </c>
      <c r="E33" t="s">
        <v>4312</v>
      </c>
      <c r="F33" s="37">
        <v>0</v>
      </c>
      <c r="G33" s="987">
        <f t="shared" si="5"/>
        <v>136.71151666666665</v>
      </c>
      <c r="H33" s="987">
        <f t="shared" si="8"/>
        <v>136.71151666666665</v>
      </c>
      <c r="I33" s="37">
        <f t="shared" si="1"/>
        <v>136.71151666666663</v>
      </c>
      <c r="J33" s="988" t="str">
        <f t="shared" si="2"/>
        <v>Le</v>
      </c>
      <c r="K33" s="989">
        <f t="shared" si="3"/>
        <v>0.70188369999999833</v>
      </c>
      <c r="L33" s="38" t="str">
        <f t="shared" si="4"/>
        <v>Purva Phalguni</v>
      </c>
    </row>
    <row r="34" spans="1:12">
      <c r="A34">
        <v>21</v>
      </c>
      <c r="B34" t="s">
        <v>4344</v>
      </c>
      <c r="C34" t="s">
        <v>4345</v>
      </c>
      <c r="D34" t="s">
        <v>4346</v>
      </c>
      <c r="E34" t="s">
        <v>4312</v>
      </c>
      <c r="F34" s="37">
        <f>Lagna+240</f>
        <v>376.71151666666663</v>
      </c>
      <c r="G34" s="987">
        <f t="shared" si="5"/>
        <v>-239.99999999999997</v>
      </c>
      <c r="H34" s="987">
        <f t="shared" si="8"/>
        <v>513.42303333333325</v>
      </c>
      <c r="I34" s="37">
        <f t="shared" ref="I34:I65" si="9">MOD(H34+360,360)</f>
        <v>153.42303333333325</v>
      </c>
      <c r="J34" s="988" t="str">
        <f t="shared" ref="J34:J65" si="10">INDEX(RasiDeg,ROUNDUP(I34/30,0),1)</f>
        <v>Vi</v>
      </c>
      <c r="K34" s="989">
        <f t="shared" ref="K34:K50" si="11">MOD(I34,30)*0.042</f>
        <v>0.14376739999999655</v>
      </c>
      <c r="L34" s="38" t="str">
        <f t="shared" ref="L34:L50" si="12">INDEX(NakshatraTbl,INT(I34*0.075)+1,1)</f>
        <v>Uttara Phalguni</v>
      </c>
    </row>
    <row r="35" spans="1:12">
      <c r="A35">
        <v>22</v>
      </c>
      <c r="B35" t="s">
        <v>1376</v>
      </c>
      <c r="C35" t="s">
        <v>4347</v>
      </c>
      <c r="D35" t="s">
        <v>4348</v>
      </c>
      <c r="E35" t="s">
        <v>4312</v>
      </c>
      <c r="F35" s="37">
        <f>Lagna+30-3:3</f>
        <v>166.71151666666665</v>
      </c>
      <c r="G35" s="987">
        <f t="shared" si="5"/>
        <v>-30</v>
      </c>
      <c r="H35" s="987">
        <f t="shared" si="8"/>
        <v>303.42303333333331</v>
      </c>
      <c r="I35" s="37">
        <f t="shared" si="9"/>
        <v>303.42303333333325</v>
      </c>
      <c r="J35" s="988" t="str">
        <f t="shared" si="10"/>
        <v>Aq</v>
      </c>
      <c r="K35" s="989">
        <f t="shared" si="11"/>
        <v>0.14376739999999655</v>
      </c>
      <c r="L35" s="38" t="str">
        <f t="shared" si="12"/>
        <v>Shravan</v>
      </c>
    </row>
    <row r="36" spans="1:12">
      <c r="A36">
        <v>23</v>
      </c>
      <c r="B36" t="s">
        <v>4349</v>
      </c>
      <c r="C36" t="s">
        <v>4350</v>
      </c>
      <c r="D36" t="s">
        <v>4351</v>
      </c>
      <c r="F36" s="37">
        <f>Venus-Sun</f>
        <v>-10.858599999999996</v>
      </c>
      <c r="G36" s="987">
        <f t="shared" si="5"/>
        <v>147.57011666666665</v>
      </c>
      <c r="H36" s="987">
        <f t="shared" si="8"/>
        <v>125.85291666666666</v>
      </c>
      <c r="I36" s="37">
        <f t="shared" si="9"/>
        <v>125.85291666666666</v>
      </c>
      <c r="J36" s="988" t="str">
        <f t="shared" si="10"/>
        <v>Le</v>
      </c>
      <c r="K36" s="989">
        <f t="shared" si="11"/>
        <v>0.24582249999999967</v>
      </c>
      <c r="L36" s="38" t="str">
        <f t="shared" si="12"/>
        <v>Magha</v>
      </c>
    </row>
    <row r="37" spans="1:12">
      <c r="A37">
        <v>24</v>
      </c>
      <c r="B37" t="s">
        <v>4352</v>
      </c>
      <c r="C37" t="s">
        <v>4353</v>
      </c>
      <c r="D37" t="s">
        <v>4354</v>
      </c>
      <c r="F37" s="37">
        <v>0</v>
      </c>
      <c r="G37" s="987">
        <f t="shared" si="5"/>
        <v>136.71151666666665</v>
      </c>
      <c r="H37" s="987">
        <f t="shared" si="8"/>
        <v>136.71151666666665</v>
      </c>
      <c r="I37" s="37">
        <f t="shared" si="9"/>
        <v>136.71151666666663</v>
      </c>
      <c r="J37" s="988" t="str">
        <f t="shared" si="10"/>
        <v>Le</v>
      </c>
      <c r="K37" s="989">
        <f t="shared" si="11"/>
        <v>0.70188369999999833</v>
      </c>
      <c r="L37" s="38" t="str">
        <f t="shared" si="12"/>
        <v>Purva Phalguni</v>
      </c>
    </row>
    <row r="38" spans="1:12">
      <c r="A38">
        <v>25</v>
      </c>
      <c r="B38" t="s">
        <v>4355</v>
      </c>
      <c r="C38" t="s">
        <v>4356</v>
      </c>
      <c r="D38" t="s">
        <v>4357</v>
      </c>
      <c r="E38" t="s">
        <v>4358</v>
      </c>
      <c r="F38" s="37">
        <v>0</v>
      </c>
      <c r="G38" s="987">
        <f t="shared" si="5"/>
        <v>136.71151666666665</v>
      </c>
      <c r="H38" s="987">
        <f t="shared" si="8"/>
        <v>136.71151666666665</v>
      </c>
      <c r="I38" s="37">
        <f t="shared" si="9"/>
        <v>136.71151666666663</v>
      </c>
      <c r="J38" s="988" t="str">
        <f t="shared" si="10"/>
        <v>Le</v>
      </c>
      <c r="K38" s="989">
        <f t="shared" si="11"/>
        <v>0.70188369999999833</v>
      </c>
      <c r="L38" s="38" t="str">
        <f t="shared" si="12"/>
        <v>Purva Phalguni</v>
      </c>
    </row>
    <row r="39" spans="1:12">
      <c r="A39">
        <v>26</v>
      </c>
      <c r="B39" t="s">
        <v>4359</v>
      </c>
      <c r="C39" t="s">
        <v>4360</v>
      </c>
      <c r="D39" t="s">
        <v>4361</v>
      </c>
      <c r="F39" s="37">
        <f>Venus-Saturn</f>
        <v>41.655391666666667</v>
      </c>
      <c r="G39" s="987">
        <f t="shared" si="5"/>
        <v>95.05612499999998</v>
      </c>
      <c r="H39" s="987">
        <f t="shared" si="8"/>
        <v>178.36690833333333</v>
      </c>
      <c r="I39" s="37">
        <f t="shared" si="9"/>
        <v>178.3669083333333</v>
      </c>
      <c r="J39" s="988" t="str">
        <f t="shared" si="10"/>
        <v>Vi</v>
      </c>
      <c r="K39" s="989">
        <f t="shared" si="11"/>
        <v>1.1914101499999987</v>
      </c>
      <c r="L39" s="38" t="str">
        <f t="shared" si="12"/>
        <v>Chitra</v>
      </c>
    </row>
    <row r="40" spans="1:12">
      <c r="A40">
        <v>27</v>
      </c>
      <c r="B40" t="s">
        <v>4362</v>
      </c>
      <c r="C40" t="s">
        <v>4363</v>
      </c>
      <c r="D40" t="s">
        <v>4364</v>
      </c>
      <c r="F40" s="37">
        <v>0</v>
      </c>
      <c r="G40" s="987">
        <f t="shared" si="5"/>
        <v>136.71151666666665</v>
      </c>
      <c r="H40" s="987">
        <f t="shared" si="8"/>
        <v>136.71151666666665</v>
      </c>
      <c r="I40" s="37">
        <f t="shared" si="9"/>
        <v>136.71151666666663</v>
      </c>
      <c r="J40" s="988" t="str">
        <f t="shared" si="10"/>
        <v>Le</v>
      </c>
      <c r="K40" s="989">
        <f t="shared" si="11"/>
        <v>0.70188369999999833</v>
      </c>
      <c r="L40" s="38" t="str">
        <f t="shared" si="12"/>
        <v>Purva Phalguni</v>
      </c>
    </row>
    <row r="41" spans="1:12">
      <c r="A41">
        <v>28</v>
      </c>
      <c r="B41" t="s">
        <v>4365</v>
      </c>
      <c r="C41" t="s">
        <v>4366</v>
      </c>
      <c r="D41" t="s">
        <v>4367</v>
      </c>
      <c r="F41" s="37">
        <v>0</v>
      </c>
      <c r="G41" s="987">
        <f t="shared" si="5"/>
        <v>136.71151666666665</v>
      </c>
      <c r="H41" s="987">
        <f t="shared" si="8"/>
        <v>136.71151666666665</v>
      </c>
      <c r="I41" s="37">
        <f t="shared" si="9"/>
        <v>136.71151666666663</v>
      </c>
      <c r="J41" s="988" t="str">
        <f t="shared" si="10"/>
        <v>Le</v>
      </c>
      <c r="K41" s="989">
        <f t="shared" si="11"/>
        <v>0.70188369999999833</v>
      </c>
      <c r="L41" s="38" t="str">
        <f t="shared" si="12"/>
        <v>Purva Phalguni</v>
      </c>
    </row>
    <row r="42" spans="1:12">
      <c r="A42">
        <v>29</v>
      </c>
      <c r="B42" t="s">
        <v>4368</v>
      </c>
      <c r="C42" t="s">
        <v>4369</v>
      </c>
      <c r="D42" t="s">
        <v>4370</v>
      </c>
      <c r="F42" s="37">
        <v>0</v>
      </c>
      <c r="G42" s="987">
        <f t="shared" si="5"/>
        <v>136.71151666666665</v>
      </c>
      <c r="H42" s="987">
        <f t="shared" si="8"/>
        <v>136.71151666666665</v>
      </c>
      <c r="I42" s="37">
        <f t="shared" si="9"/>
        <v>136.71151666666663</v>
      </c>
      <c r="J42" s="988" t="str">
        <f t="shared" si="10"/>
        <v>Le</v>
      </c>
      <c r="K42" s="989">
        <f t="shared" si="11"/>
        <v>0.70188369999999833</v>
      </c>
      <c r="L42" s="38" t="str">
        <f t="shared" si="12"/>
        <v>Purva Phalguni</v>
      </c>
    </row>
    <row r="43" spans="1:12">
      <c r="A43">
        <v>30</v>
      </c>
      <c r="B43" t="s">
        <v>4371</v>
      </c>
      <c r="C43" t="s">
        <v>4372</v>
      </c>
      <c r="D43" t="s">
        <v>4373</v>
      </c>
      <c r="F43" s="37">
        <v>0</v>
      </c>
      <c r="G43" s="987">
        <f t="shared" si="5"/>
        <v>136.71151666666665</v>
      </c>
      <c r="H43" s="987">
        <f t="shared" si="8"/>
        <v>136.71151666666665</v>
      </c>
      <c r="I43" s="37">
        <f t="shared" si="9"/>
        <v>136.71151666666663</v>
      </c>
      <c r="J43" s="988" t="str">
        <f t="shared" si="10"/>
        <v>Le</v>
      </c>
      <c r="K43" s="989">
        <f t="shared" si="11"/>
        <v>0.70188369999999833</v>
      </c>
      <c r="L43" s="38" t="str">
        <f t="shared" si="12"/>
        <v>Purva Phalguni</v>
      </c>
    </row>
    <row r="44" spans="1:12">
      <c r="A44">
        <v>31</v>
      </c>
      <c r="B44" t="s">
        <v>4374</v>
      </c>
      <c r="C44" t="s">
        <v>1179</v>
      </c>
      <c r="D44" t="s">
        <v>4375</v>
      </c>
      <c r="E44" t="s">
        <v>4312</v>
      </c>
      <c r="F44" s="37">
        <f>Mars-Saturn</f>
        <v>258.22345277777777</v>
      </c>
      <c r="G44" s="987">
        <f t="shared" si="5"/>
        <v>-121.51193611111111</v>
      </c>
      <c r="H44" s="987">
        <f t="shared" si="8"/>
        <v>394.93496944444439</v>
      </c>
      <c r="I44" s="37">
        <f t="shared" si="9"/>
        <v>34.934969444444391</v>
      </c>
      <c r="J44" s="988" t="str">
        <f t="shared" si="10"/>
        <v>Ta</v>
      </c>
      <c r="K44" s="989">
        <f t="shared" si="11"/>
        <v>0.20726871666666444</v>
      </c>
      <c r="L44" s="38" t="str">
        <f t="shared" si="12"/>
        <v>Kritika</v>
      </c>
    </row>
    <row r="45" spans="1:12">
      <c r="A45">
        <v>32</v>
      </c>
      <c r="B45" t="s">
        <v>4376</v>
      </c>
      <c r="C45" t="s">
        <v>4377</v>
      </c>
      <c r="D45" t="s">
        <v>4375</v>
      </c>
      <c r="F45" s="37">
        <f>Mars-Saturn</f>
        <v>258.22345277777777</v>
      </c>
      <c r="G45" s="987">
        <f t="shared" si="5"/>
        <v>-121.51193611111111</v>
      </c>
      <c r="H45" s="987">
        <f t="shared" si="8"/>
        <v>394.93496944444439</v>
      </c>
      <c r="I45" s="37">
        <f t="shared" si="9"/>
        <v>34.934969444444391</v>
      </c>
      <c r="J45" s="988" t="str">
        <f t="shared" si="10"/>
        <v>Ta</v>
      </c>
      <c r="K45" s="989">
        <f t="shared" si="11"/>
        <v>0.20726871666666444</v>
      </c>
      <c r="L45" s="38" t="str">
        <f t="shared" si="12"/>
        <v>Kritika</v>
      </c>
    </row>
    <row r="46" spans="1:12">
      <c r="A46">
        <v>33</v>
      </c>
      <c r="B46" t="s">
        <v>4378</v>
      </c>
      <c r="C46" t="s">
        <v>4379</v>
      </c>
      <c r="D46" t="s">
        <v>4380</v>
      </c>
      <c r="F46" s="37">
        <f>105-Saturn</f>
        <v>65.114788888888882</v>
      </c>
      <c r="G46" s="987">
        <f t="shared" si="5"/>
        <v>71.596727777777772</v>
      </c>
      <c r="H46" s="987">
        <f t="shared" si="8"/>
        <v>201.82630555555554</v>
      </c>
      <c r="I46" s="37">
        <f t="shared" si="9"/>
        <v>201.82630555555556</v>
      </c>
      <c r="J46" s="988" t="str">
        <f t="shared" si="10"/>
        <v>Li</v>
      </c>
      <c r="K46" s="989">
        <f t="shared" si="11"/>
        <v>0.91670483333333375</v>
      </c>
      <c r="L46" s="38" t="str">
        <f t="shared" si="12"/>
        <v>Vishakha</v>
      </c>
    </row>
    <row r="47" spans="1:12">
      <c r="A47">
        <v>34</v>
      </c>
      <c r="B47" t="s">
        <v>4381</v>
      </c>
      <c r="C47" t="s">
        <v>4382</v>
      </c>
      <c r="D47" t="s">
        <v>4383</v>
      </c>
      <c r="F47" s="37">
        <v>0</v>
      </c>
      <c r="G47" s="987">
        <f t="shared" si="5"/>
        <v>136.71151666666665</v>
      </c>
      <c r="H47" s="987">
        <f t="shared" si="8"/>
        <v>136.71151666666665</v>
      </c>
      <c r="I47" s="37">
        <f t="shared" si="9"/>
        <v>136.71151666666663</v>
      </c>
      <c r="J47" s="988" t="str">
        <f t="shared" si="10"/>
        <v>Le</v>
      </c>
      <c r="K47" s="989">
        <f t="shared" si="11"/>
        <v>0.70188369999999833</v>
      </c>
      <c r="L47" s="38" t="str">
        <f t="shared" si="12"/>
        <v>Purva Phalguni</v>
      </c>
    </row>
    <row r="48" spans="1:12">
      <c r="A48">
        <v>35</v>
      </c>
      <c r="B48" t="s">
        <v>4384</v>
      </c>
      <c r="C48" t="s">
        <v>4385</v>
      </c>
      <c r="D48" t="s">
        <v>4386</v>
      </c>
      <c r="F48" s="37">
        <v>0</v>
      </c>
      <c r="G48" s="987">
        <f t="shared" si="5"/>
        <v>136.71151666666665</v>
      </c>
      <c r="H48" s="987">
        <f t="shared" si="8"/>
        <v>136.71151666666665</v>
      </c>
      <c r="I48" s="37">
        <f t="shared" si="9"/>
        <v>136.71151666666663</v>
      </c>
      <c r="J48" s="988" t="str">
        <f t="shared" si="10"/>
        <v>Le</v>
      </c>
      <c r="K48" s="989">
        <f t="shared" si="11"/>
        <v>0.70188369999999833</v>
      </c>
      <c r="L48" s="38" t="str">
        <f t="shared" si="12"/>
        <v>Purva Phalguni</v>
      </c>
    </row>
    <row r="49" spans="1:12">
      <c r="A49">
        <v>36</v>
      </c>
      <c r="B49" t="s">
        <v>4387</v>
      </c>
      <c r="C49" t="s">
        <v>4388</v>
      </c>
      <c r="D49" t="s">
        <v>4389</v>
      </c>
      <c r="E49" t="s">
        <v>4312</v>
      </c>
      <c r="F49" s="37">
        <v>0</v>
      </c>
      <c r="G49" s="987">
        <f t="shared" si="5"/>
        <v>136.71151666666665</v>
      </c>
      <c r="H49" s="987">
        <f t="shared" si="8"/>
        <v>136.71151666666665</v>
      </c>
      <c r="I49" s="37">
        <f t="shared" si="9"/>
        <v>136.71151666666663</v>
      </c>
      <c r="J49" s="988" t="str">
        <f t="shared" si="10"/>
        <v>Le</v>
      </c>
      <c r="K49" s="989">
        <f t="shared" si="11"/>
        <v>0.70188369999999833</v>
      </c>
      <c r="L49" s="38" t="str">
        <f t="shared" si="12"/>
        <v>Purva Phalguni</v>
      </c>
    </row>
    <row r="50" spans="1:12">
      <c r="A50">
        <v>37</v>
      </c>
      <c r="B50" t="s">
        <v>1994</v>
      </c>
      <c r="C50" t="s">
        <v>4390</v>
      </c>
      <c r="D50" t="s">
        <v>4391</v>
      </c>
      <c r="E50" t="s">
        <v>4392</v>
      </c>
      <c r="F50" s="37">
        <f ca="1">Moon-LagnaLordD</f>
        <v>-39.38325833333333</v>
      </c>
      <c r="G50" s="987">
        <f t="shared" ca="1" si="5"/>
        <v>176.09477499999997</v>
      </c>
      <c r="H50" s="987">
        <f t="shared" ca="1" si="8"/>
        <v>97.328258333333324</v>
      </c>
      <c r="I50" s="37">
        <f t="shared" ca="1" si="9"/>
        <v>97.328258333333338</v>
      </c>
      <c r="J50" s="988" t="str">
        <f t="shared" ca="1" si="10"/>
        <v>Cn</v>
      </c>
      <c r="K50" s="989">
        <f t="shared" ca="1" si="11"/>
        <v>0.30778685000000022</v>
      </c>
      <c r="L50" s="38" t="str">
        <f t="shared" ca="1" si="12"/>
        <v>Pushya</v>
      </c>
    </row>
    <row r="51" spans="1:12">
      <c r="A51">
        <v>38</v>
      </c>
      <c r="D51" t="s">
        <v>4393</v>
      </c>
      <c r="F51" s="37"/>
      <c r="G51" s="987"/>
      <c r="H51" s="37">
        <f>Sun+Moon+Jupiter</f>
        <v>358.61232222222225</v>
      </c>
      <c r="I51" s="37">
        <f t="shared" si="9"/>
        <v>358.61232222222225</v>
      </c>
      <c r="J51" s="988" t="str">
        <f t="shared" si="10"/>
        <v>Pi</v>
      </c>
      <c r="K51" s="989">
        <f>MOD(H51,30)*0.042</f>
        <v>1.2017175333333345</v>
      </c>
      <c r="L51" s="38" t="str">
        <f>INDEX(NakshatraTbl,INT(H51*0.075)+1,1)</f>
        <v>Uttara Bhadrapad</v>
      </c>
    </row>
    <row r="52" spans="1:12">
      <c r="A52">
        <v>39</v>
      </c>
      <c r="F52" s="37"/>
      <c r="G52" s="987"/>
      <c r="H52" s="987"/>
      <c r="I52" s="37">
        <f t="shared" si="9"/>
        <v>0</v>
      </c>
      <c r="J52" s="988" t="e">
        <f t="shared" si="10"/>
        <v>#VALUE!</v>
      </c>
      <c r="K52" s="989">
        <f t="shared" ref="K52:K60" si="13">MOD(I52,30)*0.042</f>
        <v>0</v>
      </c>
      <c r="L52" s="38" t="str">
        <f t="shared" ref="L52:L58" si="14">INDEX(NakshatraTbl,INT(I52*0.075)+1,1)</f>
        <v>Ashvini</v>
      </c>
    </row>
    <row r="53" spans="1:12">
      <c r="A53">
        <v>40</v>
      </c>
      <c r="F53" s="37"/>
      <c r="G53" s="987"/>
      <c r="H53" s="987"/>
      <c r="I53" s="37">
        <f t="shared" si="9"/>
        <v>0</v>
      </c>
      <c r="J53" s="988" t="e">
        <f t="shared" si="10"/>
        <v>#VALUE!</v>
      </c>
      <c r="K53" s="989">
        <f t="shared" si="13"/>
        <v>0</v>
      </c>
      <c r="L53" s="38" t="str">
        <f t="shared" si="14"/>
        <v>Ashvini</v>
      </c>
    </row>
    <row r="54" spans="1:12">
      <c r="A54">
        <v>41</v>
      </c>
      <c r="F54" s="37"/>
      <c r="G54" s="987"/>
      <c r="H54" s="987"/>
      <c r="I54" s="37">
        <f t="shared" si="9"/>
        <v>0</v>
      </c>
      <c r="J54" s="988" t="e">
        <f t="shared" si="10"/>
        <v>#VALUE!</v>
      </c>
      <c r="K54" s="989">
        <f t="shared" si="13"/>
        <v>0</v>
      </c>
      <c r="L54" s="38" t="str">
        <f t="shared" si="14"/>
        <v>Ashvini</v>
      </c>
    </row>
    <row r="55" spans="1:12">
      <c r="A55">
        <v>42</v>
      </c>
      <c r="F55" s="37"/>
      <c r="G55" s="987"/>
      <c r="H55" s="987"/>
      <c r="I55" s="37">
        <f t="shared" si="9"/>
        <v>0</v>
      </c>
      <c r="J55" s="988" t="e">
        <f t="shared" si="10"/>
        <v>#VALUE!</v>
      </c>
      <c r="K55" s="989">
        <f t="shared" si="13"/>
        <v>0</v>
      </c>
      <c r="L55" s="38" t="str">
        <f t="shared" si="14"/>
        <v>Ashvini</v>
      </c>
    </row>
    <row r="56" spans="1:12">
      <c r="A56">
        <v>43</v>
      </c>
      <c r="F56" s="37"/>
      <c r="G56" s="987"/>
      <c r="H56" s="987"/>
      <c r="I56" s="37">
        <f t="shared" si="9"/>
        <v>0</v>
      </c>
      <c r="J56" s="988" t="e">
        <f t="shared" si="10"/>
        <v>#VALUE!</v>
      </c>
      <c r="K56" s="989">
        <f t="shared" si="13"/>
        <v>0</v>
      </c>
      <c r="L56" s="38" t="str">
        <f t="shared" si="14"/>
        <v>Ashvini</v>
      </c>
    </row>
    <row r="57" spans="1:12">
      <c r="A57">
        <v>44</v>
      </c>
      <c r="F57" s="37"/>
      <c r="G57" s="987"/>
      <c r="H57" s="987"/>
      <c r="I57" s="37">
        <f t="shared" si="9"/>
        <v>0</v>
      </c>
      <c r="J57" s="988" t="e">
        <f t="shared" si="10"/>
        <v>#VALUE!</v>
      </c>
      <c r="K57" s="989">
        <f t="shared" si="13"/>
        <v>0</v>
      </c>
      <c r="L57" s="38" t="str">
        <f t="shared" si="14"/>
        <v>Ashvini</v>
      </c>
    </row>
    <row r="58" spans="1:12">
      <c r="A58">
        <v>45</v>
      </c>
      <c r="F58" s="37"/>
      <c r="G58" s="987"/>
      <c r="H58" s="987"/>
      <c r="I58" s="37">
        <f t="shared" si="9"/>
        <v>0</v>
      </c>
      <c r="J58" s="988" t="e">
        <f t="shared" si="10"/>
        <v>#VALUE!</v>
      </c>
      <c r="K58" s="989">
        <f t="shared" si="13"/>
        <v>0</v>
      </c>
      <c r="L58" s="38" t="str">
        <f t="shared" si="14"/>
        <v>Ashvini</v>
      </c>
    </row>
    <row r="59" spans="1:12">
      <c r="D59" t="s">
        <v>4394</v>
      </c>
      <c r="E59" t="s">
        <v>4395</v>
      </c>
      <c r="F59" s="30">
        <f>5*Moon-5*Sun</f>
        <v>-196.91629166666661</v>
      </c>
      <c r="G59" s="987">
        <f>IF(NOT(DayBirth),F59+Lagna,-F59+Lagna)</f>
        <v>333.62780833333329</v>
      </c>
      <c r="H59" s="987">
        <f>IF(DayBirth,F59+Lagna,-F59+Lagna)</f>
        <v>-60.204774999999955</v>
      </c>
      <c r="I59" s="30">
        <f t="shared" si="9"/>
        <v>299.79522500000007</v>
      </c>
      <c r="J59" s="988" t="str">
        <f t="shared" si="10"/>
        <v>Cp</v>
      </c>
      <c r="K59" s="990">
        <f t="shared" si="13"/>
        <v>1.2513994500000032</v>
      </c>
    </row>
    <row r="60" spans="1:12">
      <c r="E60" t="s">
        <v>4396</v>
      </c>
      <c r="F60" s="30">
        <f>5*Moon-5*Sun</f>
        <v>-196.91629166666661</v>
      </c>
      <c r="G60" s="987">
        <f>IF(NOT(DayBirth),F60+Lagna,-F60+Lagna)</f>
        <v>333.62780833333329</v>
      </c>
      <c r="H60" s="267">
        <f>F60</f>
        <v>-196.91629166666661</v>
      </c>
      <c r="I60" s="30">
        <f t="shared" si="9"/>
        <v>163.08370833333339</v>
      </c>
      <c r="J60" s="988" t="str">
        <f t="shared" si="10"/>
        <v>Vi</v>
      </c>
      <c r="K60" s="990">
        <f t="shared" si="13"/>
        <v>0.54951575000000241</v>
      </c>
    </row>
    <row r="61" spans="1:12">
      <c r="F61" s="30" t="e">
        <f>LagnaLord+Jupiter</f>
        <v>#VALUE!</v>
      </c>
      <c r="G61" s="30" t="e">
        <f>LagnaLord+Jupiter</f>
        <v>#VALUE!</v>
      </c>
    </row>
  </sheetData>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legacyDrawing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3:AMJ12"/>
  <sheetViews>
    <sheetView topLeftCell="C1" zoomScaleNormal="100" workbookViewId="0">
      <selection activeCell="O9" sqref="O9"/>
    </sheetView>
  </sheetViews>
  <sheetFormatPr defaultColWidth="4.7109375" defaultRowHeight="15"/>
  <cols>
    <col min="1" max="1024" width="4.7109375" style="170"/>
  </cols>
  <sheetData>
    <row r="3" spans="3:20" ht="27" customHeight="1">
      <c r="K3" s="991">
        <v>27</v>
      </c>
      <c r="L3" s="992">
        <v>1</v>
      </c>
    </row>
    <row r="4" spans="3:20" ht="27" customHeight="1">
      <c r="J4" s="993">
        <f>K3-1</f>
        <v>26</v>
      </c>
      <c r="M4" s="994">
        <f>L3+1</f>
        <v>2</v>
      </c>
    </row>
    <row r="5" spans="3:20" ht="27" customHeight="1">
      <c r="I5" s="995">
        <f>J4-1</f>
        <v>25</v>
      </c>
      <c r="N5" s="996">
        <f>M4+1</f>
        <v>3</v>
      </c>
    </row>
    <row r="6" spans="3:20" ht="27" customHeight="1">
      <c r="H6" s="997">
        <f>I5-1</f>
        <v>24</v>
      </c>
      <c r="O6" s="994">
        <f>N5+1</f>
        <v>4</v>
      </c>
    </row>
    <row r="7" spans="3:20" ht="27" customHeight="1">
      <c r="G7" s="998">
        <f>H6-1</f>
        <v>23</v>
      </c>
      <c r="P7" s="998">
        <f>O6+1</f>
        <v>5</v>
      </c>
    </row>
    <row r="8" spans="3:20" ht="27" customHeight="1">
      <c r="F8" s="999">
        <f>G7-1</f>
        <v>22</v>
      </c>
      <c r="H8" s="1000"/>
      <c r="O8" s="1001"/>
      <c r="Q8" s="999">
        <f>P7+1</f>
        <v>6</v>
      </c>
    </row>
    <row r="9" spans="3:20" ht="27" customHeight="1">
      <c r="E9" s="1002">
        <f>F8-1</f>
        <v>21</v>
      </c>
      <c r="G9" s="1000"/>
      <c r="I9" s="1000"/>
      <c r="N9" s="1001"/>
      <c r="P9" s="1001"/>
      <c r="R9" s="1002">
        <f>Q8+1</f>
        <v>7</v>
      </c>
    </row>
    <row r="10" spans="3:20" ht="27" customHeight="1">
      <c r="D10" s="1003">
        <f>E9-1</f>
        <v>20</v>
      </c>
      <c r="F10" s="1000"/>
      <c r="H10" s="1000"/>
      <c r="J10" s="1000"/>
      <c r="M10" s="1001"/>
      <c r="O10" s="1001"/>
      <c r="Q10" s="1001"/>
      <c r="S10" s="1003">
        <f>R9+1</f>
        <v>8</v>
      </c>
    </row>
    <row r="11" spans="3:20" ht="27" customHeight="1">
      <c r="C11" s="1004">
        <f>D10-1</f>
        <v>19</v>
      </c>
      <c r="E11" s="1000"/>
      <c r="G11" s="1000"/>
      <c r="I11" s="1000"/>
      <c r="K11" s="1000"/>
      <c r="L11" s="1001"/>
      <c r="N11" s="1001"/>
      <c r="P11" s="1001"/>
      <c r="R11" s="1001"/>
      <c r="T11" s="1004">
        <f>S10+1</f>
        <v>9</v>
      </c>
    </row>
    <row r="12" spans="3:20" ht="27" customHeight="1">
      <c r="C12" s="1370">
        <f t="shared" ref="C12:R12" si="0">E12+1</f>
        <v>18</v>
      </c>
      <c r="D12" s="1370">
        <f t="shared" si="0"/>
        <v>8</v>
      </c>
      <c r="E12" s="1371">
        <f t="shared" si="0"/>
        <v>17</v>
      </c>
      <c r="F12" s="1371">
        <f t="shared" si="0"/>
        <v>7</v>
      </c>
      <c r="G12" s="1372">
        <f t="shared" si="0"/>
        <v>16</v>
      </c>
      <c r="H12" s="1372">
        <f t="shared" si="0"/>
        <v>6</v>
      </c>
      <c r="I12" s="1371">
        <f t="shared" si="0"/>
        <v>15</v>
      </c>
      <c r="J12" s="1371">
        <f t="shared" si="0"/>
        <v>5</v>
      </c>
      <c r="K12" s="1373">
        <f t="shared" si="0"/>
        <v>14</v>
      </c>
      <c r="L12" s="1373">
        <f t="shared" si="0"/>
        <v>4</v>
      </c>
      <c r="M12" s="1374">
        <f t="shared" si="0"/>
        <v>13</v>
      </c>
      <c r="N12" s="1374">
        <f t="shared" si="0"/>
        <v>3</v>
      </c>
      <c r="O12" s="1375">
        <f t="shared" si="0"/>
        <v>12</v>
      </c>
      <c r="P12" s="1375">
        <f t="shared" si="0"/>
        <v>2</v>
      </c>
      <c r="Q12" s="1376">
        <f t="shared" si="0"/>
        <v>11</v>
      </c>
      <c r="R12" s="1376">
        <f t="shared" si="0"/>
        <v>1</v>
      </c>
      <c r="S12" s="1377">
        <v>10</v>
      </c>
      <c r="T12" s="1377"/>
    </row>
  </sheetData>
  <mergeCells count="9">
    <mergeCell ref="M12:N12"/>
    <mergeCell ref="O12:P12"/>
    <mergeCell ref="Q12:R12"/>
    <mergeCell ref="S12:T12"/>
    <mergeCell ref="C12:D12"/>
    <mergeCell ref="E12:F12"/>
    <mergeCell ref="G12:H12"/>
    <mergeCell ref="I12:J12"/>
    <mergeCell ref="K12:L12"/>
  </mergeCells>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M97"/>
  <sheetViews>
    <sheetView topLeftCell="A5" zoomScaleNormal="100" workbookViewId="0">
      <selection activeCell="D11" sqref="D11"/>
    </sheetView>
  </sheetViews>
  <sheetFormatPr defaultColWidth="8.5703125" defaultRowHeight="15"/>
  <cols>
    <col min="1" max="1" width="16.42578125" customWidth="1"/>
    <col min="2" max="4" width="21.140625" customWidth="1"/>
    <col min="5" max="5" width="17.7109375" customWidth="1"/>
    <col min="6" max="6" width="19.42578125" customWidth="1"/>
    <col min="7" max="7" width="1.7109375" customWidth="1"/>
    <col min="8" max="9" width="18.42578125" customWidth="1"/>
    <col min="10" max="10" width="21.42578125" customWidth="1"/>
    <col min="11" max="11" width="18.42578125" customWidth="1"/>
    <col min="12" max="12" width="20" customWidth="1"/>
    <col min="13" max="13" width="32.7109375" customWidth="1"/>
  </cols>
  <sheetData>
    <row r="1" spans="1:13">
      <c r="A1" s="1378" t="s">
        <v>4397</v>
      </c>
      <c r="B1" s="1378"/>
      <c r="C1" s="1378"/>
      <c r="D1" s="1378"/>
      <c r="E1" s="1378"/>
      <c r="F1" s="1378"/>
      <c r="G1" s="1378"/>
      <c r="H1" s="1378"/>
      <c r="I1" s="1378"/>
      <c r="J1" s="1378"/>
      <c r="K1" s="1378"/>
      <c r="L1" s="1378"/>
      <c r="M1" s="1378"/>
    </row>
    <row r="2" spans="1:13">
      <c r="A2" s="348"/>
      <c r="B2" s="1379" t="s">
        <v>4398</v>
      </c>
      <c r="C2" s="1379"/>
      <c r="D2" s="1379"/>
      <c r="E2" s="1379"/>
      <c r="F2" s="1379"/>
      <c r="G2" s="1379"/>
      <c r="H2" s="1379"/>
      <c r="I2" s="1379"/>
      <c r="J2" s="1379"/>
      <c r="K2" s="1379"/>
      <c r="L2" s="1379"/>
      <c r="M2" s="483"/>
    </row>
    <row r="3" spans="1:13" s="170" customFormat="1">
      <c r="A3" s="1380" t="s">
        <v>4399</v>
      </c>
      <c r="B3" s="1005" t="s">
        <v>2193</v>
      </c>
      <c r="C3" s="1006" t="s">
        <v>2195</v>
      </c>
      <c r="D3" s="1006" t="s">
        <v>2197</v>
      </c>
      <c r="E3" s="1006" t="s">
        <v>2201</v>
      </c>
      <c r="F3" s="1007" t="s">
        <v>2203</v>
      </c>
      <c r="G3" s="1006"/>
      <c r="H3" s="1008" t="s">
        <v>2229</v>
      </c>
      <c r="I3" s="1006" t="s">
        <v>4400</v>
      </c>
      <c r="J3" s="1006" t="s">
        <v>4401</v>
      </c>
      <c r="K3" s="1006" t="s">
        <v>4402</v>
      </c>
      <c r="L3" s="1009" t="s">
        <v>4403</v>
      </c>
      <c r="M3" s="1381" t="s">
        <v>4404</v>
      </c>
    </row>
    <row r="4" spans="1:13" s="170" customFormat="1">
      <c r="A4" s="1380"/>
      <c r="B4" s="1010" t="s">
        <v>2233</v>
      </c>
      <c r="C4" s="1011" t="s">
        <v>4405</v>
      </c>
      <c r="D4" s="1011" t="s">
        <v>4406</v>
      </c>
      <c r="E4" s="1011" t="s">
        <v>4407</v>
      </c>
      <c r="F4" s="1012" t="s">
        <v>4408</v>
      </c>
      <c r="G4" s="1011"/>
      <c r="H4" s="1013" t="s">
        <v>2215</v>
      </c>
      <c r="I4" s="1011" t="s">
        <v>4409</v>
      </c>
      <c r="J4" s="1011" t="s">
        <v>4410</v>
      </c>
      <c r="K4" s="1011" t="s">
        <v>4411</v>
      </c>
      <c r="L4" s="1014" t="s">
        <v>4412</v>
      </c>
      <c r="M4" s="1381"/>
    </row>
    <row r="5" spans="1:13" s="170" customFormat="1">
      <c r="A5" s="1380"/>
      <c r="B5" s="1010" t="s">
        <v>2206</v>
      </c>
      <c r="C5" s="1011" t="s">
        <v>4413</v>
      </c>
      <c r="D5" s="1015" t="s">
        <v>4414</v>
      </c>
      <c r="E5" s="1011" t="s">
        <v>4415</v>
      </c>
      <c r="F5" s="1012" t="s">
        <v>4416</v>
      </c>
      <c r="G5" s="1011"/>
      <c r="H5" s="1013" t="s">
        <v>2225</v>
      </c>
      <c r="I5" s="1011" t="s">
        <v>4417</v>
      </c>
      <c r="J5" s="1015" t="s">
        <v>4418</v>
      </c>
      <c r="K5" s="1011" t="s">
        <v>4419</v>
      </c>
      <c r="L5" s="1014" t="s">
        <v>4420</v>
      </c>
      <c r="M5" s="1381"/>
    </row>
    <row r="6" spans="1:13" s="170" customFormat="1">
      <c r="A6" s="1380"/>
      <c r="B6" s="1010" t="s">
        <v>2237</v>
      </c>
      <c r="C6" s="1011" t="s">
        <v>4421</v>
      </c>
      <c r="D6" s="1011" t="s">
        <v>4422</v>
      </c>
      <c r="E6" s="1011" t="s">
        <v>4423</v>
      </c>
      <c r="F6" s="1012" t="s">
        <v>4424</v>
      </c>
      <c r="G6" s="1011"/>
      <c r="H6" s="1013" t="s">
        <v>2231</v>
      </c>
      <c r="I6" s="1011" t="s">
        <v>4425</v>
      </c>
      <c r="J6" s="1011" t="s">
        <v>4426</v>
      </c>
      <c r="K6" s="1011" t="s">
        <v>4427</v>
      </c>
      <c r="L6" s="1014" t="s">
        <v>4428</v>
      </c>
      <c r="M6" s="1381"/>
    </row>
    <row r="7" spans="1:13" s="170" customFormat="1">
      <c r="A7" s="1380"/>
      <c r="B7" s="1016" t="s">
        <v>2217</v>
      </c>
      <c r="C7" s="1017" t="s">
        <v>4429</v>
      </c>
      <c r="D7" s="1017" t="s">
        <v>4430</v>
      </c>
      <c r="E7" s="1017" t="s">
        <v>4431</v>
      </c>
      <c r="F7" s="1018" t="s">
        <v>4432</v>
      </c>
      <c r="G7" s="1011"/>
      <c r="H7" s="1019" t="s">
        <v>2220</v>
      </c>
      <c r="I7" s="1020" t="s">
        <v>4433</v>
      </c>
      <c r="J7" s="1020" t="s">
        <v>4434</v>
      </c>
      <c r="K7" s="1020" t="s">
        <v>4435</v>
      </c>
      <c r="L7" s="1021" t="s">
        <v>4436</v>
      </c>
      <c r="M7" s="1381"/>
    </row>
    <row r="8" spans="1:13" s="170" customFormat="1">
      <c r="A8" s="1380"/>
      <c r="B8" s="1010"/>
      <c r="C8" s="1011"/>
      <c r="D8" s="1011"/>
      <c r="E8" s="1011"/>
      <c r="F8" s="1011"/>
      <c r="G8" s="1011"/>
      <c r="H8" s="1011"/>
      <c r="I8" s="1011"/>
      <c r="J8" s="1011"/>
      <c r="K8" s="1011"/>
      <c r="L8" s="1014"/>
      <c r="M8" s="1381"/>
    </row>
    <row r="9" spans="1:13" s="170" customFormat="1">
      <c r="A9" s="1380"/>
      <c r="B9" s="1022" t="s">
        <v>2208</v>
      </c>
      <c r="C9" s="1023" t="s">
        <v>4437</v>
      </c>
      <c r="D9" s="1023" t="s">
        <v>4438</v>
      </c>
      <c r="E9" s="1023" t="s">
        <v>4439</v>
      </c>
      <c r="F9" s="1024" t="s">
        <v>4440</v>
      </c>
      <c r="G9" s="1011"/>
      <c r="H9" s="1025" t="s">
        <v>2224</v>
      </c>
      <c r="I9" s="1023" t="s">
        <v>4441</v>
      </c>
      <c r="J9" s="1023" t="s">
        <v>4442</v>
      </c>
      <c r="K9" s="1023" t="s">
        <v>4443</v>
      </c>
      <c r="L9" s="1026" t="s">
        <v>4444</v>
      </c>
      <c r="M9" s="1381"/>
    </row>
    <row r="10" spans="1:13" s="170" customFormat="1">
      <c r="A10" s="1380"/>
      <c r="B10" s="1010" t="s">
        <v>2236</v>
      </c>
      <c r="C10" s="1011" t="s">
        <v>4445</v>
      </c>
      <c r="D10" s="1011" t="s">
        <v>4446</v>
      </c>
      <c r="E10" s="1011" t="s">
        <v>4447</v>
      </c>
      <c r="F10" s="1027" t="s">
        <v>4448</v>
      </c>
      <c r="G10" s="1011"/>
      <c r="H10" s="1013" t="s">
        <v>2230</v>
      </c>
      <c r="I10" s="1011" t="s">
        <v>4449</v>
      </c>
      <c r="J10" s="1011" t="s">
        <v>4450</v>
      </c>
      <c r="K10" s="1011" t="s">
        <v>4451</v>
      </c>
      <c r="L10" s="1014" t="s">
        <v>4452</v>
      </c>
      <c r="M10" s="1381"/>
    </row>
    <row r="11" spans="1:13" s="170" customFormat="1">
      <c r="A11" s="1380"/>
      <c r="B11" s="1010" t="s">
        <v>2222</v>
      </c>
      <c r="C11" s="1011" t="s">
        <v>4453</v>
      </c>
      <c r="D11" s="1015" t="s">
        <v>4454</v>
      </c>
      <c r="E11" s="1011" t="s">
        <v>4455</v>
      </c>
      <c r="F11" s="1027" t="s">
        <v>4456</v>
      </c>
      <c r="G11" s="1011"/>
      <c r="H11" s="1013" t="s">
        <v>2228</v>
      </c>
      <c r="I11" s="1011" t="s">
        <v>4457</v>
      </c>
      <c r="J11" s="1015" t="s">
        <v>4458</v>
      </c>
      <c r="K11" s="1011" t="s">
        <v>4459</v>
      </c>
      <c r="L11" s="1014" t="s">
        <v>4460</v>
      </c>
      <c r="M11" s="1381"/>
    </row>
    <row r="12" spans="1:13" s="170" customFormat="1">
      <c r="A12" s="1380"/>
      <c r="B12" s="1010" t="s">
        <v>2211</v>
      </c>
      <c r="C12" s="1011" t="s">
        <v>4461</v>
      </c>
      <c r="D12" s="1011" t="s">
        <v>4462</v>
      </c>
      <c r="E12" s="1011" t="s">
        <v>4463</v>
      </c>
      <c r="F12" s="1027" t="s">
        <v>4464</v>
      </c>
      <c r="G12" s="1011"/>
      <c r="H12" s="1013" t="s">
        <v>2212</v>
      </c>
      <c r="I12" s="1011" t="s">
        <v>4465</v>
      </c>
      <c r="J12" s="1011" t="s">
        <v>4466</v>
      </c>
      <c r="K12" s="1011" t="s">
        <v>4467</v>
      </c>
      <c r="L12" s="1014" t="s">
        <v>4468</v>
      </c>
      <c r="M12" s="1381"/>
    </row>
    <row r="13" spans="1:13" s="170" customFormat="1">
      <c r="A13" s="1380"/>
      <c r="B13" s="1028" t="s">
        <v>2232</v>
      </c>
      <c r="C13" s="1029" t="s">
        <v>4469</v>
      </c>
      <c r="D13" s="1029" t="s">
        <v>4470</v>
      </c>
      <c r="E13" s="1029" t="s">
        <v>4471</v>
      </c>
      <c r="F13" s="1030" t="s">
        <v>4472</v>
      </c>
      <c r="G13" s="1029"/>
      <c r="H13" s="1031" t="s">
        <v>2207</v>
      </c>
      <c r="I13" s="1029" t="s">
        <v>4473</v>
      </c>
      <c r="J13" s="1029" t="s">
        <v>4474</v>
      </c>
      <c r="K13" s="1029" t="s">
        <v>4475</v>
      </c>
      <c r="L13" s="1032" t="s">
        <v>4476</v>
      </c>
      <c r="M13" s="1381"/>
    </row>
    <row r="14" spans="1:13">
      <c r="A14" s="392"/>
      <c r="B14" s="1382" t="s">
        <v>4477</v>
      </c>
      <c r="C14" s="1382"/>
      <c r="D14" s="1382"/>
      <c r="E14" s="1382"/>
      <c r="F14" s="1382"/>
      <c r="G14" s="1382"/>
      <c r="H14" s="1382"/>
      <c r="I14" s="1382"/>
      <c r="J14" s="1382"/>
      <c r="K14" s="1382"/>
      <c r="L14" s="1382"/>
      <c r="M14" s="393"/>
    </row>
    <row r="16" spans="1:13">
      <c r="A16" s="1383" t="s">
        <v>4478</v>
      </c>
      <c r="B16" s="1383"/>
      <c r="C16" s="1383"/>
      <c r="D16" s="1383"/>
      <c r="E16" s="1383"/>
      <c r="F16" s="1383"/>
      <c r="G16" s="1383"/>
      <c r="H16" s="1383"/>
      <c r="I16" s="1383"/>
      <c r="J16" s="1383"/>
      <c r="K16" s="1383"/>
      <c r="L16" s="1383"/>
      <c r="M16" s="1383"/>
    </row>
    <row r="17" spans="1:13" ht="21">
      <c r="A17" s="348"/>
      <c r="B17" s="1384" t="s">
        <v>4203</v>
      </c>
      <c r="C17" s="1384"/>
      <c r="D17" s="1384"/>
      <c r="E17" s="1384"/>
      <c r="F17" s="1384"/>
      <c r="G17" s="1384"/>
      <c r="H17" s="1384"/>
      <c r="I17" s="1384"/>
      <c r="J17" s="1384"/>
      <c r="K17" s="1384"/>
      <c r="L17" s="1384"/>
      <c r="M17" s="483"/>
    </row>
    <row r="18" spans="1:13" ht="15.75">
      <c r="A18" s="1385" t="s">
        <v>4204</v>
      </c>
      <c r="B18" s="1034" t="s">
        <v>2240</v>
      </c>
      <c r="C18" s="1035" t="s">
        <v>2242</v>
      </c>
      <c r="D18" s="1035" t="s">
        <v>2244</v>
      </c>
      <c r="E18" s="1035" t="s">
        <v>2250</v>
      </c>
      <c r="F18" s="1036" t="s">
        <v>2252</v>
      </c>
      <c r="G18" s="1006"/>
      <c r="H18" s="1037" t="s">
        <v>2279</v>
      </c>
      <c r="I18" s="1035" t="s">
        <v>4479</v>
      </c>
      <c r="J18" s="1035" t="s">
        <v>4480</v>
      </c>
      <c r="K18" s="1035" t="s">
        <v>4481</v>
      </c>
      <c r="L18" s="1038" t="s">
        <v>4482</v>
      </c>
      <c r="M18" s="1386" t="s">
        <v>4211</v>
      </c>
    </row>
    <row r="19" spans="1:13" ht="15.75">
      <c r="A19" s="1385"/>
      <c r="B19" s="1039" t="s">
        <v>2283</v>
      </c>
      <c r="C19" s="1040" t="s">
        <v>4483</v>
      </c>
      <c r="D19" s="1040" t="s">
        <v>4484</v>
      </c>
      <c r="E19" s="1040" t="s">
        <v>4485</v>
      </c>
      <c r="F19" s="1041" t="s">
        <v>4486</v>
      </c>
      <c r="G19" s="1011"/>
      <c r="H19" s="1042" t="s">
        <v>2265</v>
      </c>
      <c r="I19" s="1040" t="s">
        <v>4487</v>
      </c>
      <c r="J19" s="1040" t="s">
        <v>4488</v>
      </c>
      <c r="K19" s="1040" t="s">
        <v>4489</v>
      </c>
      <c r="L19" s="1043" t="s">
        <v>4490</v>
      </c>
      <c r="M19" s="1386"/>
    </row>
    <row r="20" spans="1:13" ht="15.75">
      <c r="A20" s="1385"/>
      <c r="B20" s="1039" t="s">
        <v>2256</v>
      </c>
      <c r="C20" s="1040" t="s">
        <v>4491</v>
      </c>
      <c r="D20" s="1044" t="s">
        <v>4492</v>
      </c>
      <c r="E20" s="1040" t="s">
        <v>4493</v>
      </c>
      <c r="F20" s="1041" t="s">
        <v>4494</v>
      </c>
      <c r="G20" s="1011"/>
      <c r="H20" s="1042" t="s">
        <v>2275</v>
      </c>
      <c r="I20" s="1040" t="s">
        <v>4495</v>
      </c>
      <c r="J20" s="1044" t="s">
        <v>4496</v>
      </c>
      <c r="K20" s="1040" t="s">
        <v>4497</v>
      </c>
      <c r="L20" s="1043" t="s">
        <v>4498</v>
      </c>
      <c r="M20" s="1386"/>
    </row>
    <row r="21" spans="1:13" ht="15.75">
      <c r="A21" s="1385"/>
      <c r="B21" s="1039" t="s">
        <v>2287</v>
      </c>
      <c r="C21" s="1040" t="s">
        <v>4499</v>
      </c>
      <c r="D21" s="1040" t="s">
        <v>4500</v>
      </c>
      <c r="E21" s="1040" t="s">
        <v>4501</v>
      </c>
      <c r="F21" s="1041" t="s">
        <v>4502</v>
      </c>
      <c r="G21" s="1011"/>
      <c r="H21" s="1042" t="s">
        <v>2281</v>
      </c>
      <c r="I21" s="1040" t="s">
        <v>4503</v>
      </c>
      <c r="J21" s="1040" t="s">
        <v>4504</v>
      </c>
      <c r="K21" s="1040" t="s">
        <v>4505</v>
      </c>
      <c r="L21" s="1043" t="s">
        <v>4506</v>
      </c>
      <c r="M21" s="1386"/>
    </row>
    <row r="22" spans="1:13" ht="15.75">
      <c r="A22" s="1385"/>
      <c r="B22" s="1045" t="s">
        <v>2267</v>
      </c>
      <c r="C22" s="1046" t="s">
        <v>4507</v>
      </c>
      <c r="D22" s="1046" t="s">
        <v>4508</v>
      </c>
      <c r="E22" s="1046" t="s">
        <v>4509</v>
      </c>
      <c r="F22" s="1047" t="s">
        <v>4510</v>
      </c>
      <c r="G22" s="1011"/>
      <c r="H22" s="1048" t="s">
        <v>2270</v>
      </c>
      <c r="I22" s="1049" t="s">
        <v>4511</v>
      </c>
      <c r="J22" s="1049" t="s">
        <v>4512</v>
      </c>
      <c r="K22" s="1049" t="s">
        <v>4513</v>
      </c>
      <c r="L22" s="1050" t="s">
        <v>4514</v>
      </c>
      <c r="M22" s="1386"/>
    </row>
    <row r="23" spans="1:13">
      <c r="A23" s="1385"/>
      <c r="B23" s="1010"/>
      <c r="C23" s="1011"/>
      <c r="D23" s="1011"/>
      <c r="E23" s="1011"/>
      <c r="F23" s="1011"/>
      <c r="G23" s="1011"/>
      <c r="H23" s="1011"/>
      <c r="I23" s="1011"/>
      <c r="J23" s="1011"/>
      <c r="K23" s="1011"/>
      <c r="L23" s="1014"/>
      <c r="M23" s="1386"/>
    </row>
    <row r="24" spans="1:13" ht="15.75">
      <c r="A24" s="1385"/>
      <c r="B24" s="1051" t="s">
        <v>2258</v>
      </c>
      <c r="C24" s="1052" t="s">
        <v>4515</v>
      </c>
      <c r="D24" s="1052" t="s">
        <v>4516</v>
      </c>
      <c r="E24" s="1052" t="s">
        <v>4517</v>
      </c>
      <c r="F24" s="1053" t="s">
        <v>4518</v>
      </c>
      <c r="G24" s="1011"/>
      <c r="H24" s="1054" t="s">
        <v>2274</v>
      </c>
      <c r="I24" s="1052" t="s">
        <v>4519</v>
      </c>
      <c r="J24" s="1052" t="s">
        <v>4520</v>
      </c>
      <c r="K24" s="1052" t="s">
        <v>4521</v>
      </c>
      <c r="L24" s="1055" t="s">
        <v>4522</v>
      </c>
      <c r="M24" s="1386"/>
    </row>
    <row r="25" spans="1:13" ht="15.75">
      <c r="A25" s="1385"/>
      <c r="B25" s="1039" t="s">
        <v>2286</v>
      </c>
      <c r="C25" s="1040" t="s">
        <v>4523</v>
      </c>
      <c r="D25" s="1040" t="s">
        <v>4524</v>
      </c>
      <c r="E25" s="1040" t="s">
        <v>4525</v>
      </c>
      <c r="F25" s="1056" t="s">
        <v>4526</v>
      </c>
      <c r="G25" s="1011"/>
      <c r="H25" s="1042" t="s">
        <v>2280</v>
      </c>
      <c r="I25" s="1040" t="s">
        <v>4527</v>
      </c>
      <c r="J25" s="1040" t="s">
        <v>4528</v>
      </c>
      <c r="K25" s="1040" t="s">
        <v>4529</v>
      </c>
      <c r="L25" s="1043" t="s">
        <v>4530</v>
      </c>
      <c r="M25" s="1386"/>
    </row>
    <row r="26" spans="1:13" ht="15.75">
      <c r="A26" s="1385"/>
      <c r="B26" s="1039" t="s">
        <v>2272</v>
      </c>
      <c r="C26" s="1040" t="s">
        <v>4531</v>
      </c>
      <c r="D26" s="1044" t="s">
        <v>4532</v>
      </c>
      <c r="E26" s="1040" t="s">
        <v>4533</v>
      </c>
      <c r="F26" s="1056" t="s">
        <v>4534</v>
      </c>
      <c r="G26" s="1011"/>
      <c r="H26" s="1042" t="s">
        <v>2278</v>
      </c>
      <c r="I26" s="1040" t="s">
        <v>4535</v>
      </c>
      <c r="J26" s="1044" t="s">
        <v>4536</v>
      </c>
      <c r="K26" s="1040" t="s">
        <v>4537</v>
      </c>
      <c r="L26" s="1043" t="s">
        <v>4538</v>
      </c>
      <c r="M26" s="1386"/>
    </row>
    <row r="27" spans="1:13" ht="15.75">
      <c r="A27" s="1385"/>
      <c r="B27" s="1039" t="s">
        <v>2261</v>
      </c>
      <c r="C27" s="1040" t="s">
        <v>4539</v>
      </c>
      <c r="D27" s="1040" t="s">
        <v>4540</v>
      </c>
      <c r="E27" s="1040" t="s">
        <v>4541</v>
      </c>
      <c r="F27" s="1056" t="s">
        <v>4542</v>
      </c>
      <c r="G27" s="1011"/>
      <c r="H27" s="1042" t="s">
        <v>2262</v>
      </c>
      <c r="I27" s="1040" t="s">
        <v>4543</v>
      </c>
      <c r="J27" s="1040" t="s">
        <v>4544</v>
      </c>
      <c r="K27" s="1040" t="s">
        <v>4545</v>
      </c>
      <c r="L27" s="1043" t="s">
        <v>4546</v>
      </c>
      <c r="M27" s="1386"/>
    </row>
    <row r="28" spans="1:13" ht="15.75">
      <c r="A28" s="1385"/>
      <c r="B28" s="1057" t="s">
        <v>2282</v>
      </c>
      <c r="C28" s="1058" t="s">
        <v>4547</v>
      </c>
      <c r="D28" s="1058" t="s">
        <v>4548</v>
      </c>
      <c r="E28" s="1058" t="s">
        <v>4549</v>
      </c>
      <c r="F28" s="1059" t="s">
        <v>4550</v>
      </c>
      <c r="G28" s="1029"/>
      <c r="H28" s="1060" t="s">
        <v>2257</v>
      </c>
      <c r="I28" s="1058" t="s">
        <v>4551</v>
      </c>
      <c r="J28" s="1058" t="s">
        <v>4552</v>
      </c>
      <c r="K28" s="1058" t="s">
        <v>4553</v>
      </c>
      <c r="L28" s="1061" t="s">
        <v>4554</v>
      </c>
      <c r="M28" s="1386"/>
    </row>
    <row r="29" spans="1:13" ht="19.5">
      <c r="A29" s="392"/>
      <c r="B29" s="1387" t="s">
        <v>4275</v>
      </c>
      <c r="C29" s="1387"/>
      <c r="D29" s="1387"/>
      <c r="E29" s="1387"/>
      <c r="F29" s="1387"/>
      <c r="G29" s="1387"/>
      <c r="H29" s="1387"/>
      <c r="I29" s="1387"/>
      <c r="J29" s="1387"/>
      <c r="K29" s="1387"/>
      <c r="L29" s="1387"/>
      <c r="M29" s="393"/>
    </row>
    <row r="30" spans="1:13" ht="15.75">
      <c r="A30" s="380"/>
      <c r="B30" s="381"/>
      <c r="C30" s="381"/>
      <c r="D30" s="381"/>
      <c r="E30" s="381"/>
      <c r="F30" s="1388" t="s">
        <v>4555</v>
      </c>
      <c r="G30" s="1388"/>
      <c r="H30" s="1388"/>
      <c r="I30" s="381"/>
      <c r="J30" s="381"/>
      <c r="K30" s="381"/>
      <c r="L30" s="381"/>
      <c r="M30" s="1063"/>
    </row>
    <row r="31" spans="1:13" ht="21">
      <c r="A31" s="348"/>
      <c r="B31" s="1384" t="s">
        <v>4203</v>
      </c>
      <c r="C31" s="1384"/>
      <c r="D31" s="1384"/>
      <c r="E31" s="1384"/>
      <c r="F31" s="1384"/>
      <c r="G31" s="1384"/>
      <c r="H31" s="1384"/>
      <c r="I31" s="1384"/>
      <c r="J31" s="1384"/>
      <c r="K31" s="1384"/>
      <c r="L31" s="1384"/>
      <c r="M31" s="483"/>
    </row>
    <row r="32" spans="1:13" ht="15.75">
      <c r="A32" s="1385" t="s">
        <v>4204</v>
      </c>
      <c r="B32" s="1034" t="s">
        <v>2240</v>
      </c>
      <c r="C32" s="1035" t="s">
        <v>2242</v>
      </c>
      <c r="D32" s="1035" t="s">
        <v>2244</v>
      </c>
      <c r="E32" s="1035" t="s">
        <v>2250</v>
      </c>
      <c r="F32" s="1036" t="s">
        <v>2252</v>
      </c>
      <c r="G32" s="1006"/>
      <c r="H32" s="1037" t="s">
        <v>2279</v>
      </c>
      <c r="I32" s="1035" t="s">
        <v>4479</v>
      </c>
      <c r="J32" s="1035" t="s">
        <v>4480</v>
      </c>
      <c r="K32" s="1035" t="s">
        <v>4481</v>
      </c>
      <c r="L32" s="1038" t="s">
        <v>4482</v>
      </c>
      <c r="M32" s="1386" t="s">
        <v>4211</v>
      </c>
    </row>
    <row r="33" spans="1:13" ht="15.75">
      <c r="A33" s="1385"/>
      <c r="B33" s="1039" t="s">
        <v>2283</v>
      </c>
      <c r="C33" s="1040" t="s">
        <v>4483</v>
      </c>
      <c r="D33" s="1040" t="s">
        <v>4484</v>
      </c>
      <c r="E33" s="1040" t="s">
        <v>4485</v>
      </c>
      <c r="F33" s="1041" t="s">
        <v>4486</v>
      </c>
      <c r="G33" s="1011"/>
      <c r="H33" s="1042" t="s">
        <v>693</v>
      </c>
      <c r="I33" s="1040" t="s">
        <v>4556</v>
      </c>
      <c r="J33" s="1040" t="s">
        <v>4557</v>
      </c>
      <c r="K33" s="1040" t="s">
        <v>4558</v>
      </c>
      <c r="L33" s="1043" t="s">
        <v>4559</v>
      </c>
      <c r="M33" s="1386"/>
    </row>
    <row r="34" spans="1:13" ht="15.75">
      <c r="A34" s="1385"/>
      <c r="B34" s="1039" t="s">
        <v>2256</v>
      </c>
      <c r="C34" s="1040" t="s">
        <v>4491</v>
      </c>
      <c r="D34" s="1044" t="s">
        <v>4560</v>
      </c>
      <c r="E34" s="1040" t="s">
        <v>4493</v>
      </c>
      <c r="F34" s="1041" t="s">
        <v>4494</v>
      </c>
      <c r="G34" s="1011"/>
      <c r="H34" s="1042" t="s">
        <v>2275</v>
      </c>
      <c r="I34" s="1040" t="s">
        <v>4495</v>
      </c>
      <c r="J34" s="1044" t="s">
        <v>4561</v>
      </c>
      <c r="K34" s="1040" t="s">
        <v>4497</v>
      </c>
      <c r="L34" s="1043" t="s">
        <v>4498</v>
      </c>
      <c r="M34" s="1386"/>
    </row>
    <row r="35" spans="1:13" ht="15.75">
      <c r="A35" s="1385"/>
      <c r="B35" s="1039" t="s">
        <v>2287</v>
      </c>
      <c r="C35" s="1040" t="s">
        <v>4499</v>
      </c>
      <c r="D35" s="1040" t="s">
        <v>4500</v>
      </c>
      <c r="E35" s="1040" t="s">
        <v>4501</v>
      </c>
      <c r="F35" s="1041" t="s">
        <v>4502</v>
      </c>
      <c r="G35" s="1011"/>
      <c r="H35" s="1042" t="s">
        <v>2281</v>
      </c>
      <c r="I35" s="1040" t="s">
        <v>4503</v>
      </c>
      <c r="J35" s="1040" t="s">
        <v>4504</v>
      </c>
      <c r="K35" s="1040" t="s">
        <v>4505</v>
      </c>
      <c r="L35" s="1043" t="s">
        <v>4506</v>
      </c>
      <c r="M35" s="1386"/>
    </row>
    <row r="36" spans="1:13" ht="15.75">
      <c r="A36" s="1385"/>
      <c r="B36" s="1045" t="s">
        <v>4562</v>
      </c>
      <c r="C36" s="1046" t="s">
        <v>4563</v>
      </c>
      <c r="D36" s="1046" t="s">
        <v>4564</v>
      </c>
      <c r="E36" s="1046" t="s">
        <v>4565</v>
      </c>
      <c r="F36" s="1047" t="s">
        <v>4566</v>
      </c>
      <c r="G36" s="1011"/>
      <c r="H36" s="1048" t="s">
        <v>2270</v>
      </c>
      <c r="I36" s="1049" t="s">
        <v>4511</v>
      </c>
      <c r="J36" s="1049" t="s">
        <v>4512</v>
      </c>
      <c r="K36" s="1049" t="s">
        <v>4513</v>
      </c>
      <c r="L36" s="1050" t="s">
        <v>4514</v>
      </c>
      <c r="M36" s="1386"/>
    </row>
    <row r="37" spans="1:13">
      <c r="A37" s="1385"/>
      <c r="B37" s="1010"/>
      <c r="C37" s="1011"/>
      <c r="D37" s="1011"/>
      <c r="E37" s="1011"/>
      <c r="F37" s="1011"/>
      <c r="G37" s="1011"/>
      <c r="H37" s="1011"/>
      <c r="I37" s="1011"/>
      <c r="J37" s="1011"/>
      <c r="K37" s="1011"/>
      <c r="L37" s="1014"/>
      <c r="M37" s="1386"/>
    </row>
    <row r="38" spans="1:13" ht="15.75">
      <c r="A38" s="1385"/>
      <c r="B38" s="1051" t="s">
        <v>2258</v>
      </c>
      <c r="C38" s="1052" t="s">
        <v>4515</v>
      </c>
      <c r="D38" s="1052" t="s">
        <v>4516</v>
      </c>
      <c r="E38" s="1052" t="s">
        <v>4517</v>
      </c>
      <c r="F38" s="1053" t="s">
        <v>4518</v>
      </c>
      <c r="G38" s="1011"/>
      <c r="H38" s="1054" t="s">
        <v>2274</v>
      </c>
      <c r="I38" s="1052" t="s">
        <v>4519</v>
      </c>
      <c r="J38" s="1052" t="s">
        <v>4520</v>
      </c>
      <c r="K38" s="1052" t="s">
        <v>4521</v>
      </c>
      <c r="L38" s="1055" t="s">
        <v>4522</v>
      </c>
      <c r="M38" s="1386"/>
    </row>
    <row r="39" spans="1:13" ht="15.75">
      <c r="A39" s="1385"/>
      <c r="B39" s="1039" t="s">
        <v>2286</v>
      </c>
      <c r="C39" s="1040" t="s">
        <v>4523</v>
      </c>
      <c r="D39" s="1040" t="s">
        <v>4524</v>
      </c>
      <c r="E39" s="1040" t="s">
        <v>4525</v>
      </c>
      <c r="F39" s="1056" t="s">
        <v>4526</v>
      </c>
      <c r="G39" s="1011"/>
      <c r="H39" s="1042" t="s">
        <v>2280</v>
      </c>
      <c r="I39" s="1040" t="s">
        <v>4527</v>
      </c>
      <c r="J39" s="1040" t="s">
        <v>4528</v>
      </c>
      <c r="K39" s="1040" t="s">
        <v>4529</v>
      </c>
      <c r="L39" s="1043" t="s">
        <v>4530</v>
      </c>
      <c r="M39" s="1386"/>
    </row>
    <row r="40" spans="1:13" ht="15.75">
      <c r="A40" s="1385"/>
      <c r="B40" s="1039" t="s">
        <v>2272</v>
      </c>
      <c r="C40" s="1040" t="s">
        <v>4531</v>
      </c>
      <c r="D40" s="1044" t="s">
        <v>4567</v>
      </c>
      <c r="E40" s="1040" t="s">
        <v>4533</v>
      </c>
      <c r="F40" s="1056" t="s">
        <v>4534</v>
      </c>
      <c r="G40" s="1011"/>
      <c r="H40" s="1042" t="s">
        <v>2278</v>
      </c>
      <c r="I40" s="1040" t="s">
        <v>4535</v>
      </c>
      <c r="J40" s="1044" t="s">
        <v>4568</v>
      </c>
      <c r="K40" s="1040" t="s">
        <v>4537</v>
      </c>
      <c r="L40" s="1043" t="s">
        <v>4538</v>
      </c>
      <c r="M40" s="1386"/>
    </row>
    <row r="41" spans="1:13" ht="15.75">
      <c r="A41" s="1385"/>
      <c r="B41" s="1039" t="s">
        <v>2261</v>
      </c>
      <c r="C41" s="1040" t="s">
        <v>4539</v>
      </c>
      <c r="D41" s="1040" t="s">
        <v>4540</v>
      </c>
      <c r="E41" s="1040" t="s">
        <v>4541</v>
      </c>
      <c r="F41" s="1056" t="s">
        <v>4542</v>
      </c>
      <c r="G41" s="1011"/>
      <c r="H41" s="1042" t="s">
        <v>2262</v>
      </c>
      <c r="I41" s="1040" t="s">
        <v>4543</v>
      </c>
      <c r="J41" s="1040" t="s">
        <v>4544</v>
      </c>
      <c r="K41" s="1040" t="s">
        <v>4545</v>
      </c>
      <c r="L41" s="1043" t="s">
        <v>4546</v>
      </c>
      <c r="M41" s="1386"/>
    </row>
    <row r="42" spans="1:13" ht="15.75">
      <c r="A42" s="1385"/>
      <c r="B42" s="1057" t="s">
        <v>2282</v>
      </c>
      <c r="C42" s="1058" t="s">
        <v>4547</v>
      </c>
      <c r="D42" s="1058" t="s">
        <v>4548</v>
      </c>
      <c r="E42" s="1058" t="s">
        <v>4549</v>
      </c>
      <c r="F42" s="1059" t="s">
        <v>4550</v>
      </c>
      <c r="G42" s="1029"/>
      <c r="H42" s="1060" t="s">
        <v>2257</v>
      </c>
      <c r="I42" s="1058" t="s">
        <v>4551</v>
      </c>
      <c r="J42" s="1058" t="s">
        <v>4552</v>
      </c>
      <c r="K42" s="1058" t="s">
        <v>4553</v>
      </c>
      <c r="L42" s="1061" t="s">
        <v>4554</v>
      </c>
      <c r="M42" s="1386"/>
    </row>
    <row r="43" spans="1:13" ht="19.5">
      <c r="A43" s="392"/>
      <c r="B43" s="1387" t="s">
        <v>4275</v>
      </c>
      <c r="C43" s="1387"/>
      <c r="D43" s="1387"/>
      <c r="E43" s="1387"/>
      <c r="F43" s="1387"/>
      <c r="G43" s="1387"/>
      <c r="H43" s="1387"/>
      <c r="I43" s="1387"/>
      <c r="J43" s="1387"/>
      <c r="K43" s="1387"/>
      <c r="L43" s="1387"/>
      <c r="M43" s="393"/>
    </row>
    <row r="45" spans="1:13">
      <c r="A45" s="1378" t="str">
        <f t="shared" ref="A45:M45" si="0">A1&amp;" "&amp;A16</f>
        <v xml:space="preserve">शत पथ चक्र śata patha cakra </v>
      </c>
      <c r="B45" s="1378" t="str">
        <f t="shared" si="0"/>
        <v xml:space="preserve"> </v>
      </c>
      <c r="C45" s="1378" t="str">
        <f t="shared" si="0"/>
        <v xml:space="preserve"> </v>
      </c>
      <c r="D45" s="1378" t="str">
        <f t="shared" si="0"/>
        <v xml:space="preserve"> </v>
      </c>
      <c r="E45" s="1378" t="str">
        <f t="shared" si="0"/>
        <v xml:space="preserve"> </v>
      </c>
      <c r="F45" s="1378" t="str">
        <f t="shared" si="0"/>
        <v xml:space="preserve"> </v>
      </c>
      <c r="G45" s="1378" t="str">
        <f t="shared" si="0"/>
        <v xml:space="preserve"> </v>
      </c>
      <c r="H45" s="1378" t="str">
        <f t="shared" si="0"/>
        <v xml:space="preserve"> </v>
      </c>
      <c r="I45" s="1378" t="str">
        <f t="shared" si="0"/>
        <v xml:space="preserve"> </v>
      </c>
      <c r="J45" s="1378" t="str">
        <f t="shared" si="0"/>
        <v xml:space="preserve"> </v>
      </c>
      <c r="K45" s="1378" t="str">
        <f t="shared" si="0"/>
        <v xml:space="preserve"> </v>
      </c>
      <c r="L45" s="1378" t="str">
        <f t="shared" si="0"/>
        <v xml:space="preserve"> </v>
      </c>
      <c r="M45" s="1378" t="str">
        <f t="shared" si="0"/>
        <v xml:space="preserve"> </v>
      </c>
    </row>
    <row r="46" spans="1:13">
      <c r="A46" s="348" t="str">
        <f t="shared" ref="A46:M46" si="1">A2&amp;" "&amp;A17</f>
        <v xml:space="preserve"> </v>
      </c>
      <c r="B46" s="1379" t="str">
        <f t="shared" si="1"/>
        <v>इन्द्र EAST</v>
      </c>
      <c r="C46" s="1379" t="str">
        <f t="shared" si="1"/>
        <v xml:space="preserve"> </v>
      </c>
      <c r="D46" s="1379" t="str">
        <f t="shared" si="1"/>
        <v xml:space="preserve"> </v>
      </c>
      <c r="E46" s="1379" t="str">
        <f t="shared" si="1"/>
        <v xml:space="preserve"> </v>
      </c>
      <c r="F46" s="1379" t="str">
        <f t="shared" si="1"/>
        <v xml:space="preserve"> </v>
      </c>
      <c r="G46" s="1379" t="str">
        <f t="shared" si="1"/>
        <v xml:space="preserve"> </v>
      </c>
      <c r="H46" s="1379" t="str">
        <f t="shared" si="1"/>
        <v xml:space="preserve"> </v>
      </c>
      <c r="I46" s="1379" t="str">
        <f t="shared" si="1"/>
        <v xml:space="preserve"> </v>
      </c>
      <c r="J46" s="1379" t="str">
        <f t="shared" si="1"/>
        <v xml:space="preserve"> </v>
      </c>
      <c r="K46" s="1379" t="str">
        <f t="shared" si="1"/>
        <v xml:space="preserve"> </v>
      </c>
      <c r="L46" s="1379" t="str">
        <f t="shared" si="1"/>
        <v xml:space="preserve"> </v>
      </c>
      <c r="M46" s="483" t="str">
        <f t="shared" si="1"/>
        <v xml:space="preserve"> </v>
      </c>
    </row>
    <row r="47" spans="1:13">
      <c r="A47" s="1389" t="str">
        <f t="shared" ref="A47:M47" si="2">A3&amp;" "&amp;A18</f>
        <v>कुबेर NORTH</v>
      </c>
      <c r="B47" s="1005" t="str">
        <f t="shared" si="2"/>
        <v>अ a</v>
      </c>
      <c r="C47" s="1006" t="str">
        <f t="shared" si="2"/>
        <v>इ i</v>
      </c>
      <c r="D47" s="1006" t="str">
        <f t="shared" si="2"/>
        <v>उ u</v>
      </c>
      <c r="E47" s="1006" t="str">
        <f t="shared" si="2"/>
        <v>ए e</v>
      </c>
      <c r="F47" s="1007" t="str">
        <f t="shared" si="2"/>
        <v>ओ o</v>
      </c>
      <c r="G47" s="1006" t="str">
        <f t="shared" si="2"/>
        <v xml:space="preserve"> </v>
      </c>
      <c r="H47" s="1008" t="str">
        <f t="shared" si="2"/>
        <v>म ma</v>
      </c>
      <c r="I47" s="1006" t="str">
        <f t="shared" si="2"/>
        <v>मि mi</v>
      </c>
      <c r="J47" s="1006" t="str">
        <f t="shared" si="2"/>
        <v>मु mu</v>
      </c>
      <c r="K47" s="1006" t="str">
        <f t="shared" si="2"/>
        <v>मे me</v>
      </c>
      <c r="L47" s="1009" t="str">
        <f t="shared" si="2"/>
        <v>मो mo</v>
      </c>
      <c r="M47" s="1390" t="str">
        <f t="shared" si="2"/>
        <v>यम SOUTH</v>
      </c>
    </row>
    <row r="48" spans="1:13">
      <c r="A48" s="1389" t="str">
        <f t="shared" ref="A48:M48" si="3">A4&amp;" "&amp;A19</f>
        <v xml:space="preserve"> </v>
      </c>
      <c r="B48" s="1010" t="str">
        <f t="shared" si="3"/>
        <v>व va</v>
      </c>
      <c r="C48" s="1011" t="str">
        <f t="shared" si="3"/>
        <v>वि vi</v>
      </c>
      <c r="D48" s="1011" t="str">
        <f t="shared" si="3"/>
        <v>वु vu</v>
      </c>
      <c r="E48" s="1011" t="str">
        <f t="shared" si="3"/>
        <v>वे ve</v>
      </c>
      <c r="F48" s="1012" t="str">
        <f t="shared" si="3"/>
        <v>वो vo</v>
      </c>
      <c r="G48" s="1011" t="str">
        <f t="shared" si="3"/>
        <v xml:space="preserve"> </v>
      </c>
      <c r="H48" s="1013" t="str">
        <f t="shared" si="3"/>
        <v>ट ṭa</v>
      </c>
      <c r="I48" s="1011" t="str">
        <f t="shared" si="3"/>
        <v>टि ṭi</v>
      </c>
      <c r="J48" s="1011" t="str">
        <f t="shared" si="3"/>
        <v>टु ṭu</v>
      </c>
      <c r="K48" s="1011" t="str">
        <f t="shared" si="3"/>
        <v>टे ṭe</v>
      </c>
      <c r="L48" s="1014" t="str">
        <f t="shared" si="3"/>
        <v>टो ṭo</v>
      </c>
      <c r="M48" s="1390" t="str">
        <f t="shared" si="3"/>
        <v xml:space="preserve"> </v>
      </c>
    </row>
    <row r="49" spans="1:13" ht="30">
      <c r="A49" s="1389" t="str">
        <f t="shared" ref="A49:C59" si="4">A5&amp;" "&amp;A20</f>
        <v xml:space="preserve"> </v>
      </c>
      <c r="B49" s="1010" t="str">
        <f t="shared" si="4"/>
        <v>क ka</v>
      </c>
      <c r="C49" s="1011" t="str">
        <f t="shared" si="4"/>
        <v>कि ki</v>
      </c>
      <c r="D49" s="1064" t="str">
        <f>D5&amp;CHAR(10)&amp;" "&amp;D20</f>
        <v>कु घ ङ च
 ku gha ṅa ca</v>
      </c>
      <c r="E49" s="1011" t="str">
        <f t="shared" ref="E49:I58" si="5">E5&amp;" "&amp;E20</f>
        <v>के ke</v>
      </c>
      <c r="F49" s="1012" t="str">
        <f t="shared" si="5"/>
        <v>को ko</v>
      </c>
      <c r="G49" s="1011" t="str">
        <f t="shared" si="5"/>
        <v xml:space="preserve"> </v>
      </c>
      <c r="H49" s="1013" t="str">
        <f t="shared" si="5"/>
        <v>प pa</v>
      </c>
      <c r="I49" s="1011" t="str">
        <f t="shared" si="5"/>
        <v>पि pi</v>
      </c>
      <c r="J49" s="1064" t="str">
        <f>J5&amp;CHAR(10)&amp;" "&amp;J20</f>
        <v xml:space="preserve"> पु ष ण ठ
 pu ṣa ṇa ṭha</v>
      </c>
      <c r="K49" s="1011" t="str">
        <f t="shared" ref="K49:M59" si="6">K5&amp;" "&amp;K20</f>
        <v>पे pe</v>
      </c>
      <c r="L49" s="1014" t="str">
        <f t="shared" si="6"/>
        <v>पो po</v>
      </c>
      <c r="M49" s="1390" t="str">
        <f t="shared" si="6"/>
        <v xml:space="preserve"> </v>
      </c>
    </row>
    <row r="50" spans="1:13">
      <c r="A50" s="1389" t="str">
        <f t="shared" si="4"/>
        <v xml:space="preserve"> </v>
      </c>
      <c r="B50" s="1010" t="str">
        <f t="shared" si="4"/>
        <v>ह ha</v>
      </c>
      <c r="C50" s="1011" t="str">
        <f t="shared" si="4"/>
        <v>हि hi</v>
      </c>
      <c r="D50" s="1011" t="str">
        <f>D6&amp;" "&amp;D21</f>
        <v>हु hu</v>
      </c>
      <c r="E50" s="1011" t="str">
        <f t="shared" si="5"/>
        <v>हे he</v>
      </c>
      <c r="F50" s="1012" t="str">
        <f t="shared" si="5"/>
        <v>हो ho</v>
      </c>
      <c r="G50" s="1011" t="str">
        <f t="shared" si="5"/>
        <v xml:space="preserve"> </v>
      </c>
      <c r="H50" s="1013" t="str">
        <f t="shared" si="5"/>
        <v>र ra</v>
      </c>
      <c r="I50" s="1011" t="str">
        <f t="shared" si="5"/>
        <v>रि ri</v>
      </c>
      <c r="J50" s="1011" t="str">
        <f>J6&amp;" "&amp;J21</f>
        <v>रु ru</v>
      </c>
      <c r="K50" s="1011" t="str">
        <f t="shared" si="6"/>
        <v>रे re</v>
      </c>
      <c r="L50" s="1014" t="str">
        <f t="shared" si="6"/>
        <v>रो ro</v>
      </c>
      <c r="M50" s="1390" t="str">
        <f t="shared" si="6"/>
        <v xml:space="preserve"> </v>
      </c>
    </row>
    <row r="51" spans="1:13">
      <c r="A51" s="1389" t="str">
        <f t="shared" si="4"/>
        <v xml:space="preserve"> </v>
      </c>
      <c r="B51" s="1016" t="str">
        <f t="shared" si="4"/>
        <v>ड ḍa</v>
      </c>
      <c r="C51" s="1017" t="str">
        <f t="shared" si="4"/>
        <v>डि ḍi</v>
      </c>
      <c r="D51" s="1017" t="str">
        <f>D7&amp;" "&amp;D22</f>
        <v>डु ḍu</v>
      </c>
      <c r="E51" s="1017" t="str">
        <f t="shared" si="5"/>
        <v>डे ḍe</v>
      </c>
      <c r="F51" s="1018" t="str">
        <f t="shared" si="5"/>
        <v>डो ḍo</v>
      </c>
      <c r="G51" s="1011" t="str">
        <f t="shared" si="5"/>
        <v xml:space="preserve"> </v>
      </c>
      <c r="H51" s="1019" t="str">
        <f t="shared" si="5"/>
        <v>त ta</v>
      </c>
      <c r="I51" s="1020" t="str">
        <f t="shared" si="5"/>
        <v>ति ti</v>
      </c>
      <c r="J51" s="1020" t="str">
        <f>J7&amp;" "&amp;J22</f>
        <v>तु tu</v>
      </c>
      <c r="K51" s="1020" t="str">
        <f t="shared" si="6"/>
        <v>ते te</v>
      </c>
      <c r="L51" s="1021" t="str">
        <f t="shared" si="6"/>
        <v>तो to</v>
      </c>
      <c r="M51" s="1390" t="str">
        <f t="shared" si="6"/>
        <v xml:space="preserve"> </v>
      </c>
    </row>
    <row r="52" spans="1:13">
      <c r="A52" s="1389" t="str">
        <f t="shared" si="4"/>
        <v xml:space="preserve"> </v>
      </c>
      <c r="B52" s="1010" t="str">
        <f t="shared" si="4"/>
        <v xml:space="preserve"> </v>
      </c>
      <c r="C52" s="1011" t="str">
        <f t="shared" si="4"/>
        <v xml:space="preserve"> </v>
      </c>
      <c r="D52" s="1011" t="str">
        <f>D8&amp;" "&amp;D23</f>
        <v xml:space="preserve"> </v>
      </c>
      <c r="E52" s="1011" t="str">
        <f t="shared" si="5"/>
        <v xml:space="preserve"> </v>
      </c>
      <c r="F52" s="1011" t="str">
        <f t="shared" si="5"/>
        <v xml:space="preserve"> </v>
      </c>
      <c r="G52" s="1011" t="str">
        <f t="shared" si="5"/>
        <v xml:space="preserve"> </v>
      </c>
      <c r="H52" s="1011" t="str">
        <f t="shared" si="5"/>
        <v xml:space="preserve"> </v>
      </c>
      <c r="I52" s="1011" t="str">
        <f t="shared" si="5"/>
        <v xml:space="preserve"> </v>
      </c>
      <c r="J52" s="1011" t="str">
        <f>J8&amp;" "&amp;J23</f>
        <v xml:space="preserve"> </v>
      </c>
      <c r="K52" s="1011" t="str">
        <f t="shared" si="6"/>
        <v xml:space="preserve"> </v>
      </c>
      <c r="L52" s="1014" t="str">
        <f t="shared" si="6"/>
        <v xml:space="preserve"> </v>
      </c>
      <c r="M52" s="1390" t="str">
        <f t="shared" si="6"/>
        <v xml:space="preserve"> </v>
      </c>
    </row>
    <row r="53" spans="1:13">
      <c r="A53" s="1389" t="str">
        <f t="shared" si="4"/>
        <v xml:space="preserve"> </v>
      </c>
      <c r="B53" s="1022" t="str">
        <f t="shared" si="4"/>
        <v>ग ga</v>
      </c>
      <c r="C53" s="1023" t="str">
        <f t="shared" si="4"/>
        <v>गि gi</v>
      </c>
      <c r="D53" s="1023" t="str">
        <f>D9&amp;" "&amp;D24</f>
        <v>गु gu</v>
      </c>
      <c r="E53" s="1023" t="str">
        <f t="shared" si="5"/>
        <v>गे ge</v>
      </c>
      <c r="F53" s="1024" t="str">
        <f t="shared" si="5"/>
        <v>गो go</v>
      </c>
      <c r="G53" s="1011" t="str">
        <f t="shared" si="5"/>
        <v xml:space="preserve"> </v>
      </c>
      <c r="H53" s="1025" t="str">
        <f t="shared" si="5"/>
        <v>न na</v>
      </c>
      <c r="I53" s="1023" t="str">
        <f t="shared" si="5"/>
        <v>नि ni</v>
      </c>
      <c r="J53" s="1023" t="str">
        <f>J9&amp;" "&amp;J24</f>
        <v>नु nu</v>
      </c>
      <c r="K53" s="1023" t="str">
        <f t="shared" si="6"/>
        <v>ने ne</v>
      </c>
      <c r="L53" s="1026" t="str">
        <f t="shared" si="6"/>
        <v>नो no</v>
      </c>
      <c r="M53" s="1390" t="str">
        <f t="shared" si="6"/>
        <v xml:space="preserve"> </v>
      </c>
    </row>
    <row r="54" spans="1:13">
      <c r="A54" s="1389" t="str">
        <f t="shared" si="4"/>
        <v xml:space="preserve"> </v>
      </c>
      <c r="B54" s="1010" t="str">
        <f t="shared" si="4"/>
        <v>स sa</v>
      </c>
      <c r="C54" s="1011" t="str">
        <f t="shared" si="4"/>
        <v>सि si</v>
      </c>
      <c r="D54" s="1011" t="str">
        <f>D10&amp;" "&amp;D25</f>
        <v>सु su</v>
      </c>
      <c r="E54" s="1011" t="str">
        <f t="shared" si="5"/>
        <v>से se</v>
      </c>
      <c r="F54" s="1027" t="str">
        <f t="shared" si="5"/>
        <v>सो so</v>
      </c>
      <c r="G54" s="1011" t="str">
        <f t="shared" si="5"/>
        <v xml:space="preserve"> </v>
      </c>
      <c r="H54" s="1013" t="str">
        <f t="shared" si="5"/>
        <v>य ya</v>
      </c>
      <c r="I54" s="1011" t="str">
        <f t="shared" si="5"/>
        <v>यि yi</v>
      </c>
      <c r="J54" s="1011" t="str">
        <f>J10&amp;" "&amp;J25</f>
        <v>यु yu</v>
      </c>
      <c r="K54" s="1011" t="str">
        <f t="shared" si="6"/>
        <v>ये ye</v>
      </c>
      <c r="L54" s="1014" t="str">
        <f t="shared" si="6"/>
        <v>यो yo</v>
      </c>
      <c r="M54" s="1390" t="str">
        <f t="shared" si="6"/>
        <v xml:space="preserve"> </v>
      </c>
    </row>
    <row r="55" spans="1:13" ht="30">
      <c r="A55" s="1389" t="str">
        <f t="shared" si="4"/>
        <v xml:space="preserve"> </v>
      </c>
      <c r="B55" s="1010" t="str">
        <f t="shared" si="4"/>
        <v>द da</v>
      </c>
      <c r="C55" s="1011" t="str">
        <f t="shared" si="4"/>
        <v>दि di</v>
      </c>
      <c r="D55" s="1064" t="str">
        <f>D11&amp;CHAR(10)&amp;" "&amp;D26</f>
        <v>दु थ झ म
 du tha jha ma</v>
      </c>
      <c r="E55" s="1011" t="str">
        <f t="shared" si="5"/>
        <v>दे de</v>
      </c>
      <c r="F55" s="1027" t="str">
        <f t="shared" si="5"/>
        <v>दो do</v>
      </c>
      <c r="G55" s="1011" t="str">
        <f t="shared" si="5"/>
        <v xml:space="preserve"> </v>
      </c>
      <c r="H55" s="1013" t="str">
        <f t="shared" si="5"/>
        <v>भ bha</v>
      </c>
      <c r="I55" s="1011" t="str">
        <f t="shared" si="5"/>
        <v>भि bhi</v>
      </c>
      <c r="J55" s="1064" t="str">
        <f>J11&amp;CHAR(10)&amp;" "&amp;J26</f>
        <v>भु ध फ ट
 bhu dha pha ṭa</v>
      </c>
      <c r="K55" s="1011" t="str">
        <f t="shared" si="6"/>
        <v>भे bhe</v>
      </c>
      <c r="L55" s="1014" t="str">
        <f t="shared" si="6"/>
        <v>भो bho</v>
      </c>
      <c r="M55" s="1390" t="str">
        <f t="shared" si="6"/>
        <v xml:space="preserve"> </v>
      </c>
    </row>
    <row r="56" spans="1:13">
      <c r="A56" s="1389" t="str">
        <f t="shared" si="4"/>
        <v xml:space="preserve"> </v>
      </c>
      <c r="B56" s="1010" t="str">
        <f t="shared" si="4"/>
        <v>च ca</v>
      </c>
      <c r="C56" s="1011" t="str">
        <f t="shared" si="4"/>
        <v>चि ci</v>
      </c>
      <c r="D56" s="1011" t="str">
        <f>D12&amp;" "&amp;D27</f>
        <v>चु cu</v>
      </c>
      <c r="E56" s="1011" t="str">
        <f t="shared" si="5"/>
        <v>चे ce</v>
      </c>
      <c r="F56" s="1027" t="str">
        <f t="shared" si="5"/>
        <v>चो co</v>
      </c>
      <c r="G56" s="1011" t="str">
        <f t="shared" si="5"/>
        <v xml:space="preserve"> </v>
      </c>
      <c r="H56" s="1013" t="str">
        <f t="shared" si="5"/>
        <v>ज ja</v>
      </c>
      <c r="I56" s="1011" t="str">
        <f t="shared" si="5"/>
        <v>जि ji</v>
      </c>
      <c r="J56" s="1011" t="str">
        <f>J12&amp;" "&amp;J27</f>
        <v>जु ju</v>
      </c>
      <c r="K56" s="1011" t="str">
        <f t="shared" si="6"/>
        <v>जे je</v>
      </c>
      <c r="L56" s="1014" t="str">
        <f t="shared" si="6"/>
        <v>जो jo</v>
      </c>
      <c r="M56" s="1390" t="str">
        <f t="shared" si="6"/>
        <v xml:space="preserve"> </v>
      </c>
    </row>
    <row r="57" spans="1:13">
      <c r="A57" s="1389" t="str">
        <f t="shared" si="4"/>
        <v xml:space="preserve"> </v>
      </c>
      <c r="B57" s="1028" t="str">
        <f t="shared" si="4"/>
        <v>ल la</v>
      </c>
      <c r="C57" s="1029" t="str">
        <f t="shared" si="4"/>
        <v>लि li</v>
      </c>
      <c r="D57" s="1029" t="str">
        <f>D13&amp;" "&amp;D28</f>
        <v>लु lu</v>
      </c>
      <c r="E57" s="1029" t="str">
        <f t="shared" si="5"/>
        <v>ले le</v>
      </c>
      <c r="F57" s="1030" t="str">
        <f t="shared" si="5"/>
        <v>लो lo</v>
      </c>
      <c r="G57" s="1029" t="str">
        <f t="shared" si="5"/>
        <v xml:space="preserve"> </v>
      </c>
      <c r="H57" s="1031" t="str">
        <f t="shared" si="5"/>
        <v>ख kha</v>
      </c>
      <c r="I57" s="1029" t="str">
        <f t="shared" si="5"/>
        <v>खि khi</v>
      </c>
      <c r="J57" s="1029" t="str">
        <f>J13&amp;" "&amp;J28</f>
        <v>खु khu</v>
      </c>
      <c r="K57" s="1029" t="str">
        <f t="shared" si="6"/>
        <v>खे khe</v>
      </c>
      <c r="L57" s="1032" t="str">
        <f t="shared" si="6"/>
        <v>खो kho</v>
      </c>
      <c r="M57" s="1390" t="str">
        <f t="shared" si="6"/>
        <v xml:space="preserve"> </v>
      </c>
    </row>
    <row r="58" spans="1:13">
      <c r="A58" s="392" t="str">
        <f t="shared" si="4"/>
        <v xml:space="preserve"> </v>
      </c>
      <c r="B58" s="1382" t="str">
        <f t="shared" si="4"/>
        <v>वरुण WEST</v>
      </c>
      <c r="C58" s="1382" t="str">
        <f t="shared" si="4"/>
        <v xml:space="preserve"> </v>
      </c>
      <c r="D58" s="1382" t="str">
        <f>D14&amp;" "&amp;D29</f>
        <v xml:space="preserve"> </v>
      </c>
      <c r="E58" s="1382" t="str">
        <f t="shared" si="5"/>
        <v xml:space="preserve"> </v>
      </c>
      <c r="F58" s="1382" t="str">
        <f t="shared" si="5"/>
        <v xml:space="preserve"> </v>
      </c>
      <c r="G58" s="1382" t="str">
        <f t="shared" si="5"/>
        <v xml:space="preserve"> </v>
      </c>
      <c r="H58" s="1382" t="str">
        <f t="shared" si="5"/>
        <v xml:space="preserve"> </v>
      </c>
      <c r="I58" s="1382" t="str">
        <f t="shared" si="5"/>
        <v xml:space="preserve"> </v>
      </c>
      <c r="J58" s="1382" t="str">
        <f>J14&amp;" "&amp;J29</f>
        <v xml:space="preserve"> </v>
      </c>
      <c r="K58" s="1382" t="str">
        <f t="shared" si="6"/>
        <v xml:space="preserve"> </v>
      </c>
      <c r="L58" s="1382" t="str">
        <f t="shared" si="6"/>
        <v xml:space="preserve"> </v>
      </c>
      <c r="M58" s="393" t="str">
        <f t="shared" si="6"/>
        <v xml:space="preserve"> </v>
      </c>
    </row>
    <row r="59" spans="1:13">
      <c r="A59" t="str">
        <f t="shared" si="4"/>
        <v xml:space="preserve"> </v>
      </c>
      <c r="B59" t="str">
        <f t="shared" si="4"/>
        <v xml:space="preserve"> </v>
      </c>
      <c r="C59" t="str">
        <f t="shared" si="4"/>
        <v xml:space="preserve"> </v>
      </c>
      <c r="D59" t="str">
        <f>D15&amp;" "&amp;D30</f>
        <v xml:space="preserve"> </v>
      </c>
      <c r="E59" t="str">
        <f>E15&amp;" "&amp;E30</f>
        <v xml:space="preserve"> </v>
      </c>
      <c r="F59" t="str">
        <f>F15&amp;" "&amp;F30</f>
        <v xml:space="preserve"> shata patha cakra </v>
      </c>
      <c r="H59" t="str">
        <f>H15&amp;" "&amp;H30</f>
        <v xml:space="preserve"> </v>
      </c>
      <c r="I59" t="str">
        <f>I15&amp;" "&amp;I30</f>
        <v xml:space="preserve"> </v>
      </c>
      <c r="J59" t="str">
        <f>J15&amp;" "&amp;J30</f>
        <v xml:space="preserve"> </v>
      </c>
      <c r="K59" t="str">
        <f t="shared" si="6"/>
        <v xml:space="preserve"> </v>
      </c>
      <c r="L59" t="str">
        <f t="shared" si="6"/>
        <v xml:space="preserve"> </v>
      </c>
      <c r="M59" t="str">
        <f t="shared" si="6"/>
        <v xml:space="preserve"> </v>
      </c>
    </row>
    <row r="60" spans="1:13">
      <c r="A60" s="1383" t="s">
        <v>4569</v>
      </c>
      <c r="B60" s="1383"/>
      <c r="C60" s="1383"/>
      <c r="D60" s="1383"/>
      <c r="E60" s="1383"/>
      <c r="F60" s="1383"/>
      <c r="G60" s="1383"/>
      <c r="H60" s="1383"/>
      <c r="I60" s="1383"/>
      <c r="J60" s="1383"/>
      <c r="K60" s="1383"/>
      <c r="L60" s="1383"/>
      <c r="M60" s="1383"/>
    </row>
    <row r="61" spans="1:13" ht="21">
      <c r="A61" s="348"/>
      <c r="B61" s="1033"/>
      <c r="C61" s="194"/>
      <c r="D61" s="194"/>
      <c r="E61" s="194"/>
      <c r="F61" s="194"/>
      <c r="G61" s="194"/>
      <c r="H61" s="194"/>
      <c r="I61" s="194"/>
      <c r="J61" s="194"/>
      <c r="K61" s="194"/>
      <c r="L61" s="194"/>
      <c r="M61" s="483"/>
    </row>
    <row r="62" spans="1:13" ht="15.75">
      <c r="A62" s="1065"/>
      <c r="B62" s="1034" t="s">
        <v>4570</v>
      </c>
      <c r="C62" s="1035" t="s">
        <v>4571</v>
      </c>
      <c r="D62" s="1035" t="s">
        <v>4572</v>
      </c>
      <c r="E62" s="1035" t="s">
        <v>4573</v>
      </c>
      <c r="F62" s="1036" t="s">
        <v>4574</v>
      </c>
      <c r="G62" s="1006"/>
      <c r="H62" s="1037" t="s">
        <v>4575</v>
      </c>
      <c r="I62" s="1035" t="s">
        <v>4576</v>
      </c>
      <c r="J62" s="1035" t="s">
        <v>4577</v>
      </c>
      <c r="K62" s="1035" t="s">
        <v>4578</v>
      </c>
      <c r="L62" s="1038" t="s">
        <v>4579</v>
      </c>
      <c r="M62" s="1066"/>
    </row>
    <row r="63" spans="1:13" ht="15.75">
      <c r="A63" s="1067"/>
      <c r="B63" s="1039" t="s">
        <v>4580</v>
      </c>
      <c r="C63" s="1040" t="s">
        <v>4581</v>
      </c>
      <c r="D63" s="1040" t="s">
        <v>4582</v>
      </c>
      <c r="E63" s="1040" t="s">
        <v>4583</v>
      </c>
      <c r="F63" s="1041" t="s">
        <v>4584</v>
      </c>
      <c r="G63" s="1011"/>
      <c r="H63" s="1042" t="s">
        <v>4585</v>
      </c>
      <c r="I63" s="1040" t="s">
        <v>4586</v>
      </c>
      <c r="J63" s="1040" t="s">
        <v>4587</v>
      </c>
      <c r="K63" s="1040" t="s">
        <v>4588</v>
      </c>
      <c r="L63" s="1043" t="s">
        <v>4589</v>
      </c>
      <c r="M63" s="1068"/>
    </row>
    <row r="64" spans="1:13" ht="15.75">
      <c r="A64" s="1067"/>
      <c r="B64" s="1039" t="s">
        <v>4590</v>
      </c>
      <c r="C64" s="1040" t="s">
        <v>4591</v>
      </c>
      <c r="D64" s="1069" t="s">
        <v>4592</v>
      </c>
      <c r="E64" s="1040" t="s">
        <v>4593</v>
      </c>
      <c r="F64" s="1041" t="s">
        <v>4594</v>
      </c>
      <c r="G64" s="1011"/>
      <c r="H64" s="1042" t="s">
        <v>4595</v>
      </c>
      <c r="I64" s="1040" t="s">
        <v>4596</v>
      </c>
      <c r="J64" s="1069" t="s">
        <v>4597</v>
      </c>
      <c r="K64" s="1040" t="s">
        <v>4598</v>
      </c>
      <c r="L64" s="1043" t="s">
        <v>4599</v>
      </c>
      <c r="M64" s="1068"/>
    </row>
    <row r="65" spans="1:13" ht="15.75">
      <c r="A65" s="1067"/>
      <c r="B65" s="1039" t="s">
        <v>4600</v>
      </c>
      <c r="C65" s="1040" t="s">
        <v>4601</v>
      </c>
      <c r="D65" s="1040" t="s">
        <v>4602</v>
      </c>
      <c r="E65" s="1040" t="s">
        <v>4603</v>
      </c>
      <c r="F65" s="1041" t="s">
        <v>4604</v>
      </c>
      <c r="G65" s="1011"/>
      <c r="H65" s="1042" t="s">
        <v>4605</v>
      </c>
      <c r="I65" s="1040" t="s">
        <v>4606</v>
      </c>
      <c r="J65" s="1040" t="s">
        <v>4607</v>
      </c>
      <c r="K65" s="1040" t="s">
        <v>4608</v>
      </c>
      <c r="L65" s="1043" t="s">
        <v>4609</v>
      </c>
      <c r="M65" s="1068"/>
    </row>
    <row r="66" spans="1:13" ht="15.75">
      <c r="A66" s="1067"/>
      <c r="B66" s="1045" t="s">
        <v>4610</v>
      </c>
      <c r="C66" s="1046" t="s">
        <v>4611</v>
      </c>
      <c r="D66" s="1046" t="s">
        <v>4612</v>
      </c>
      <c r="E66" s="1046" t="s">
        <v>4613</v>
      </c>
      <c r="F66" s="1047" t="s">
        <v>4614</v>
      </c>
      <c r="G66" s="1011"/>
      <c r="H66" s="1048" t="s">
        <v>4615</v>
      </c>
      <c r="I66" s="1049" t="s">
        <v>4616</v>
      </c>
      <c r="J66" s="1049" t="s">
        <v>4617</v>
      </c>
      <c r="K66" s="1049" t="s">
        <v>4618</v>
      </c>
      <c r="L66" s="1050" t="s">
        <v>4619</v>
      </c>
      <c r="M66" s="1068"/>
    </row>
    <row r="67" spans="1:13">
      <c r="A67" s="1067"/>
      <c r="B67" s="1010"/>
      <c r="C67" s="1011"/>
      <c r="D67" s="1011"/>
      <c r="E67" s="1011"/>
      <c r="F67" s="1011"/>
      <c r="G67" s="1011"/>
      <c r="H67" s="1011"/>
      <c r="I67" s="1011"/>
      <c r="J67" s="1011"/>
      <c r="K67" s="1011"/>
      <c r="L67" s="1014"/>
      <c r="M67" s="1068"/>
    </row>
    <row r="68" spans="1:13" ht="15.75">
      <c r="A68" s="1067"/>
      <c r="B68" s="1058" t="s">
        <v>4620</v>
      </c>
      <c r="C68" s="1058" t="s">
        <v>4621</v>
      </c>
      <c r="D68" s="1058" t="s">
        <v>4622</v>
      </c>
      <c r="E68" s="1061" t="s">
        <v>4623</v>
      </c>
      <c r="F68" s="1051" t="s">
        <v>4624</v>
      </c>
      <c r="G68" s="1011"/>
      <c r="H68" s="1054" t="s">
        <v>4625</v>
      </c>
      <c r="I68" s="1052" t="s">
        <v>4626</v>
      </c>
      <c r="J68" s="1052" t="s">
        <v>4627</v>
      </c>
      <c r="K68" s="1052" t="s">
        <v>4628</v>
      </c>
      <c r="L68" s="1055" t="s">
        <v>4629</v>
      </c>
      <c r="M68" s="1068"/>
    </row>
    <row r="69" spans="1:13" ht="15.75">
      <c r="A69" s="1067"/>
      <c r="B69" s="1052" t="s">
        <v>4630</v>
      </c>
      <c r="C69" s="1052" t="s">
        <v>4631</v>
      </c>
      <c r="D69" s="1052" t="s">
        <v>4632</v>
      </c>
      <c r="E69" s="1053" t="s">
        <v>4633</v>
      </c>
      <c r="F69" s="1039" t="s">
        <v>4634</v>
      </c>
      <c r="G69" s="1011"/>
      <c r="H69" s="1042" t="s">
        <v>4635</v>
      </c>
      <c r="I69" s="1040" t="s">
        <v>4636</v>
      </c>
      <c r="J69" s="1040" t="s">
        <v>4637</v>
      </c>
      <c r="K69" s="1040" t="s">
        <v>4638</v>
      </c>
      <c r="L69" s="1043" t="s">
        <v>4639</v>
      </c>
      <c r="M69" s="1068"/>
    </row>
    <row r="70" spans="1:13" ht="15.75">
      <c r="A70" s="1067"/>
      <c r="B70" s="1040" t="s">
        <v>4640</v>
      </c>
      <c r="C70" s="1040" t="s">
        <v>4641</v>
      </c>
      <c r="D70" s="1040" t="s">
        <v>4642</v>
      </c>
      <c r="E70" s="1044" t="s">
        <v>4643</v>
      </c>
      <c r="F70" s="1044" t="s">
        <v>4644</v>
      </c>
      <c r="G70" s="1011"/>
      <c r="H70" s="1042" t="s">
        <v>4645</v>
      </c>
      <c r="I70" s="1040" t="s">
        <v>4646</v>
      </c>
      <c r="J70" s="1069" t="s">
        <v>4647</v>
      </c>
      <c r="K70" s="1040" t="s">
        <v>4648</v>
      </c>
      <c r="L70" s="1043" t="s">
        <v>4649</v>
      </c>
      <c r="M70" s="1068"/>
    </row>
    <row r="71" spans="1:13" ht="15.75">
      <c r="A71" s="1067"/>
      <c r="B71" s="1044" t="s">
        <v>4650</v>
      </c>
      <c r="C71" s="1044" t="s">
        <v>4651</v>
      </c>
      <c r="D71" s="1040" t="s">
        <v>4652</v>
      </c>
      <c r="E71" s="1056" t="s">
        <v>4653</v>
      </c>
      <c r="F71" s="1039" t="s">
        <v>4654</v>
      </c>
      <c r="G71" s="1011"/>
      <c r="H71" s="1042" t="s">
        <v>4655</v>
      </c>
      <c r="I71" s="1040" t="s">
        <v>4656</v>
      </c>
      <c r="J71" t="s">
        <v>4657</v>
      </c>
      <c r="K71" t="s">
        <v>4658</v>
      </c>
      <c r="L71" t="s">
        <v>4659</v>
      </c>
      <c r="M71" s="1068"/>
    </row>
    <row r="72" spans="1:13" ht="15.75">
      <c r="A72" s="1067"/>
      <c r="B72" s="1040" t="s">
        <v>4660</v>
      </c>
      <c r="C72" s="1040" t="s">
        <v>4661</v>
      </c>
      <c r="D72" s="1040" t="s">
        <v>4662</v>
      </c>
      <c r="E72" s="1056" t="s">
        <v>4663</v>
      </c>
      <c r="F72" s="1057" t="s">
        <v>4664</v>
      </c>
      <c r="G72" s="1029"/>
      <c r="H72" t="s">
        <v>4659</v>
      </c>
      <c r="I72" s="1040" t="s">
        <v>4665</v>
      </c>
      <c r="J72" s="1040" t="s">
        <v>4666</v>
      </c>
      <c r="K72" s="1043" t="s">
        <v>4667</v>
      </c>
      <c r="L72" s="1060" t="s">
        <v>4668</v>
      </c>
      <c r="M72" s="1068"/>
    </row>
    <row r="73" spans="1:13" ht="19.5">
      <c r="A73" s="392"/>
      <c r="B73" s="1062"/>
      <c r="C73" s="486"/>
      <c r="D73" s="486"/>
      <c r="E73" s="486"/>
      <c r="F73" s="486"/>
      <c r="G73" s="486"/>
      <c r="H73" s="486"/>
      <c r="I73" s="486"/>
      <c r="J73" s="486"/>
      <c r="K73" s="486"/>
      <c r="L73" s="486"/>
      <c r="M73" s="1070" t="s">
        <v>4669</v>
      </c>
    </row>
    <row r="75" spans="1:13" ht="15.75">
      <c r="A75" s="1391" t="str">
        <f t="shared" ref="A75:M75" si="7">A60&amp;CHAR(10)&amp;A45</f>
        <v xml:space="preserve">Hundred Paths Chakra
शत पथ चक्र śata patha cakra </v>
      </c>
      <c r="B75" s="1391" t="str">
        <f t="shared" si="7"/>
        <v xml:space="preserve">
 </v>
      </c>
      <c r="C75" s="1391" t="str">
        <f t="shared" si="7"/>
        <v xml:space="preserve">
 </v>
      </c>
      <c r="D75" s="1391" t="str">
        <f t="shared" si="7"/>
        <v xml:space="preserve">
 </v>
      </c>
      <c r="E75" s="1391" t="str">
        <f t="shared" si="7"/>
        <v xml:space="preserve">
 </v>
      </c>
      <c r="F75" s="1391" t="str">
        <f t="shared" si="7"/>
        <v xml:space="preserve">
 </v>
      </c>
      <c r="G75" s="1391" t="str">
        <f t="shared" si="7"/>
        <v xml:space="preserve">
 </v>
      </c>
      <c r="H75" s="1391" t="str">
        <f t="shared" si="7"/>
        <v xml:space="preserve">
 </v>
      </c>
      <c r="I75" s="1391" t="str">
        <f t="shared" si="7"/>
        <v xml:space="preserve">
 </v>
      </c>
      <c r="J75" s="1391" t="str">
        <f t="shared" si="7"/>
        <v xml:space="preserve">
 </v>
      </c>
      <c r="K75" s="1391" t="str">
        <f t="shared" si="7"/>
        <v xml:space="preserve">
 </v>
      </c>
      <c r="L75" s="1391" t="str">
        <f t="shared" si="7"/>
        <v xml:space="preserve">
 </v>
      </c>
      <c r="M75" s="1391" t="str">
        <f t="shared" si="7"/>
        <v xml:space="preserve">
 </v>
      </c>
    </row>
    <row r="76" spans="1:13" ht="40.5">
      <c r="A76" s="1071" t="str">
        <f t="shared" ref="A76:M76" si="8">A61&amp;CHAR(10)&amp;A46</f>
        <v xml:space="preserve">
 </v>
      </c>
      <c r="B76" s="1392" t="str">
        <f t="shared" si="8"/>
        <v xml:space="preserve">
इन्द्र EAST</v>
      </c>
      <c r="C76" s="1392" t="str">
        <f t="shared" si="8"/>
        <v xml:space="preserve">
 </v>
      </c>
      <c r="D76" s="1392" t="str">
        <f t="shared" si="8"/>
        <v xml:space="preserve">
 </v>
      </c>
      <c r="E76" s="1392" t="str">
        <f t="shared" si="8"/>
        <v xml:space="preserve">
 </v>
      </c>
      <c r="F76" s="1392" t="str">
        <f t="shared" si="8"/>
        <v xml:space="preserve">
 </v>
      </c>
      <c r="G76" s="1392" t="str">
        <f t="shared" si="8"/>
        <v xml:space="preserve">
 </v>
      </c>
      <c r="H76" s="1392" t="str">
        <f t="shared" si="8"/>
        <v xml:space="preserve">
 </v>
      </c>
      <c r="I76" s="1392" t="str">
        <f t="shared" si="8"/>
        <v xml:space="preserve">
 </v>
      </c>
      <c r="J76" s="1392" t="str">
        <f t="shared" si="8"/>
        <v xml:space="preserve">
 </v>
      </c>
      <c r="K76" s="1392" t="str">
        <f t="shared" si="8"/>
        <v xml:space="preserve">
 </v>
      </c>
      <c r="L76" s="1392" t="str">
        <f t="shared" si="8"/>
        <v xml:space="preserve">
 </v>
      </c>
      <c r="M76" s="1072" t="str">
        <f t="shared" si="8"/>
        <v xml:space="preserve">
 </v>
      </c>
    </row>
    <row r="77" spans="1:13" ht="40.5">
      <c r="A77" s="1393" t="str">
        <f t="shared" ref="A77:M77" si="9">A62&amp;CHAR(10)&amp;A47</f>
        <v xml:space="preserve">
कुबेर NORTH</v>
      </c>
      <c r="B77" s="1073" t="str">
        <f t="shared" si="9"/>
        <v>Krittika 1
अ a</v>
      </c>
      <c r="C77" s="1073" t="str">
        <f t="shared" si="9"/>
        <v>Krittika 2
इ i</v>
      </c>
      <c r="D77" s="1073" t="str">
        <f t="shared" si="9"/>
        <v>Krittika 3
उ u</v>
      </c>
      <c r="E77" s="1073" t="str">
        <f t="shared" si="9"/>
        <v>Krittika 4
ए e</v>
      </c>
      <c r="F77" s="1073" t="str">
        <f t="shared" si="9"/>
        <v>Rohini 1
ओ o</v>
      </c>
      <c r="G77" s="1073" t="str">
        <f t="shared" si="9"/>
        <v xml:space="preserve">
 </v>
      </c>
      <c r="H77" s="1073" t="str">
        <f t="shared" si="9"/>
        <v>Magha 1
म ma</v>
      </c>
      <c r="I77" s="1073" t="str">
        <f t="shared" si="9"/>
        <v>Magha 2
मि mi</v>
      </c>
      <c r="J77" s="1073" t="str">
        <f t="shared" si="9"/>
        <v>Magha 3
मु mu</v>
      </c>
      <c r="K77" s="1073" t="str">
        <f t="shared" si="9"/>
        <v>Magha 4
मे me</v>
      </c>
      <c r="L77" s="1073" t="str">
        <f t="shared" si="9"/>
        <v>P.Phaluguni 1
मो mo</v>
      </c>
      <c r="M77" s="1394" t="str">
        <f t="shared" si="9"/>
        <v xml:space="preserve">
यम SOUTH</v>
      </c>
    </row>
    <row r="78" spans="1:13" ht="40.5">
      <c r="A78" s="1393" t="str">
        <f t="shared" ref="A78:M78" si="10">A63&amp;CHAR(10)&amp;A48</f>
        <v xml:space="preserve">
 </v>
      </c>
      <c r="B78" s="1073" t="str">
        <f t="shared" si="10"/>
        <v>Rohini 2
व va</v>
      </c>
      <c r="C78" s="1073" t="str">
        <f t="shared" si="10"/>
        <v>Rohini 3
वि vi</v>
      </c>
      <c r="D78" s="1073" t="str">
        <f t="shared" si="10"/>
        <v>Rohini 4
वु vu</v>
      </c>
      <c r="E78" s="1073" t="str">
        <f t="shared" si="10"/>
        <v>Mrigashir 1
वे ve</v>
      </c>
      <c r="F78" s="1073" t="str">
        <f t="shared" si="10"/>
        <v>Mrigashir 2
वो vo</v>
      </c>
      <c r="G78" s="1073" t="str">
        <f t="shared" si="10"/>
        <v xml:space="preserve">
 </v>
      </c>
      <c r="H78" s="1073" t="str">
        <f t="shared" si="10"/>
        <v>P.Phalguni 2
ट ṭa</v>
      </c>
      <c r="I78" s="1073" t="str">
        <f t="shared" si="10"/>
        <v>P.Phalguni 3
टि ṭi</v>
      </c>
      <c r="J78" s="1073" t="str">
        <f t="shared" si="10"/>
        <v>P.Phalguni 4
टु ṭu</v>
      </c>
      <c r="K78" s="1073" t="str">
        <f t="shared" si="10"/>
        <v>U.Phalguni 1
टे ṭe</v>
      </c>
      <c r="L78" s="1073" t="str">
        <f t="shared" si="10"/>
        <v>U.Phalguni 2
टो ṭo</v>
      </c>
      <c r="M78" s="1394" t="str">
        <f t="shared" si="10"/>
        <v xml:space="preserve">
 </v>
      </c>
    </row>
    <row r="79" spans="1:13" ht="60.75">
      <c r="A79" s="1393" t="str">
        <f t="shared" ref="A79:M79" si="11">A64&amp;CHAR(10)&amp;A49</f>
        <v xml:space="preserve">
 </v>
      </c>
      <c r="B79" s="1073" t="str">
        <f t="shared" si="11"/>
        <v>Mrigashir 3
क ka</v>
      </c>
      <c r="C79" s="1073" t="str">
        <f t="shared" si="11"/>
        <v>Mrigashir 4
कि ki</v>
      </c>
      <c r="D79" s="1073" t="str">
        <f t="shared" si="11"/>
        <v>Ardra 1-4
कु घ ङ च
 ku gha ṅa ca</v>
      </c>
      <c r="E79" s="1073" t="str">
        <f t="shared" si="11"/>
        <v>Punarvasu 1
के ke</v>
      </c>
      <c r="F79" s="1073" t="str">
        <f t="shared" si="11"/>
        <v>Punarvasu 2
को ko</v>
      </c>
      <c r="G79" s="1073" t="str">
        <f t="shared" si="11"/>
        <v xml:space="preserve">
 </v>
      </c>
      <c r="H79" s="1073" t="str">
        <f t="shared" si="11"/>
        <v>U.Phalguni 3
प pa</v>
      </c>
      <c r="I79" s="1073" t="str">
        <f t="shared" si="11"/>
        <v>U.Phalguni 4
पि pi</v>
      </c>
      <c r="J79" s="1073" t="str">
        <f t="shared" si="11"/>
        <v>Hasta 1-4
 पु ष ण ठ
 pu ṣa ṇa ṭha</v>
      </c>
      <c r="K79" s="1073" t="str">
        <f t="shared" si="11"/>
        <v>Chitra 1
पे pe</v>
      </c>
      <c r="L79" s="1073" t="str">
        <f t="shared" si="11"/>
        <v>Chitra 2
पो po</v>
      </c>
      <c r="M79" s="1394" t="str">
        <f t="shared" si="11"/>
        <v xml:space="preserve">
 </v>
      </c>
    </row>
    <row r="80" spans="1:13" ht="40.5">
      <c r="A80" s="1393" t="str">
        <f t="shared" ref="A80:M80" si="12">A65&amp;CHAR(10)&amp;A50</f>
        <v xml:space="preserve">
 </v>
      </c>
      <c r="B80" s="1073" t="str">
        <f t="shared" si="12"/>
        <v>Punarvasu 3
ह ha</v>
      </c>
      <c r="C80" s="1073" t="str">
        <f t="shared" si="12"/>
        <v>Punarvasu 4
हि hi</v>
      </c>
      <c r="D80" s="1073" t="str">
        <f t="shared" si="12"/>
        <v>Pushya 1
हु hu</v>
      </c>
      <c r="E80" s="1073" t="str">
        <f t="shared" si="12"/>
        <v>Pushya 2
हे he</v>
      </c>
      <c r="F80" s="1073" t="str">
        <f t="shared" si="12"/>
        <v>Pushya 3
हो ho</v>
      </c>
      <c r="G80" s="1073" t="str">
        <f t="shared" si="12"/>
        <v xml:space="preserve">
 </v>
      </c>
      <c r="H80" s="1073" t="str">
        <f t="shared" si="12"/>
        <v>Chitra 3
र ra</v>
      </c>
      <c r="I80" s="1073" t="str">
        <f t="shared" si="12"/>
        <v>Chitra 4
रि ri</v>
      </c>
      <c r="J80" s="1073" t="str">
        <f t="shared" si="12"/>
        <v>Swati 1
रु ru</v>
      </c>
      <c r="K80" s="1073" t="str">
        <f t="shared" si="12"/>
        <v>Swati 2
रे re</v>
      </c>
      <c r="L80" s="1073" t="str">
        <f t="shared" si="12"/>
        <v>Swati 3
रो ro</v>
      </c>
      <c r="M80" s="1394" t="str">
        <f t="shared" si="12"/>
        <v xml:space="preserve">
 </v>
      </c>
    </row>
    <row r="81" spans="1:13" ht="40.5">
      <c r="A81" s="1393" t="str">
        <f t="shared" ref="A81:M81" si="13">A66&amp;CHAR(10)&amp;A51</f>
        <v xml:space="preserve">
 </v>
      </c>
      <c r="B81" s="1073" t="str">
        <f t="shared" si="13"/>
        <v>Pushya 4
ड ḍa</v>
      </c>
      <c r="C81" s="1073" t="str">
        <f t="shared" si="13"/>
        <v>Ashlesha 1
डि ḍi</v>
      </c>
      <c r="D81" s="1073" t="str">
        <f t="shared" si="13"/>
        <v>Ashlesha 2
डु ḍu</v>
      </c>
      <c r="E81" s="1073" t="str">
        <f t="shared" si="13"/>
        <v>Ashlesha 3
डे ḍe</v>
      </c>
      <c r="F81" s="1073" t="str">
        <f t="shared" si="13"/>
        <v>Ashlesha 4
डो ḍo</v>
      </c>
      <c r="G81" s="1073" t="str">
        <f t="shared" si="13"/>
        <v xml:space="preserve">
 </v>
      </c>
      <c r="H81" s="1073" t="str">
        <f t="shared" si="13"/>
        <v>Swati 4
त ta</v>
      </c>
      <c r="I81" s="1073" t="str">
        <f t="shared" si="13"/>
        <v>Vishaka 1
ति ti</v>
      </c>
      <c r="J81" s="1073" t="str">
        <f t="shared" si="13"/>
        <v>Vishaka 2
तु tu</v>
      </c>
      <c r="K81" s="1073" t="str">
        <f t="shared" si="13"/>
        <v>Vishaka 3
ते te</v>
      </c>
      <c r="L81" s="1073" t="str">
        <f t="shared" si="13"/>
        <v>Vishaka 4
तो to</v>
      </c>
      <c r="M81" s="1394" t="str">
        <f t="shared" si="13"/>
        <v xml:space="preserve">
 </v>
      </c>
    </row>
    <row r="82" spans="1:13" ht="14.25" customHeight="1">
      <c r="A82" s="1393" t="str">
        <f t="shared" ref="A82:M82" si="14">A67&amp;CHAR(10)&amp;A52</f>
        <v xml:space="preserve">
 </v>
      </c>
      <c r="B82" s="1073" t="str">
        <f t="shared" si="14"/>
        <v xml:space="preserve">
 </v>
      </c>
      <c r="C82" s="1073" t="str">
        <f t="shared" si="14"/>
        <v xml:space="preserve">
 </v>
      </c>
      <c r="D82" s="1073" t="str">
        <f t="shared" si="14"/>
        <v xml:space="preserve">
 </v>
      </c>
      <c r="E82" s="1073" t="str">
        <f t="shared" si="14"/>
        <v xml:space="preserve">
 </v>
      </c>
      <c r="F82" s="1073" t="str">
        <f t="shared" si="14"/>
        <v xml:space="preserve">
 </v>
      </c>
      <c r="G82" s="1073" t="str">
        <f t="shared" si="14"/>
        <v xml:space="preserve">
 </v>
      </c>
      <c r="H82" s="1073" t="str">
        <f t="shared" si="14"/>
        <v xml:space="preserve">
 </v>
      </c>
      <c r="I82" s="1073" t="str">
        <f t="shared" si="14"/>
        <v xml:space="preserve">
 </v>
      </c>
      <c r="J82" s="1073" t="str">
        <f t="shared" si="14"/>
        <v xml:space="preserve">
 </v>
      </c>
      <c r="K82" s="1073" t="str">
        <f t="shared" si="14"/>
        <v xml:space="preserve">
 </v>
      </c>
      <c r="L82" s="1073" t="str">
        <f t="shared" si="14"/>
        <v xml:space="preserve">
 </v>
      </c>
      <c r="M82" s="1394" t="str">
        <f t="shared" si="14"/>
        <v xml:space="preserve">
 </v>
      </c>
    </row>
    <row r="83" spans="1:13" ht="60.75">
      <c r="A83" s="1393" t="str">
        <f t="shared" ref="A83:M83" si="15">A68&amp;CHAR(10)&amp;A53</f>
        <v xml:space="preserve">
 </v>
      </c>
      <c r="B83" s="1073" t="str">
        <f t="shared" si="15"/>
        <v>Dhanishta 1
ग ga</v>
      </c>
      <c r="C83" s="1073" t="str">
        <f t="shared" si="15"/>
        <v>Dhanishta 2
गि gi</v>
      </c>
      <c r="D83" s="1073" t="str">
        <f t="shared" si="15"/>
        <v>Dhanishta 3
गु gu</v>
      </c>
      <c r="E83" s="1073" t="str">
        <f t="shared" si="15"/>
        <v>Dhanishta 4
गे ge</v>
      </c>
      <c r="F83" s="1073" t="str">
        <f t="shared" si="15"/>
        <v>Shatbhishaj 1
गो go</v>
      </c>
      <c r="G83" s="1073" t="str">
        <f t="shared" si="15"/>
        <v xml:space="preserve">
 </v>
      </c>
      <c r="H83" s="1073" t="str">
        <f t="shared" si="15"/>
        <v>Anuradha 1
न na</v>
      </c>
      <c r="I83" s="1073" t="str">
        <f t="shared" si="15"/>
        <v>Anuradha 2
नि ni</v>
      </c>
      <c r="J83" s="1073" t="str">
        <f t="shared" si="15"/>
        <v>Anuradha 3
नु nu</v>
      </c>
      <c r="K83" s="1073" t="str">
        <f t="shared" si="15"/>
        <v>Anuradha 4
ने ne</v>
      </c>
      <c r="L83" s="1073" t="str">
        <f t="shared" si="15"/>
        <v>Jyeshta 1
नो no</v>
      </c>
      <c r="M83" s="1394" t="str">
        <f t="shared" si="15"/>
        <v xml:space="preserve">
 </v>
      </c>
    </row>
    <row r="84" spans="1:13" ht="60.75">
      <c r="A84" s="1393" t="str">
        <f t="shared" ref="A84:M84" si="16">A69&amp;CHAR(10)&amp;A54</f>
        <v xml:space="preserve">
 </v>
      </c>
      <c r="B84" s="1073" t="str">
        <f t="shared" si="16"/>
        <v>Shatabhishaj 2
स sa</v>
      </c>
      <c r="C84" s="1073" t="str">
        <f t="shared" si="16"/>
        <v>Shatabhishaj 3
सि si</v>
      </c>
      <c r="D84" s="1073" t="str">
        <f t="shared" si="16"/>
        <v>Shatabhishaj 4
सु su</v>
      </c>
      <c r="E84" s="1073" t="str">
        <f t="shared" si="16"/>
        <v>P.Bhadra 1
से se</v>
      </c>
      <c r="F84" s="1073" t="str">
        <f t="shared" si="16"/>
        <v>P.Bhadra 2
सो so</v>
      </c>
      <c r="G84" s="1073" t="str">
        <f t="shared" si="16"/>
        <v xml:space="preserve">
 </v>
      </c>
      <c r="H84" s="1073" t="str">
        <f t="shared" si="16"/>
        <v>Jyeshta 2
य ya</v>
      </c>
      <c r="I84" s="1073" t="str">
        <f t="shared" si="16"/>
        <v>Jyeshta 3
यि yi</v>
      </c>
      <c r="J84" s="1073" t="str">
        <f t="shared" si="16"/>
        <v>Jyestha 4
यु yu</v>
      </c>
      <c r="K84" s="1073" t="str">
        <f t="shared" si="16"/>
        <v>Moola 1
ये ye</v>
      </c>
      <c r="L84" s="1073" t="str">
        <f t="shared" si="16"/>
        <v>Moola 2
यो yo</v>
      </c>
      <c r="M84" s="1394" t="str">
        <f t="shared" si="16"/>
        <v xml:space="preserve">
 </v>
      </c>
    </row>
    <row r="85" spans="1:13" ht="81">
      <c r="A85" s="1393" t="str">
        <f t="shared" ref="A85:M85" si="17">A70&amp;CHAR(10)&amp;A55</f>
        <v xml:space="preserve">
 </v>
      </c>
      <c r="B85" s="1073" t="str">
        <f t="shared" si="17"/>
        <v>P.Bhadra 3
द da</v>
      </c>
      <c r="C85" s="1073" t="str">
        <f t="shared" si="17"/>
        <v>P.Bhadra 4
दि di</v>
      </c>
      <c r="D85" s="1073" t="str">
        <f t="shared" si="17"/>
        <v>U.Bhadra 1-4
दु थ झ म
 du tha jha ma</v>
      </c>
      <c r="E85" s="1073" t="str">
        <f t="shared" si="17"/>
        <v>Revati 1
दे de</v>
      </c>
      <c r="F85" s="1073" t="str">
        <f t="shared" si="17"/>
        <v>Revati 2
दो do</v>
      </c>
      <c r="G85" s="1073" t="str">
        <f t="shared" si="17"/>
        <v xml:space="preserve">
 </v>
      </c>
      <c r="H85" s="1073" t="str">
        <f t="shared" si="17"/>
        <v>Moola 3
भ bha</v>
      </c>
      <c r="I85" s="1073" t="str">
        <f t="shared" si="17"/>
        <v>Moola 4
भि bhi</v>
      </c>
      <c r="J85" s="1073" t="str">
        <f t="shared" si="17"/>
        <v>P.Ashada 1-4
भु ध फ ट
 bhu dha pha ṭa</v>
      </c>
      <c r="K85" s="1073" t="str">
        <f t="shared" si="17"/>
        <v>U.Ashada 1
भे bhe</v>
      </c>
      <c r="L85" s="1073" t="str">
        <f t="shared" si="17"/>
        <v>U.Ashada 2
भो bho</v>
      </c>
      <c r="M85" s="1394" t="str">
        <f t="shared" si="17"/>
        <v xml:space="preserve">
 </v>
      </c>
    </row>
    <row r="86" spans="1:13" ht="40.5">
      <c r="A86" s="1393" t="str">
        <f t="shared" ref="A86:M86" si="18">A71&amp;CHAR(10)&amp;A56</f>
        <v xml:space="preserve">
 </v>
      </c>
      <c r="B86" s="1073" t="str">
        <f t="shared" si="18"/>
        <v>Revati 3
च ca</v>
      </c>
      <c r="C86" s="1073" t="str">
        <f t="shared" si="18"/>
        <v>Revati 4
चि ci</v>
      </c>
      <c r="D86" s="1073" t="str">
        <f t="shared" si="18"/>
        <v>Ashvini 1
चु cu</v>
      </c>
      <c r="E86" s="1073" t="str">
        <f t="shared" si="18"/>
        <v>Ashvini 2
चे ce</v>
      </c>
      <c r="F86" s="1073" t="str">
        <f t="shared" si="18"/>
        <v>Ashvini 3
चो co</v>
      </c>
      <c r="G86" s="1073" t="str">
        <f t="shared" si="18"/>
        <v xml:space="preserve">
 </v>
      </c>
      <c r="H86" s="1073" t="str">
        <f t="shared" si="18"/>
        <v>U.Ashada 3
ज ja</v>
      </c>
      <c r="I86" s="1073" t="str">
        <f t="shared" si="18"/>
        <v>U.Ashada 4
जि ji</v>
      </c>
      <c r="J86" s="1073" t="str">
        <f t="shared" si="18"/>
        <v>Abhijit 1
जु ju</v>
      </c>
      <c r="K86" s="1073" t="str">
        <f t="shared" si="18"/>
        <v>Abhijit 2
जे je</v>
      </c>
      <c r="L86" s="1073" t="str">
        <f t="shared" si="18"/>
        <v>Abhijit 3
जो jo</v>
      </c>
      <c r="M86" s="1394" t="str">
        <f t="shared" si="18"/>
        <v xml:space="preserve">
 </v>
      </c>
    </row>
    <row r="87" spans="1:13" ht="40.5">
      <c r="A87" s="1393" t="str">
        <f t="shared" ref="A87:M87" si="19">A72&amp;CHAR(10)&amp;A57</f>
        <v xml:space="preserve">
 </v>
      </c>
      <c r="B87" s="1073" t="str">
        <f t="shared" si="19"/>
        <v>Ashvini 4
ल la</v>
      </c>
      <c r="C87" s="1073" t="str">
        <f t="shared" si="19"/>
        <v>Bharani 1
लि li</v>
      </c>
      <c r="D87" s="1073" t="str">
        <f t="shared" si="19"/>
        <v>Bharani 2
लु lu</v>
      </c>
      <c r="E87" s="1073" t="str">
        <f t="shared" si="19"/>
        <v>Bharani 3
ले le</v>
      </c>
      <c r="F87" s="1073" t="str">
        <f t="shared" si="19"/>
        <v>Bharini 4
लो lo</v>
      </c>
      <c r="G87" s="1073" t="str">
        <f t="shared" si="19"/>
        <v xml:space="preserve">
 </v>
      </c>
      <c r="H87" s="1073" t="str">
        <f t="shared" si="19"/>
        <v>Abhijit 3
ख kha</v>
      </c>
      <c r="I87" s="1073" t="str">
        <f t="shared" si="19"/>
        <v>Sravana 1
खि khi</v>
      </c>
      <c r="J87" s="1073" t="str">
        <f t="shared" si="19"/>
        <v>Sravana 2
खु khu</v>
      </c>
      <c r="K87" s="1073" t="str">
        <f t="shared" si="19"/>
        <v>Sravana 3
खे khe</v>
      </c>
      <c r="L87" s="1073" t="str">
        <f t="shared" si="19"/>
        <v>Sravana 4
खो kho</v>
      </c>
      <c r="M87" s="1394" t="str">
        <f t="shared" si="19"/>
        <v xml:space="preserve">
 </v>
      </c>
    </row>
    <row r="88" spans="1:13" ht="40.5">
      <c r="A88" s="1074" t="str">
        <f t="shared" ref="A88:M88" si="20">A73&amp;CHAR(10)&amp;A58</f>
        <v xml:space="preserve">
 </v>
      </c>
      <c r="B88" s="1395" t="str">
        <f t="shared" si="20"/>
        <v xml:space="preserve">
वरुण WEST</v>
      </c>
      <c r="C88" s="1395" t="str">
        <f t="shared" si="20"/>
        <v xml:space="preserve">
 </v>
      </c>
      <c r="D88" s="1395" t="str">
        <f t="shared" si="20"/>
        <v xml:space="preserve">
 </v>
      </c>
      <c r="E88" s="1395" t="str">
        <f t="shared" si="20"/>
        <v xml:space="preserve">
 </v>
      </c>
      <c r="F88" s="1395" t="str">
        <f t="shared" si="20"/>
        <v xml:space="preserve">
 </v>
      </c>
      <c r="G88" s="1395" t="str">
        <f t="shared" si="20"/>
        <v xml:space="preserve">
 </v>
      </c>
      <c r="H88" s="1395" t="str">
        <f t="shared" si="20"/>
        <v xml:space="preserve">
 </v>
      </c>
      <c r="I88" s="1395" t="str">
        <f t="shared" si="20"/>
        <v xml:space="preserve">
 </v>
      </c>
      <c r="J88" s="1395" t="str">
        <f t="shared" si="20"/>
        <v xml:space="preserve">
 </v>
      </c>
      <c r="K88" s="1395" t="str">
        <f t="shared" si="20"/>
        <v xml:space="preserve">
 </v>
      </c>
      <c r="L88" s="1395" t="str">
        <f t="shared" si="20"/>
        <v xml:space="preserve">
 </v>
      </c>
      <c r="M88" s="1075" t="str">
        <f t="shared" si="20"/>
        <v xml:space="preserve">©Sanjay Prabhakaran
 </v>
      </c>
    </row>
    <row r="97" spans="1:13" ht="30">
      <c r="A97" s="68" t="str">
        <f t="shared" ref="A97:M97" si="21">A82&amp;CHAR(10)&amp;A67</f>
        <v xml:space="preserve">
</v>
      </c>
      <c r="B97" s="68" t="str">
        <f t="shared" si="21"/>
        <v xml:space="preserve">
</v>
      </c>
      <c r="C97" s="68" t="str">
        <f t="shared" si="21"/>
        <v xml:space="preserve">
</v>
      </c>
      <c r="D97" s="68" t="str">
        <f t="shared" si="21"/>
        <v xml:space="preserve">
</v>
      </c>
      <c r="E97" s="68" t="str">
        <f t="shared" si="21"/>
        <v xml:space="preserve">
</v>
      </c>
      <c r="F97" s="68" t="str">
        <f t="shared" si="21"/>
        <v xml:space="preserve">
</v>
      </c>
      <c r="G97" s="68" t="str">
        <f t="shared" si="21"/>
        <v xml:space="preserve">
</v>
      </c>
      <c r="H97" s="68" t="str">
        <f t="shared" si="21"/>
        <v xml:space="preserve">
</v>
      </c>
      <c r="I97" s="68" t="str">
        <f t="shared" si="21"/>
        <v xml:space="preserve">
</v>
      </c>
      <c r="J97" s="68" t="str">
        <f t="shared" si="21"/>
        <v xml:space="preserve">
</v>
      </c>
      <c r="K97" s="68" t="str">
        <f t="shared" si="21"/>
        <v xml:space="preserve">
</v>
      </c>
      <c r="L97" s="68" t="str">
        <f t="shared" si="21"/>
        <v xml:space="preserve">
</v>
      </c>
      <c r="M97" s="68" t="str">
        <f t="shared" si="21"/>
        <v xml:space="preserve">
</v>
      </c>
    </row>
  </sheetData>
  <mergeCells count="26">
    <mergeCell ref="B88:L88"/>
    <mergeCell ref="A60:M60"/>
    <mergeCell ref="A75:M75"/>
    <mergeCell ref="B76:L76"/>
    <mergeCell ref="A77:A87"/>
    <mergeCell ref="M77:M87"/>
    <mergeCell ref="A45:M45"/>
    <mergeCell ref="B46:L46"/>
    <mergeCell ref="A47:A57"/>
    <mergeCell ref="M47:M57"/>
    <mergeCell ref="B58:L58"/>
    <mergeCell ref="F30:H30"/>
    <mergeCell ref="B31:L31"/>
    <mergeCell ref="A32:A42"/>
    <mergeCell ref="M32:M42"/>
    <mergeCell ref="B43:L43"/>
    <mergeCell ref="A16:M16"/>
    <mergeCell ref="B17:L17"/>
    <mergeCell ref="A18:A28"/>
    <mergeCell ref="M18:M28"/>
    <mergeCell ref="B29:L29"/>
    <mergeCell ref="A1:M1"/>
    <mergeCell ref="B2:L2"/>
    <mergeCell ref="A3:A13"/>
    <mergeCell ref="M3:M13"/>
    <mergeCell ref="B14:L14"/>
  </mergeCells>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5"/>
  <sheetViews>
    <sheetView zoomScaleNormal="100" workbookViewId="0">
      <selection activeCell="B3" sqref="B3"/>
    </sheetView>
  </sheetViews>
  <sheetFormatPr defaultColWidth="5.7109375" defaultRowHeight="15"/>
  <cols>
    <col min="1" max="1" width="7" customWidth="1"/>
    <col min="19" max="19" width="16.42578125" customWidth="1"/>
    <col min="20" max="20" width="11.28515625" customWidth="1"/>
    <col min="21" max="21" width="28.7109375" customWidth="1"/>
    <col min="22" max="22" width="13.5703125" customWidth="1"/>
    <col min="23" max="23" width="28.85546875" customWidth="1"/>
  </cols>
  <sheetData>
    <row r="1" spans="1:23">
      <c r="A1" t="s">
        <v>801</v>
      </c>
      <c r="H1" t="s">
        <v>158</v>
      </c>
      <c r="I1" t="s">
        <v>4670</v>
      </c>
      <c r="O1" t="s">
        <v>163</v>
      </c>
    </row>
    <row r="2" spans="1:23" ht="33" customHeight="1">
      <c r="B2" t="s">
        <v>165</v>
      </c>
      <c r="H2" t="s">
        <v>158</v>
      </c>
      <c r="I2" t="s">
        <v>2100</v>
      </c>
      <c r="N2" t="s">
        <v>160</v>
      </c>
    </row>
    <row r="3" spans="1:23" ht="33" customHeight="1">
      <c r="C3" s="1076" t="s">
        <v>4671</v>
      </c>
      <c r="D3" s="1076"/>
      <c r="E3" s="1076"/>
      <c r="F3" s="991"/>
      <c r="G3" s="991"/>
      <c r="H3" s="75" t="s">
        <v>4672</v>
      </c>
      <c r="I3" s="991"/>
      <c r="J3" s="991"/>
      <c r="K3" s="996"/>
      <c r="L3" s="996"/>
      <c r="M3" s="1077" t="s">
        <v>4673</v>
      </c>
      <c r="R3" s="1078" t="s">
        <v>243</v>
      </c>
      <c r="S3" s="1078" t="s">
        <v>807</v>
      </c>
      <c r="T3" s="1078" t="s">
        <v>4674</v>
      </c>
      <c r="U3" s="1078" t="s">
        <v>4675</v>
      </c>
      <c r="V3" s="1078" t="s">
        <v>4676</v>
      </c>
      <c r="W3" s="1078" t="s">
        <v>4677</v>
      </c>
    </row>
    <row r="4" spans="1:23" ht="33" customHeight="1">
      <c r="C4" s="1076"/>
      <c r="D4" s="1079">
        <v>24</v>
      </c>
      <c r="E4" s="170"/>
      <c r="F4" s="170"/>
      <c r="G4" s="170"/>
      <c r="H4" s="1080">
        <v>1</v>
      </c>
      <c r="I4" s="170"/>
      <c r="J4" s="170"/>
      <c r="K4" s="170"/>
      <c r="L4" s="1079">
        <v>6</v>
      </c>
      <c r="M4" s="996"/>
      <c r="R4" s="1078">
        <v>1</v>
      </c>
      <c r="S4" s="1078" t="s">
        <v>826</v>
      </c>
      <c r="T4" s="1078" t="s">
        <v>4678</v>
      </c>
      <c r="U4" s="1081" t="s">
        <v>4679</v>
      </c>
      <c r="V4" s="1082" t="s">
        <v>4680</v>
      </c>
      <c r="W4" s="1083" t="s">
        <v>4681</v>
      </c>
    </row>
    <row r="5" spans="1:23" ht="33" customHeight="1">
      <c r="C5" s="1076"/>
      <c r="D5" s="170"/>
      <c r="E5" s="1079">
        <v>23</v>
      </c>
      <c r="F5" s="170"/>
      <c r="G5" s="170"/>
      <c r="H5" s="1080">
        <v>2</v>
      </c>
      <c r="I5" s="170"/>
      <c r="J5" s="170"/>
      <c r="K5" s="1079">
        <v>5</v>
      </c>
      <c r="L5" s="170"/>
      <c r="M5" s="996"/>
      <c r="R5" s="1078">
        <v>2</v>
      </c>
      <c r="S5" s="1078" t="s">
        <v>854</v>
      </c>
      <c r="T5" s="1078" t="s">
        <v>4682</v>
      </c>
      <c r="U5" s="1084" t="s">
        <v>4683</v>
      </c>
      <c r="V5" s="1085" t="s">
        <v>4684</v>
      </c>
      <c r="W5" s="1083" t="s">
        <v>4685</v>
      </c>
    </row>
    <row r="6" spans="1:23" ht="33" customHeight="1">
      <c r="C6" s="1086"/>
      <c r="D6" s="170"/>
      <c r="E6" s="170"/>
      <c r="F6" s="1079">
        <v>22</v>
      </c>
      <c r="G6" s="170"/>
      <c r="H6" s="1080">
        <v>3</v>
      </c>
      <c r="I6" s="170"/>
      <c r="J6" s="1079">
        <v>4</v>
      </c>
      <c r="K6" s="170"/>
      <c r="L6" s="170"/>
      <c r="M6" s="991"/>
      <c r="R6" s="1078">
        <v>3</v>
      </c>
      <c r="S6" s="1078" t="s">
        <v>836</v>
      </c>
      <c r="T6" s="1078" t="s">
        <v>4686</v>
      </c>
      <c r="U6" s="1084" t="s">
        <v>4687</v>
      </c>
      <c r="V6" s="1085" t="s">
        <v>4688</v>
      </c>
      <c r="W6" s="1083" t="s">
        <v>4689</v>
      </c>
    </row>
    <row r="7" spans="1:23" ht="33" customHeight="1">
      <c r="C7" s="1086"/>
      <c r="D7" s="170"/>
      <c r="E7" s="170"/>
      <c r="F7" s="170"/>
      <c r="G7" s="1080"/>
      <c r="H7" s="1080">
        <v>25</v>
      </c>
      <c r="I7" s="1080"/>
      <c r="J7" s="170"/>
      <c r="K7" s="170"/>
      <c r="L7" s="170"/>
      <c r="M7" s="991"/>
      <c r="R7" s="1078">
        <v>4</v>
      </c>
      <c r="S7" s="1078" t="s">
        <v>866</v>
      </c>
      <c r="T7" s="1078" t="s">
        <v>4690</v>
      </c>
      <c r="U7" s="1084" t="s">
        <v>4691</v>
      </c>
      <c r="V7" s="1085" t="s">
        <v>4692</v>
      </c>
      <c r="W7" s="1083" t="s">
        <v>4693</v>
      </c>
    </row>
    <row r="8" spans="1:23" ht="33" customHeight="1">
      <c r="A8" t="s">
        <v>161</v>
      </c>
      <c r="B8" t="s">
        <v>159</v>
      </c>
      <c r="C8" s="1087" t="s">
        <v>4694</v>
      </c>
      <c r="D8" s="1080">
        <v>19</v>
      </c>
      <c r="E8" s="1080">
        <v>20</v>
      </c>
      <c r="F8" s="1080">
        <v>21</v>
      </c>
      <c r="G8" s="1080"/>
      <c r="H8" s="1080" t="s">
        <v>4695</v>
      </c>
      <c r="I8" s="1080"/>
      <c r="J8" s="1080">
        <v>9</v>
      </c>
      <c r="K8" s="1080">
        <v>8</v>
      </c>
      <c r="L8" s="1080">
        <v>7</v>
      </c>
      <c r="M8" s="1088" t="s">
        <v>4696</v>
      </c>
      <c r="N8" t="s">
        <v>162</v>
      </c>
      <c r="O8" t="s">
        <v>160</v>
      </c>
      <c r="R8" s="1078">
        <v>5</v>
      </c>
      <c r="S8" s="1078" t="s">
        <v>861</v>
      </c>
      <c r="T8" s="1078" t="s">
        <v>4697</v>
      </c>
      <c r="U8" s="1084" t="s">
        <v>4698</v>
      </c>
      <c r="V8" s="1085" t="s">
        <v>4699</v>
      </c>
      <c r="W8" s="1083" t="s">
        <v>4700</v>
      </c>
    </row>
    <row r="9" spans="1:23" ht="33" customHeight="1">
      <c r="C9" s="1086"/>
      <c r="D9" s="170"/>
      <c r="E9" s="170"/>
      <c r="F9" s="170"/>
      <c r="G9" s="1080">
        <v>27</v>
      </c>
      <c r="H9" s="1080"/>
      <c r="I9" s="1080">
        <v>26</v>
      </c>
      <c r="J9" s="170"/>
      <c r="K9" s="170"/>
      <c r="L9" s="170"/>
      <c r="M9" s="991"/>
      <c r="R9" s="1078">
        <v>6</v>
      </c>
      <c r="S9" s="1078" t="s">
        <v>831</v>
      </c>
      <c r="T9" s="1078" t="s">
        <v>4701</v>
      </c>
      <c r="U9" s="1084" t="s">
        <v>4702</v>
      </c>
      <c r="V9" s="1085" t="s">
        <v>4703</v>
      </c>
      <c r="W9" s="1083" t="s">
        <v>4704</v>
      </c>
    </row>
    <row r="10" spans="1:23" ht="33" customHeight="1">
      <c r="C10" s="1086"/>
      <c r="D10" s="170"/>
      <c r="E10" s="170"/>
      <c r="F10" s="1079">
        <v>16</v>
      </c>
      <c r="G10" s="170"/>
      <c r="H10" s="1080">
        <v>15</v>
      </c>
      <c r="I10" s="170"/>
      <c r="J10" s="1079">
        <v>10</v>
      </c>
      <c r="K10" s="170"/>
      <c r="L10" s="170"/>
      <c r="M10" s="991"/>
      <c r="R10" s="1078">
        <v>7</v>
      </c>
      <c r="S10" s="1078" t="s">
        <v>842</v>
      </c>
      <c r="T10" s="1078" t="s">
        <v>4705</v>
      </c>
      <c r="U10" s="1084" t="s">
        <v>4706</v>
      </c>
      <c r="V10" s="1085" t="s">
        <v>4707</v>
      </c>
      <c r="W10" s="1083" t="s">
        <v>4708</v>
      </c>
    </row>
    <row r="11" spans="1:23" ht="33" customHeight="1">
      <c r="C11" s="1089"/>
      <c r="D11" s="170"/>
      <c r="E11" s="1079">
        <v>17</v>
      </c>
      <c r="F11" s="170"/>
      <c r="G11" s="170"/>
      <c r="H11" s="1080">
        <v>14</v>
      </c>
      <c r="I11" s="170"/>
      <c r="J11" s="170"/>
      <c r="K11" s="1079">
        <v>11</v>
      </c>
      <c r="L11" s="170"/>
      <c r="M11" s="1076"/>
      <c r="R11" s="1078">
        <v>8</v>
      </c>
      <c r="S11" s="1078" t="s">
        <v>848</v>
      </c>
      <c r="T11" s="1078" t="s">
        <v>4709</v>
      </c>
      <c r="U11" s="1084" t="s">
        <v>4710</v>
      </c>
      <c r="V11" s="1085" t="s">
        <v>4711</v>
      </c>
      <c r="W11" s="1083" t="s">
        <v>4712</v>
      </c>
    </row>
    <row r="12" spans="1:23" ht="33" customHeight="1">
      <c r="C12" s="1089"/>
      <c r="D12" s="1079">
        <v>18</v>
      </c>
      <c r="E12" s="170"/>
      <c r="F12" s="170"/>
      <c r="G12" s="170"/>
      <c r="H12" s="1080">
        <v>13</v>
      </c>
      <c r="I12" s="170"/>
      <c r="J12" s="170"/>
      <c r="K12" s="170"/>
      <c r="L12" s="1079">
        <v>12</v>
      </c>
      <c r="M12" s="1076"/>
    </row>
    <row r="13" spans="1:23" ht="33" customHeight="1">
      <c r="C13" s="1090" t="s">
        <v>4713</v>
      </c>
      <c r="D13" s="1089"/>
      <c r="E13" s="1089"/>
      <c r="F13" s="1086"/>
      <c r="G13" s="1086"/>
      <c r="H13" s="1091" t="s">
        <v>4714</v>
      </c>
      <c r="I13" s="1086"/>
      <c r="J13" s="1086"/>
      <c r="K13" s="1076"/>
      <c r="L13" s="1076"/>
      <c r="M13" s="1092" t="s">
        <v>4715</v>
      </c>
    </row>
    <row r="14" spans="1:23" ht="33" customHeight="1">
      <c r="B14" t="s">
        <v>164</v>
      </c>
      <c r="H14" t="s">
        <v>163</v>
      </c>
      <c r="N14" t="s">
        <v>800</v>
      </c>
    </row>
    <row r="15" spans="1:23">
      <c r="A15" t="s">
        <v>159</v>
      </c>
      <c r="H15" t="s">
        <v>164</v>
      </c>
      <c r="O15" t="s">
        <v>165</v>
      </c>
    </row>
  </sheetData>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legacyDrawing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34"/>
  <sheetViews>
    <sheetView topLeftCell="G1" zoomScaleNormal="100" workbookViewId="0">
      <selection activeCell="Y13" sqref="Y13"/>
    </sheetView>
  </sheetViews>
  <sheetFormatPr defaultColWidth="6.85546875" defaultRowHeight="15"/>
  <cols>
    <col min="1" max="1" width="18.85546875" style="855" customWidth="1"/>
    <col min="2" max="2" width="17.140625" style="855" customWidth="1"/>
    <col min="3" max="3" width="6.85546875" style="855"/>
    <col min="4" max="4" width="15.28515625" style="855" customWidth="1"/>
    <col min="5" max="5" width="6.85546875" style="855"/>
    <col min="6" max="6" width="8.5703125" style="855" customWidth="1"/>
    <col min="7" max="7" width="9.28515625" style="855" customWidth="1"/>
    <col min="8" max="8" width="15.28515625" style="855" customWidth="1"/>
    <col min="9" max="9" width="15.85546875" style="855" customWidth="1"/>
    <col min="10" max="10" width="13" style="855" customWidth="1"/>
    <col min="11" max="11" width="9.42578125" style="855" customWidth="1"/>
    <col min="12" max="12" width="15.7109375" style="855" customWidth="1"/>
    <col min="13" max="13" width="12.5703125" style="855" customWidth="1"/>
    <col min="14" max="14" width="8.42578125" style="855" customWidth="1"/>
    <col min="15" max="15" width="6.7109375" style="855" customWidth="1"/>
    <col min="16" max="16" width="14.7109375" style="855" customWidth="1"/>
    <col min="17" max="17" width="7.28515625" style="855" customWidth="1"/>
    <col min="18" max="18" width="9.5703125" style="855" customWidth="1"/>
    <col min="19" max="19" width="11" style="855" customWidth="1"/>
    <col min="20" max="20" width="6.85546875" style="855"/>
    <col min="21" max="22" width="11" style="855" customWidth="1"/>
    <col min="23" max="1024" width="6.85546875" style="855"/>
  </cols>
  <sheetData>
    <row r="1" spans="1:25" ht="15" customHeight="1">
      <c r="A1" s="855" t="s">
        <v>4716</v>
      </c>
      <c r="B1" s="1093">
        <f>DoB</f>
        <v>26133.384143518517</v>
      </c>
      <c r="D1" s="1094"/>
      <c r="F1" s="1094"/>
    </row>
    <row r="2" spans="1:25" ht="15" customHeight="1">
      <c r="A2" s="855" t="s">
        <v>4717</v>
      </c>
      <c r="B2" s="1094">
        <f>B1+2415018.5</f>
        <v>2441151.8841435183</v>
      </c>
      <c r="D2" s="1094"/>
      <c r="F2" s="1094"/>
      <c r="I2" s="855" t="s">
        <v>4718</v>
      </c>
    </row>
    <row r="3" spans="1:25" ht="15" customHeight="1">
      <c r="A3" s="855" t="s">
        <v>4719</v>
      </c>
      <c r="B3" s="1095">
        <f>VALUE(MID(JHora!A8,11,13))</f>
        <v>0.22916666666666666</v>
      </c>
      <c r="G3" s="855" t="s">
        <v>4720</v>
      </c>
      <c r="H3" s="104">
        <v>0</v>
      </c>
      <c r="I3" s="855" t="s">
        <v>4721</v>
      </c>
      <c r="J3" s="149">
        <f>TAN(RADIANS(H3))*12</f>
        <v>0</v>
      </c>
      <c r="K3" s="855" t="str">
        <f ca="1">_xlfn.FORMULATEXT(J3)</f>
        <v>=TAN(RADIANS(H3))*12</v>
      </c>
    </row>
    <row r="4" spans="1:25" ht="15" customHeight="1">
      <c r="A4" s="855" t="s">
        <v>4722</v>
      </c>
      <c r="B4" s="855" t="str">
        <f>MID(JHora!A8,25,4)</f>
        <v>East</v>
      </c>
      <c r="D4" s="1094"/>
      <c r="G4" s="855" t="s">
        <v>4723</v>
      </c>
      <c r="H4" s="149">
        <f>palbhaa*10</f>
        <v>0</v>
      </c>
      <c r="I4" s="855" t="str">
        <f ca="1">_xlfn.FORMULATEXT(H4)</f>
        <v>=palbhaa*10</v>
      </c>
      <c r="J4" s="149">
        <f>H4*6</f>
        <v>0</v>
      </c>
      <c r="K4" s="855" t="s">
        <v>4724</v>
      </c>
    </row>
    <row r="5" spans="1:25" ht="15" customHeight="1">
      <c r="A5" s="855" t="s">
        <v>4725</v>
      </c>
      <c r="B5" s="1094">
        <f>MOD(B3,1)*24*IF(B4="East",-1,1)</f>
        <v>-5.5</v>
      </c>
      <c r="D5" s="1094"/>
      <c r="G5" s="855" t="s">
        <v>4726</v>
      </c>
      <c r="H5" s="149">
        <f>palbhaa*8</f>
        <v>0</v>
      </c>
      <c r="I5" s="855" t="str">
        <f ca="1">_xlfn.FORMULATEXT(H5)</f>
        <v>=palbhaa*8</v>
      </c>
      <c r="J5" s="149">
        <f>H5*6</f>
        <v>0</v>
      </c>
      <c r="K5" s="855" t="s">
        <v>4724</v>
      </c>
    </row>
    <row r="6" spans="1:25" ht="15" customHeight="1">
      <c r="A6" s="855" t="s">
        <v>4727</v>
      </c>
      <c r="B6" s="1096">
        <f>MOD(B1,1)*24</f>
        <v>9.2194444444030523</v>
      </c>
      <c r="G6" s="855" t="s">
        <v>4728</v>
      </c>
      <c r="H6" s="149">
        <f>palbhaa*10/3</f>
        <v>0</v>
      </c>
      <c r="I6" s="855" t="str">
        <f ca="1">_xlfn.FORMULATEXT(H6)</f>
        <v>=palbhaa*10/3</v>
      </c>
      <c r="J6" s="149">
        <f>H6*6</f>
        <v>0</v>
      </c>
      <c r="K6" s="855" t="s">
        <v>4724</v>
      </c>
    </row>
    <row r="7" spans="1:25" ht="15" customHeight="1">
      <c r="A7" s="855" t="s">
        <v>4729</v>
      </c>
      <c r="B7" s="1097">
        <f>VALUE(RIGHT(SUBSTITUTE(JHora!A27,"-",":"),11)*24*-1)</f>
        <v>-23.444219444444446</v>
      </c>
      <c r="J7" s="149"/>
    </row>
    <row r="8" spans="1:25" ht="15" customHeight="1">
      <c r="A8" s="855" t="s">
        <v>4730</v>
      </c>
      <c r="B8" s="1096">
        <f>B6+B5</f>
        <v>3.7194444444030523</v>
      </c>
      <c r="F8" s="855" t="s">
        <v>1073</v>
      </c>
      <c r="G8" s="855" t="s">
        <v>4731</v>
      </c>
      <c r="H8" s="855" t="s">
        <v>4732</v>
      </c>
      <c r="J8" s="149"/>
      <c r="K8" s="855" t="s">
        <v>4733</v>
      </c>
      <c r="L8" s="855" t="s">
        <v>4734</v>
      </c>
      <c r="M8" s="855" t="s">
        <v>4735</v>
      </c>
      <c r="N8" s="855" t="s">
        <v>4736</v>
      </c>
    </row>
    <row r="9" spans="1:25" ht="15" customHeight="1">
      <c r="A9" s="855" t="s">
        <v>4737</v>
      </c>
      <c r="B9" s="855">
        <f>((B2 - 2415020) + B8/24 - 0.5)/36525</f>
        <v>0.71544254949678665</v>
      </c>
      <c r="F9" s="855" t="s">
        <v>4738</v>
      </c>
      <c r="G9" s="855" t="s">
        <v>896</v>
      </c>
      <c r="H9" s="855" t="s">
        <v>951</v>
      </c>
      <c r="I9" s="855" t="s">
        <v>961</v>
      </c>
      <c r="J9" s="149" t="s">
        <v>1006</v>
      </c>
      <c r="K9" s="855">
        <v>1674</v>
      </c>
      <c r="L9" s="1098">
        <v>7.7499999999999999E-2</v>
      </c>
      <c r="M9" s="855">
        <f>K9/6</f>
        <v>279</v>
      </c>
      <c r="N9" s="855">
        <f>K9/5400</f>
        <v>0.31</v>
      </c>
    </row>
    <row r="10" spans="1:25" ht="15" customHeight="1">
      <c r="A10" s="855" t="s">
        <v>4739</v>
      </c>
      <c r="B10" s="1097">
        <f>VALUE(SUBSTITUTE(SUBSTITUTE(SUBSTITUTE(MID(JHora!A9,16,11)," E ",":"),"' ",":")," W ",":")*24*IF(ISERROR(SEARCH(" E ",JHora!A9)),1,-1))</f>
        <v>-78.084722222222226</v>
      </c>
      <c r="F10" s="855" t="s">
        <v>4740</v>
      </c>
      <c r="G10" s="855" t="s">
        <v>908</v>
      </c>
      <c r="H10" s="855" t="s">
        <v>943</v>
      </c>
      <c r="I10" s="855" t="s">
        <v>969</v>
      </c>
      <c r="J10" s="149" t="s">
        <v>997</v>
      </c>
      <c r="K10" s="855">
        <v>1795</v>
      </c>
      <c r="L10" s="1098">
        <v>8.3101851851851899E-2</v>
      </c>
      <c r="M10" s="855">
        <f>K10/6</f>
        <v>299.16666666666669</v>
      </c>
      <c r="N10" s="855">
        <f>K10/5400</f>
        <v>0.33240740740740743</v>
      </c>
      <c r="W10" s="855">
        <f>RaashiMaana1</f>
        <v>1674</v>
      </c>
      <c r="X10" s="855" t="s">
        <v>4741</v>
      </c>
      <c r="Y10" s="855">
        <f>W10*$N$9</f>
        <v>518.93999999999994</v>
      </c>
    </row>
    <row r="11" spans="1:25" ht="15" customHeight="1">
      <c r="A11" s="855" t="s">
        <v>4742</v>
      </c>
      <c r="B11" s="1097">
        <f>VALUE(SUBSTITUTE(SUBSTITUTE(SUBSTITUTE(MID(JHora!A9,30,11)," N ",":"),"' ",":")," S ",":")*24*IF(ISERROR(SEARCH(" S ",JHora!A9)),1,-1))</f>
        <v>10.963055555555556</v>
      </c>
      <c r="F11" s="855" t="s">
        <v>4743</v>
      </c>
      <c r="G11" s="855" t="s">
        <v>920</v>
      </c>
      <c r="H11" s="855" t="s">
        <v>931</v>
      </c>
      <c r="I11" s="855" t="s">
        <v>3168</v>
      </c>
      <c r="J11" s="855" t="s">
        <v>987</v>
      </c>
      <c r="K11" s="855">
        <v>1931</v>
      </c>
      <c r="L11" s="1098">
        <v>8.9398148148148199E-2</v>
      </c>
      <c r="M11" s="855">
        <f>K11/6</f>
        <v>321.83333333333331</v>
      </c>
      <c r="N11" s="855">
        <f>K11/5400</f>
        <v>0.35759259259259257</v>
      </c>
      <c r="W11" s="855">
        <f>RaashiMaana1</f>
        <v>1674</v>
      </c>
      <c r="X11" s="855" t="s">
        <v>4744</v>
      </c>
      <c r="Y11" s="855">
        <f>W11*$N$10</f>
        <v>556.45000000000005</v>
      </c>
    </row>
    <row r="12" spans="1:25" ht="15" customHeight="1">
      <c r="A12" s="855" t="s">
        <v>4745</v>
      </c>
      <c r="B12" s="855">
        <f>(MOD(((6.6460656 + 2400.0512617 * B9 + 0.00002581 * B9 * B9 + B8) * 15 - B10), 360)) * PI()/180</f>
        <v>1.2225939773194847</v>
      </c>
      <c r="W12" s="855">
        <f>RaashiMaana1</f>
        <v>1674</v>
      </c>
      <c r="X12" s="855" t="s">
        <v>4746</v>
      </c>
      <c r="Y12" s="855">
        <f>W12*$N$11</f>
        <v>598.61</v>
      </c>
    </row>
    <row r="13" spans="1:25" ht="15" customHeight="1">
      <c r="A13" s="855" t="s">
        <v>4747</v>
      </c>
      <c r="B13" s="855">
        <f>(23.452294 - 0.0130125 * B9  - 0.00000164 * B9*B9 + 0.000000503 *B9*B9*B9 ) * PI()/180</f>
        <v>0.40915725115889001</v>
      </c>
      <c r="W13" s="855">
        <v>1795</v>
      </c>
      <c r="X13" s="855" t="s">
        <v>4748</v>
      </c>
      <c r="Y13" s="855">
        <f>W13*$N$9</f>
        <v>556.45000000000005</v>
      </c>
    </row>
    <row r="14" spans="1:25" ht="15" customHeight="1">
      <c r="A14" s="855" t="s">
        <v>4749</v>
      </c>
      <c r="B14" s="855">
        <f>ATAN2(COS(B13),TAN(B12))</f>
        <v>1.24931885341579</v>
      </c>
      <c r="W14" s="855">
        <v>1795</v>
      </c>
      <c r="X14" s="855" t="s">
        <v>4750</v>
      </c>
      <c r="Y14" s="855">
        <f>W14*$N$10</f>
        <v>596.6712962962963</v>
      </c>
    </row>
    <row r="15" spans="1:25" ht="15" customHeight="1">
      <c r="A15" s="855" t="s">
        <v>4751</v>
      </c>
      <c r="B15" s="855">
        <f>IF(B14&lt;0,PI(),0)+B14</f>
        <v>1.24931885341579</v>
      </c>
      <c r="G15" s="855" t="s">
        <v>4731</v>
      </c>
      <c r="M15" s="855" t="s">
        <v>4752</v>
      </c>
      <c r="N15" s="855" t="s">
        <v>4732</v>
      </c>
      <c r="O15" s="855" t="s">
        <v>4732</v>
      </c>
      <c r="P15" s="855" t="s">
        <v>4732</v>
      </c>
      <c r="Q15" s="855" t="s">
        <v>4732</v>
      </c>
      <c r="R15" s="855" t="s">
        <v>4732</v>
      </c>
      <c r="S15" s="855" t="s">
        <v>4732</v>
      </c>
      <c r="W15" s="855">
        <v>1795</v>
      </c>
      <c r="X15" s="855" t="s">
        <v>4753</v>
      </c>
      <c r="Y15" s="855">
        <f>W15*$N$11</f>
        <v>641.87870370370365</v>
      </c>
    </row>
    <row r="16" spans="1:25" ht="15" customHeight="1">
      <c r="A16" s="855" t="s">
        <v>4754</v>
      </c>
      <c r="B16" s="855">
        <f>IF(SIN(B12)&lt;0,PI(),0)+B15</f>
        <v>1.24931885341579</v>
      </c>
      <c r="F16" s="855" t="s">
        <v>1073</v>
      </c>
      <c r="G16" s="855" t="s">
        <v>4731</v>
      </c>
      <c r="H16" s="855" t="s">
        <v>4755</v>
      </c>
      <c r="I16" s="855" t="s">
        <v>4756</v>
      </c>
      <c r="J16" s="855" t="s">
        <v>4757</v>
      </c>
      <c r="K16" s="855" t="s">
        <v>730</v>
      </c>
      <c r="L16" s="855" t="s">
        <v>805</v>
      </c>
      <c r="M16" s="855" t="s">
        <v>4732</v>
      </c>
      <c r="N16" s="855" t="s">
        <v>4758</v>
      </c>
      <c r="O16" s="855" t="s">
        <v>4759</v>
      </c>
      <c r="P16" s="855" t="s">
        <v>4760</v>
      </c>
      <c r="Q16" s="855" t="s">
        <v>4761</v>
      </c>
      <c r="R16" s="855" t="s">
        <v>4762</v>
      </c>
      <c r="S16" s="855" t="s">
        <v>4763</v>
      </c>
      <c r="T16" s="855" t="s">
        <v>4764</v>
      </c>
      <c r="U16" s="855" t="s">
        <v>4765</v>
      </c>
      <c r="W16" s="855">
        <v>1931</v>
      </c>
      <c r="X16" s="855" t="s">
        <v>4766</v>
      </c>
      <c r="Y16" s="855">
        <f>W16*$N$9</f>
        <v>598.61</v>
      </c>
    </row>
    <row r="17" spans="1:25" ht="15" customHeight="1">
      <c r="A17" s="855" t="s">
        <v>4767</v>
      </c>
      <c r="B17" s="855">
        <f>B16*180/PI()</f>
        <v>71.580697566847917</v>
      </c>
      <c r="E17" s="525" t="s">
        <v>4768</v>
      </c>
      <c r="F17" s="855" t="s">
        <v>4738</v>
      </c>
      <c r="G17" s="525">
        <v>1</v>
      </c>
      <c r="H17" s="855" t="s">
        <v>896</v>
      </c>
      <c r="I17" s="149">
        <f>K9-J4</f>
        <v>1674</v>
      </c>
      <c r="J17" s="179">
        <f t="shared" ref="J17:J22" si="0">4/(24*60*60)*I17</f>
        <v>7.7499999999999999E-2</v>
      </c>
      <c r="K17" s="179">
        <f t="shared" ref="K17:K27" si="1">IF(G17=$B$31,$B$34,K18-J17)</f>
        <v>26132.998453437627</v>
      </c>
      <c r="L17" s="1099">
        <f t="shared" ref="L17:L28" si="2">K17+J17</f>
        <v>26133.075953437627</v>
      </c>
      <c r="M17" s="1100">
        <v>7.7314814814814795E-2</v>
      </c>
      <c r="N17" s="855">
        <f t="shared" ref="N17:N28" si="3">M17*(24*60*60)/4</f>
        <v>1669.9999999999995</v>
      </c>
      <c r="O17" s="1101">
        <f t="shared" ref="O17:O28" si="4">N17/6</f>
        <v>278.33333333333326</v>
      </c>
      <c r="P17" s="1102">
        <f t="shared" ref="P17:P29" si="5">ABS(J17-M17)</f>
        <v>1.8518518518520488E-4</v>
      </c>
      <c r="Q17" s="855">
        <v>279</v>
      </c>
      <c r="R17" s="855">
        <f t="shared" ref="R17:R28" si="6">Q17*6</f>
        <v>1674</v>
      </c>
      <c r="S17" s="179">
        <f t="shared" ref="S17:S28" si="7">4/(24*60*60)*R17</f>
        <v>7.7499999999999999E-2</v>
      </c>
      <c r="T17" s="855">
        <v>15</v>
      </c>
      <c r="U17" s="855">
        <f>SIN(4*Table14[[#This Row],[Dec]]/180*PI())</f>
        <v>0.8660254037844386</v>
      </c>
      <c r="W17" s="855">
        <v>1931</v>
      </c>
      <c r="X17" s="855" t="s">
        <v>4769</v>
      </c>
      <c r="Y17" s="855">
        <f>W17*$N$10</f>
        <v>641.87870370370376</v>
      </c>
    </row>
    <row r="18" spans="1:25" ht="15" customHeight="1">
      <c r="A18" s="855" t="s">
        <v>4770</v>
      </c>
      <c r="B18" s="855">
        <f>ATAN2(-SIN(B12)*COS(B13)-TAN(B11 * PI()/180)*SIN(B13),COS(B12))</f>
        <v>2.7932112236813325</v>
      </c>
      <c r="E18" s="525" t="s">
        <v>4768</v>
      </c>
      <c r="F18" s="855" t="s">
        <v>4740</v>
      </c>
      <c r="G18" s="525">
        <v>2</v>
      </c>
      <c r="H18" s="855" t="s">
        <v>908</v>
      </c>
      <c r="I18" s="149">
        <f>K10-J5</f>
        <v>1795</v>
      </c>
      <c r="J18" s="179">
        <f t="shared" si="0"/>
        <v>8.3101851851851843E-2</v>
      </c>
      <c r="K18" s="179">
        <f t="shared" si="1"/>
        <v>26133.075953437627</v>
      </c>
      <c r="L18" s="1099">
        <f t="shared" si="2"/>
        <v>26133.159055289478</v>
      </c>
      <c r="M18" s="1100">
        <v>8.2847222222222197E-2</v>
      </c>
      <c r="N18" s="855">
        <f t="shared" si="3"/>
        <v>1789.4999999999995</v>
      </c>
      <c r="O18" s="1101">
        <f t="shared" si="4"/>
        <v>298.24999999999994</v>
      </c>
      <c r="P18" s="1102">
        <f t="shared" si="5"/>
        <v>2.546296296296463E-4</v>
      </c>
      <c r="Q18" s="855">
        <v>299</v>
      </c>
      <c r="R18" s="855">
        <f t="shared" si="6"/>
        <v>1794</v>
      </c>
      <c r="S18" s="179">
        <f t="shared" si="7"/>
        <v>8.3055555555555549E-2</v>
      </c>
      <c r="T18" s="855">
        <v>45</v>
      </c>
      <c r="U18" s="855">
        <f>SIN(4*Table14[[#This Row],[Dec]]/180*PI())</f>
        <v>1.22514845490862E-16</v>
      </c>
      <c r="W18" s="855">
        <v>1931</v>
      </c>
      <c r="X18" s="855" t="s">
        <v>4771</v>
      </c>
      <c r="Y18" s="855">
        <f>W18*$N$11</f>
        <v>690.51129629629622</v>
      </c>
    </row>
    <row r="19" spans="1:25" ht="15" customHeight="1">
      <c r="A19" s="855" t="s">
        <v>4772</v>
      </c>
      <c r="B19" s="855">
        <f>IF(B18&lt;0,PI(),0)+B18</f>
        <v>2.7932112236813325</v>
      </c>
      <c r="E19" s="525" t="s">
        <v>4768</v>
      </c>
      <c r="F19" s="855" t="s">
        <v>4743</v>
      </c>
      <c r="G19" s="525">
        <v>3</v>
      </c>
      <c r="H19" s="855" t="s">
        <v>920</v>
      </c>
      <c r="I19" s="149">
        <f>K11-J6</f>
        <v>1931</v>
      </c>
      <c r="J19" s="179">
        <f t="shared" si="0"/>
        <v>8.9398148148148143E-2</v>
      </c>
      <c r="K19" s="179">
        <f t="shared" si="1"/>
        <v>26133.159055289478</v>
      </c>
      <c r="L19" s="1099">
        <f t="shared" si="2"/>
        <v>26133.248453437627</v>
      </c>
      <c r="M19" s="1100">
        <v>8.9143518518518497E-2</v>
      </c>
      <c r="N19" s="855">
        <f t="shared" si="3"/>
        <v>1925.4999999999995</v>
      </c>
      <c r="O19" s="1101">
        <f t="shared" si="4"/>
        <v>320.91666666666657</v>
      </c>
      <c r="P19" s="1102">
        <f t="shared" si="5"/>
        <v>2.546296296296463E-4</v>
      </c>
      <c r="Q19" s="855">
        <v>322</v>
      </c>
      <c r="R19" s="855">
        <f t="shared" si="6"/>
        <v>1932</v>
      </c>
      <c r="S19" s="179">
        <f t="shared" si="7"/>
        <v>8.9444444444444438E-2</v>
      </c>
      <c r="T19" s="855">
        <v>75</v>
      </c>
      <c r="U19" s="855">
        <f>SIN(4*Table14[[#This Row],[Dec]]/180*PI())</f>
        <v>-0.8660254037844386</v>
      </c>
    </row>
    <row r="20" spans="1:25" ht="15" customHeight="1">
      <c r="A20" s="855" t="s">
        <v>4773</v>
      </c>
      <c r="B20" s="855">
        <f>IF(COS(B12)&lt;0,PI(),0)+B19</f>
        <v>2.7932112236813325</v>
      </c>
      <c r="E20" s="525" t="s">
        <v>4774</v>
      </c>
      <c r="F20" s="855" t="s">
        <v>4738</v>
      </c>
      <c r="G20" s="525">
        <v>4</v>
      </c>
      <c r="H20" s="855" t="s">
        <v>931</v>
      </c>
      <c r="I20" s="149">
        <f>K11+J6</f>
        <v>1931</v>
      </c>
      <c r="J20" s="179">
        <f t="shared" si="0"/>
        <v>8.9398148148148143E-2</v>
      </c>
      <c r="K20" s="179">
        <f t="shared" si="1"/>
        <v>26133.248453437627</v>
      </c>
      <c r="L20" s="1099">
        <f t="shared" si="2"/>
        <v>26133.337851585777</v>
      </c>
      <c r="M20" s="1100">
        <v>8.9143518518518497E-2</v>
      </c>
      <c r="N20" s="855">
        <f t="shared" si="3"/>
        <v>1925.4999999999995</v>
      </c>
      <c r="O20" s="1101">
        <f t="shared" si="4"/>
        <v>320.91666666666657</v>
      </c>
      <c r="P20" s="1102">
        <f t="shared" si="5"/>
        <v>2.546296296296463E-4</v>
      </c>
      <c r="Q20" s="855">
        <f>Q19</f>
        <v>322</v>
      </c>
      <c r="R20" s="855">
        <f t="shared" si="6"/>
        <v>1932</v>
      </c>
      <c r="S20" s="179">
        <f t="shared" si="7"/>
        <v>8.9444444444444438E-2</v>
      </c>
      <c r="T20" s="855">
        <v>105</v>
      </c>
      <c r="U20" s="855">
        <f>SIN(4*Table14[[#This Row],[Dec]]/180*PI())</f>
        <v>0.86602540378443882</v>
      </c>
    </row>
    <row r="21" spans="1:25" ht="15" customHeight="1">
      <c r="A21" s="855" t="s">
        <v>4775</v>
      </c>
      <c r="B21" s="855">
        <f>MOD(B20*180/PI(),360)</f>
        <v>160.0392144055125</v>
      </c>
      <c r="E21" s="525" t="s">
        <v>4774</v>
      </c>
      <c r="F21" s="855" t="s">
        <v>4740</v>
      </c>
      <c r="G21" s="525">
        <v>5</v>
      </c>
      <c r="H21" s="855" t="s">
        <v>943</v>
      </c>
      <c r="I21" s="149">
        <f>K10+J5</f>
        <v>1795</v>
      </c>
      <c r="J21" s="179">
        <f t="shared" si="0"/>
        <v>8.3101851851851843E-2</v>
      </c>
      <c r="K21" s="179">
        <f t="shared" si="1"/>
        <v>26133.337851585777</v>
      </c>
      <c r="L21" s="1099">
        <f t="shared" si="2"/>
        <v>26133.420953437628</v>
      </c>
      <c r="M21" s="1100">
        <v>8.2847222222222197E-2</v>
      </c>
      <c r="N21" s="855">
        <f t="shared" si="3"/>
        <v>1789.4999999999995</v>
      </c>
      <c r="O21" s="1101">
        <f t="shared" si="4"/>
        <v>298.24999999999994</v>
      </c>
      <c r="P21" s="1102">
        <f t="shared" si="5"/>
        <v>2.546296296296463E-4</v>
      </c>
      <c r="Q21" s="855">
        <f>Q18</f>
        <v>299</v>
      </c>
      <c r="R21" s="855">
        <f t="shared" si="6"/>
        <v>1794</v>
      </c>
      <c r="S21" s="179">
        <f t="shared" si="7"/>
        <v>8.3055555555555549E-2</v>
      </c>
      <c r="T21" s="855">
        <v>135</v>
      </c>
      <c r="U21" s="855">
        <f>SIN(4*Table14[[#This Row],[Dec]]/180*PI())</f>
        <v>3.67544536472586E-16</v>
      </c>
    </row>
    <row r="22" spans="1:25" ht="15" customHeight="1">
      <c r="A22" s="855" t="s">
        <v>4776</v>
      </c>
      <c r="B22" s="855">
        <f>B21+B7</f>
        <v>136.59499496106804</v>
      </c>
      <c r="D22" s="855">
        <f>B22/24</f>
        <v>5.691458123377835</v>
      </c>
      <c r="E22" s="525" t="s">
        <v>4774</v>
      </c>
      <c r="F22" s="855" t="s">
        <v>4743</v>
      </c>
      <c r="G22" s="525">
        <v>6</v>
      </c>
      <c r="H22" s="855" t="s">
        <v>951</v>
      </c>
      <c r="I22" s="149">
        <f>K9+J4</f>
        <v>1674</v>
      </c>
      <c r="J22" s="179">
        <f t="shared" si="0"/>
        <v>7.7499999999999999E-2</v>
      </c>
      <c r="K22" s="179">
        <f t="shared" si="1"/>
        <v>26133.420953437628</v>
      </c>
      <c r="L22" s="1099">
        <f t="shared" si="2"/>
        <v>26133.498453437627</v>
      </c>
      <c r="M22" s="1100">
        <v>7.7314814814814795E-2</v>
      </c>
      <c r="N22" s="855">
        <f t="shared" si="3"/>
        <v>1669.9999999999995</v>
      </c>
      <c r="O22" s="1101">
        <f t="shared" si="4"/>
        <v>278.33333333333326</v>
      </c>
      <c r="P22" s="1102">
        <f t="shared" si="5"/>
        <v>1.8518518518520488E-4</v>
      </c>
      <c r="Q22" s="855">
        <f>Q17</f>
        <v>279</v>
      </c>
      <c r="R22" s="855">
        <f t="shared" si="6"/>
        <v>1674</v>
      </c>
      <c r="S22" s="179">
        <f t="shared" si="7"/>
        <v>7.7499999999999999E-2</v>
      </c>
      <c r="T22" s="855">
        <v>165</v>
      </c>
      <c r="U22" s="855">
        <f>SIN(4*Table14[[#This Row],[Dec]]/180*PI())</f>
        <v>-0.86602540378443915</v>
      </c>
    </row>
    <row r="23" spans="1:25" ht="15" customHeight="1">
      <c r="E23" s="525" t="s">
        <v>4774</v>
      </c>
      <c r="F23" s="855" t="s">
        <v>4743</v>
      </c>
      <c r="G23" s="1103">
        <v>7</v>
      </c>
      <c r="H23" s="855" t="s">
        <v>961</v>
      </c>
      <c r="I23" s="1101">
        <f>I22</f>
        <v>1674</v>
      </c>
      <c r="J23" s="179">
        <f>J22</f>
        <v>7.7499999999999999E-2</v>
      </c>
      <c r="K23" s="179">
        <f t="shared" si="1"/>
        <v>26133.498453437627</v>
      </c>
      <c r="L23" s="1099">
        <f t="shared" si="2"/>
        <v>26133.575953437627</v>
      </c>
      <c r="M23" s="1100">
        <v>7.7314814814814795E-2</v>
      </c>
      <c r="N23" s="855">
        <f t="shared" si="3"/>
        <v>1669.9999999999995</v>
      </c>
      <c r="O23" s="1101">
        <f t="shared" si="4"/>
        <v>278.33333333333326</v>
      </c>
      <c r="P23" s="1102">
        <f t="shared" si="5"/>
        <v>1.8518518518520488E-4</v>
      </c>
      <c r="Q23" s="855">
        <f>Q22</f>
        <v>279</v>
      </c>
      <c r="R23" s="855">
        <f t="shared" si="6"/>
        <v>1674</v>
      </c>
      <c r="S23" s="179">
        <f t="shared" si="7"/>
        <v>7.7499999999999999E-2</v>
      </c>
      <c r="T23" s="855">
        <v>195</v>
      </c>
      <c r="U23" s="855">
        <f>SIN(4*Table14[[#This Row],[Dec]]/180*PI())</f>
        <v>0.86602540378443782</v>
      </c>
    </row>
    <row r="24" spans="1:25" ht="15" customHeight="1">
      <c r="E24" s="525" t="s">
        <v>4774</v>
      </c>
      <c r="F24" s="855" t="s">
        <v>4740</v>
      </c>
      <c r="G24" s="1103">
        <v>8</v>
      </c>
      <c r="H24" s="855" t="s">
        <v>969</v>
      </c>
      <c r="I24" s="1101">
        <f>I21</f>
        <v>1795</v>
      </c>
      <c r="J24" s="179">
        <f>J21</f>
        <v>8.3101851851851843E-2</v>
      </c>
      <c r="K24" s="179">
        <f t="shared" si="1"/>
        <v>26133.575953437627</v>
      </c>
      <c r="L24" s="1099">
        <f t="shared" si="2"/>
        <v>26133.659055289478</v>
      </c>
      <c r="M24" s="1100">
        <v>8.2847222222222197E-2</v>
      </c>
      <c r="N24" s="855">
        <f t="shared" si="3"/>
        <v>1789.4999999999995</v>
      </c>
      <c r="O24" s="1101">
        <f t="shared" si="4"/>
        <v>298.24999999999994</v>
      </c>
      <c r="P24" s="1102">
        <f t="shared" si="5"/>
        <v>2.546296296296463E-4</v>
      </c>
      <c r="Q24" s="855">
        <f>Q21</f>
        <v>299</v>
      </c>
      <c r="R24" s="855">
        <f t="shared" si="6"/>
        <v>1794</v>
      </c>
      <c r="S24" s="179">
        <f t="shared" si="7"/>
        <v>8.3055555555555549E-2</v>
      </c>
      <c r="T24" s="855">
        <v>225</v>
      </c>
      <c r="U24" s="855">
        <f>SIN(4*Table14[[#This Row],[Dec]]/180*PI())</f>
        <v>6.1257422745431001E-16</v>
      </c>
    </row>
    <row r="25" spans="1:25" ht="15" customHeight="1">
      <c r="A25" s="855" t="s">
        <v>4777</v>
      </c>
      <c r="B25" s="1094">
        <f>Lagna</f>
        <v>136.71151666666665</v>
      </c>
      <c r="D25" s="855">
        <f>B25/24</f>
        <v>5.6963131944444436</v>
      </c>
      <c r="E25" s="525" t="s">
        <v>4774</v>
      </c>
      <c r="F25" s="855" t="s">
        <v>4738</v>
      </c>
      <c r="G25" s="1103">
        <v>9</v>
      </c>
      <c r="H25" s="855" t="s">
        <v>4039</v>
      </c>
      <c r="I25" s="1101">
        <f>I20</f>
        <v>1931</v>
      </c>
      <c r="J25" s="179">
        <f>J20</f>
        <v>8.9398148148148143E-2</v>
      </c>
      <c r="K25" s="179">
        <f t="shared" si="1"/>
        <v>26133.659055289478</v>
      </c>
      <c r="L25" s="1099">
        <f t="shared" si="2"/>
        <v>26133.748453437627</v>
      </c>
      <c r="M25" s="1100">
        <v>8.9143518518518497E-2</v>
      </c>
      <c r="N25" s="855">
        <f t="shared" si="3"/>
        <v>1925.4999999999995</v>
      </c>
      <c r="O25" s="1101">
        <f t="shared" si="4"/>
        <v>320.91666666666657</v>
      </c>
      <c r="P25" s="1102">
        <f t="shared" si="5"/>
        <v>2.546296296296463E-4</v>
      </c>
      <c r="Q25" s="855">
        <f>Q20</f>
        <v>322</v>
      </c>
      <c r="R25" s="855">
        <f t="shared" si="6"/>
        <v>1932</v>
      </c>
      <c r="S25" s="179">
        <f t="shared" si="7"/>
        <v>8.9444444444444438E-2</v>
      </c>
      <c r="T25" s="855">
        <v>255</v>
      </c>
      <c r="U25" s="855">
        <f>SIN(4*Table14[[#This Row],[Dec]]/180*PI())</f>
        <v>-0.86602540378443837</v>
      </c>
    </row>
    <row r="26" spans="1:25" ht="15" customHeight="1">
      <c r="A26" s="855" t="s">
        <v>4778</v>
      </c>
      <c r="B26" s="855">
        <f>B25-B22</f>
        <v>0.11652170559861474</v>
      </c>
      <c r="D26" s="855">
        <f>D25-D22</f>
        <v>4.8550710666086516E-3</v>
      </c>
      <c r="E26" s="525" t="s">
        <v>4768</v>
      </c>
      <c r="F26" s="855" t="s">
        <v>4743</v>
      </c>
      <c r="G26" s="1103">
        <v>10</v>
      </c>
      <c r="H26" s="855" t="s">
        <v>987</v>
      </c>
      <c r="I26" s="1101">
        <f>I19</f>
        <v>1931</v>
      </c>
      <c r="J26" s="179">
        <f>J19</f>
        <v>8.9398148148148143E-2</v>
      </c>
      <c r="K26" s="179">
        <f t="shared" si="1"/>
        <v>26133.748453437627</v>
      </c>
      <c r="L26" s="1099">
        <f t="shared" si="2"/>
        <v>26133.837851585777</v>
      </c>
      <c r="M26" s="1100">
        <v>8.9143518518518497E-2</v>
      </c>
      <c r="N26" s="855">
        <f t="shared" si="3"/>
        <v>1925.4999999999995</v>
      </c>
      <c r="O26" s="1101">
        <f t="shared" si="4"/>
        <v>320.91666666666657</v>
      </c>
      <c r="P26" s="1102">
        <f t="shared" si="5"/>
        <v>2.546296296296463E-4</v>
      </c>
      <c r="Q26" s="855">
        <f>Q25</f>
        <v>322</v>
      </c>
      <c r="R26" s="855">
        <f t="shared" si="6"/>
        <v>1932</v>
      </c>
      <c r="S26" s="179">
        <f t="shared" si="7"/>
        <v>8.9444444444444438E-2</v>
      </c>
      <c r="T26" s="855">
        <v>285</v>
      </c>
      <c r="U26" s="855">
        <f>SIN(4*Table14[[#This Row],[Dec]]/180*PI())</f>
        <v>0.86602540378443771</v>
      </c>
    </row>
    <row r="27" spans="1:25" ht="15" customHeight="1">
      <c r="E27" s="525" t="s">
        <v>4768</v>
      </c>
      <c r="F27" s="855" t="s">
        <v>4740</v>
      </c>
      <c r="G27" s="1103">
        <v>11</v>
      </c>
      <c r="H27" s="855" t="s">
        <v>997</v>
      </c>
      <c r="I27" s="1101">
        <f>I18</f>
        <v>1795</v>
      </c>
      <c r="J27" s="179">
        <f>J18</f>
        <v>8.3101851851851843E-2</v>
      </c>
      <c r="K27" s="179">
        <f t="shared" si="1"/>
        <v>26133.837851585777</v>
      </c>
      <c r="L27" s="1099">
        <f t="shared" si="2"/>
        <v>26133.920953437628</v>
      </c>
      <c r="M27" s="1100">
        <v>8.2847222222222197E-2</v>
      </c>
      <c r="N27" s="855">
        <f t="shared" si="3"/>
        <v>1789.4999999999995</v>
      </c>
      <c r="O27" s="1101">
        <f t="shared" si="4"/>
        <v>298.24999999999994</v>
      </c>
      <c r="P27" s="1102">
        <f t="shared" si="5"/>
        <v>2.546296296296463E-4</v>
      </c>
      <c r="Q27" s="855">
        <f>Q24</f>
        <v>299</v>
      </c>
      <c r="R27" s="855">
        <f t="shared" si="6"/>
        <v>1794</v>
      </c>
      <c r="S27" s="179">
        <f t="shared" si="7"/>
        <v>8.3055555555555549E-2</v>
      </c>
      <c r="T27" s="855">
        <v>315</v>
      </c>
      <c r="U27" s="855">
        <f>SIN(4*Table14[[#This Row],[Dec]]/180*PI())</f>
        <v>8.5760391843603401E-16</v>
      </c>
    </row>
    <row r="28" spans="1:25" ht="15" customHeight="1">
      <c r="A28" s="855" t="s">
        <v>4094</v>
      </c>
      <c r="B28" s="179">
        <f>SunRise</f>
        <v>26133.252280092591</v>
      </c>
      <c r="E28" s="525" t="s">
        <v>4768</v>
      </c>
      <c r="F28" s="855" t="s">
        <v>4738</v>
      </c>
      <c r="G28" s="1103">
        <v>12</v>
      </c>
      <c r="H28" s="855" t="s">
        <v>1006</v>
      </c>
      <c r="I28" s="1101">
        <f>I17</f>
        <v>1674</v>
      </c>
      <c r="J28" s="179">
        <f>J17</f>
        <v>7.7499999999999999E-2</v>
      </c>
      <c r="K28" s="179">
        <f>IF(G28=$B$31,$B$34,1+K17-J28)</f>
        <v>26133.920953437628</v>
      </c>
      <c r="L28" s="1099">
        <f t="shared" si="2"/>
        <v>26133.998453437627</v>
      </c>
      <c r="M28" s="1100">
        <v>7.7314814814814795E-2</v>
      </c>
      <c r="N28" s="855">
        <f t="shared" si="3"/>
        <v>1669.9999999999995</v>
      </c>
      <c r="O28" s="1101">
        <f t="shared" si="4"/>
        <v>278.33333333333326</v>
      </c>
      <c r="P28" s="1102">
        <f t="shared" si="5"/>
        <v>1.8518518518520488E-4</v>
      </c>
      <c r="Q28" s="855">
        <f>Q23</f>
        <v>279</v>
      </c>
      <c r="R28" s="855">
        <f t="shared" si="6"/>
        <v>1674</v>
      </c>
      <c r="S28" s="179">
        <f t="shared" si="7"/>
        <v>7.7499999999999999E-2</v>
      </c>
      <c r="T28" s="855">
        <v>345</v>
      </c>
      <c r="U28" s="855">
        <f>SIN(4*Table14[[#This Row],[Dec]]/180*PI())</f>
        <v>-0.86602540378443849</v>
      </c>
    </row>
    <row r="29" spans="1:25" ht="15" customHeight="1">
      <c r="A29" s="855" t="s">
        <v>158</v>
      </c>
      <c r="B29" s="1094">
        <f>Sun</f>
        <v>92.399202777777774</v>
      </c>
      <c r="G29" s="1103"/>
      <c r="I29" s="1101"/>
      <c r="J29" s="1099"/>
      <c r="K29" s="1099"/>
      <c r="L29" s="1099"/>
      <c r="M29" s="1104"/>
      <c r="O29" s="1101"/>
      <c r="P29" s="1102">
        <f t="shared" si="5"/>
        <v>0</v>
      </c>
      <c r="S29" s="1099"/>
      <c r="U29" s="855">
        <f>SIN(4*Table14[[#This Row],[Dec]]/180*PI())</f>
        <v>0</v>
      </c>
    </row>
    <row r="30" spans="1:25" ht="15" customHeight="1">
      <c r="A30" s="855" t="s">
        <v>137</v>
      </c>
      <c r="F30" t="s">
        <v>320</v>
      </c>
      <c r="G30" s="525"/>
      <c r="H30"/>
      <c r="I30" s="149">
        <f ca="1">SUBTOTAL(109,Table14[Asus])</f>
        <v>21600</v>
      </c>
      <c r="J30" s="179">
        <f ca="1">SUBTOTAL(109,Table14[hr-mn-sc])</f>
        <v>1</v>
      </c>
      <c r="L30"/>
      <c r="M30" s="1098">
        <f ca="1">SUBTOTAL(109,Table14[Lankodaya])</f>
        <v>0.99722222222222201</v>
      </c>
      <c r="N30">
        <f ca="1">SUBTOTAL(109,Table14[Asus2])</f>
        <v>21540</v>
      </c>
      <c r="O30" s="149">
        <f ca="1">SUBTOTAL(109,Table14[Vigh or Pala])</f>
        <v>3590</v>
      </c>
      <c r="P30" s="179">
        <f ca="1">SUBTOTAL(109,Table14[Corrected])</f>
        <v>2.77777777777799E-3</v>
      </c>
      <c r="Q30">
        <f ca="1">SUBTOTAL(109,Table14[ViGh])</f>
        <v>3600</v>
      </c>
      <c r="R30">
        <f ca="1">SUBTOTAL(109,Table14[Asus3])</f>
        <v>21600</v>
      </c>
      <c r="S30" s="179">
        <f ca="1">SUBTOTAL(109,Table14[Time])</f>
        <v>1</v>
      </c>
      <c r="T30">
        <f ca="1">SUBTOTAL(109,Table14[Dec])</f>
        <v>2160</v>
      </c>
      <c r="U30">
        <f ca="1">SUBTOTAL(109,Table14[sin])</f>
        <v>0</v>
      </c>
      <c r="V30"/>
    </row>
    <row r="31" spans="1:25" ht="15" customHeight="1">
      <c r="A31" s="855" t="s">
        <v>4060</v>
      </c>
      <c r="B31" s="855">
        <f>INT(B25/30)+1</f>
        <v>5</v>
      </c>
    </row>
    <row r="32" spans="1:25" ht="15" customHeight="1">
      <c r="A32" s="855" t="s">
        <v>4779</v>
      </c>
      <c r="B32" s="855">
        <f>MOD(B25,30)/30</f>
        <v>0.55705055555555516</v>
      </c>
    </row>
    <row r="33" spans="1:2" ht="15" customHeight="1">
      <c r="A33" s="855" t="s">
        <v>305</v>
      </c>
      <c r="B33" s="179">
        <f>VLOOKUP(B31,RaashiMaana,4)</f>
        <v>8.3101851851851843E-2</v>
      </c>
    </row>
    <row r="34" spans="1:2" ht="15" customHeight="1">
      <c r="A34" s="855" t="s">
        <v>4780</v>
      </c>
      <c r="B34" s="1099">
        <f>DoB-B33*B32</f>
        <v>26133.337851585777</v>
      </c>
    </row>
  </sheetData>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O50"/>
  <sheetViews>
    <sheetView zoomScaleNormal="100" workbookViewId="0">
      <pane xSplit="2" ySplit="2" topLeftCell="C33" activePane="bottomRight" state="frozen"/>
      <selection pane="topRight" activeCell="C1" sqref="C1"/>
      <selection pane="bottomLeft" activeCell="A33" sqref="A33"/>
      <selection pane="bottomRight" activeCell="H38" sqref="H38"/>
    </sheetView>
  </sheetViews>
  <sheetFormatPr defaultColWidth="8.5703125" defaultRowHeight="15.75"/>
  <cols>
    <col min="1" max="1" width="16.85546875" style="1105" customWidth="1"/>
    <col min="2" max="2" width="20.5703125" style="1106" customWidth="1"/>
    <col min="3" max="38" width="4.85546875" style="194" customWidth="1"/>
    <col min="39" max="39" width="16.85546875" style="1105" customWidth="1"/>
    <col min="40" max="40" width="20.5703125" style="1106" customWidth="1"/>
    <col min="41" max="41" width="153.42578125" style="194" customWidth="1"/>
  </cols>
  <sheetData>
    <row r="1" spans="1:41">
      <c r="A1" s="1107" t="s">
        <v>4781</v>
      </c>
      <c r="B1" s="1108" t="s">
        <v>4782</v>
      </c>
      <c r="C1" s="1396" t="s">
        <v>1334</v>
      </c>
      <c r="D1" s="1396"/>
      <c r="E1" s="1396"/>
      <c r="F1" s="1396" t="s">
        <v>4783</v>
      </c>
      <c r="G1" s="1396"/>
      <c r="H1" s="1396"/>
      <c r="I1" s="1396" t="s">
        <v>4101</v>
      </c>
      <c r="J1" s="1396"/>
      <c r="K1" s="1396"/>
      <c r="L1" s="1396" t="s">
        <v>4102</v>
      </c>
      <c r="M1" s="1396"/>
      <c r="N1" s="1396"/>
      <c r="O1" s="1396" t="s">
        <v>4784</v>
      </c>
      <c r="P1" s="1396"/>
      <c r="Q1" s="1396"/>
      <c r="R1" s="1396" t="s">
        <v>4104</v>
      </c>
      <c r="S1" s="1396"/>
      <c r="T1" s="1396"/>
      <c r="U1" s="1396" t="s">
        <v>4105</v>
      </c>
      <c r="V1" s="1396"/>
      <c r="W1" s="1396"/>
      <c r="X1" s="1396" t="s">
        <v>4785</v>
      </c>
      <c r="Y1" s="1396"/>
      <c r="Z1" s="1396"/>
      <c r="AA1" s="1396" t="s">
        <v>4786</v>
      </c>
      <c r="AB1" s="1396"/>
      <c r="AC1" s="1396"/>
      <c r="AD1" s="1396" t="s">
        <v>4108</v>
      </c>
      <c r="AE1" s="1396"/>
      <c r="AF1" s="1396"/>
      <c r="AG1" s="1396" t="s">
        <v>4109</v>
      </c>
      <c r="AH1" s="1396"/>
      <c r="AI1" s="1396"/>
      <c r="AJ1" s="1396" t="s">
        <v>4110</v>
      </c>
      <c r="AK1" s="1396"/>
      <c r="AL1" s="1396"/>
      <c r="AM1" s="1107" t="s">
        <v>4781</v>
      </c>
      <c r="AN1" s="1108" t="s">
        <v>4782</v>
      </c>
      <c r="AO1" s="459"/>
    </row>
    <row r="2" spans="1:41" ht="86.25" customHeight="1">
      <c r="A2" s="1109" t="s">
        <v>4787</v>
      </c>
      <c r="B2" s="1110" t="s">
        <v>4788</v>
      </c>
      <c r="C2" s="1111" t="s">
        <v>2463</v>
      </c>
      <c r="D2" s="1112" t="s">
        <v>639</v>
      </c>
      <c r="E2" s="1113" t="s">
        <v>4570</v>
      </c>
      <c r="F2" s="1111" t="s">
        <v>4789</v>
      </c>
      <c r="G2" s="1112" t="s">
        <v>641</v>
      </c>
      <c r="H2" s="1113" t="s">
        <v>4790</v>
      </c>
      <c r="I2" s="1111" t="s">
        <v>4791</v>
      </c>
      <c r="J2" s="1112" t="s">
        <v>557</v>
      </c>
      <c r="K2" s="1113" t="s">
        <v>4792</v>
      </c>
      <c r="L2" s="1111" t="s">
        <v>4601</v>
      </c>
      <c r="M2" s="1112" t="s">
        <v>566</v>
      </c>
      <c r="N2" s="1113" t="s">
        <v>644</v>
      </c>
      <c r="O2" s="1111" t="s">
        <v>645</v>
      </c>
      <c r="P2" s="1112" t="s">
        <v>1581</v>
      </c>
      <c r="Q2" s="1113" t="s">
        <v>4793</v>
      </c>
      <c r="R2" s="1111" t="s">
        <v>4794</v>
      </c>
      <c r="S2" s="1112" t="s">
        <v>648</v>
      </c>
      <c r="T2" s="1113" t="s">
        <v>4795</v>
      </c>
      <c r="U2" s="1111" t="s">
        <v>4796</v>
      </c>
      <c r="V2" s="1112" t="s">
        <v>4797</v>
      </c>
      <c r="W2" s="1113" t="s">
        <v>4798</v>
      </c>
      <c r="X2" s="1111" t="s">
        <v>4619</v>
      </c>
      <c r="Y2" s="1112" t="s">
        <v>581</v>
      </c>
      <c r="Z2" s="1113" t="s">
        <v>651</v>
      </c>
      <c r="AA2" s="1111" t="s">
        <v>597</v>
      </c>
      <c r="AB2" s="1112" t="s">
        <v>4799</v>
      </c>
      <c r="AC2" s="1113" t="s">
        <v>4800</v>
      </c>
      <c r="AD2" s="1111" t="s">
        <v>4801</v>
      </c>
      <c r="AE2" s="1112" t="s">
        <v>4802</v>
      </c>
      <c r="AF2" s="1113" t="s">
        <v>4803</v>
      </c>
      <c r="AG2" s="1111" t="s">
        <v>4804</v>
      </c>
      <c r="AH2" s="1112" t="s">
        <v>658</v>
      </c>
      <c r="AI2" s="1113" t="s">
        <v>4805</v>
      </c>
      <c r="AJ2" s="1111" t="s">
        <v>4806</v>
      </c>
      <c r="AK2" s="1112" t="s">
        <v>4807</v>
      </c>
      <c r="AL2" s="1113" t="s">
        <v>574</v>
      </c>
      <c r="AM2" s="1109" t="s">
        <v>4787</v>
      </c>
      <c r="AN2" s="1110" t="s">
        <v>4788</v>
      </c>
      <c r="AO2" s="334" t="s">
        <v>4808</v>
      </c>
    </row>
    <row r="3" spans="1:41" ht="20.25" customHeight="1">
      <c r="A3" s="1397" t="s">
        <v>4809</v>
      </c>
      <c r="B3" s="1114" t="s">
        <v>2463</v>
      </c>
      <c r="C3" s="1115">
        <v>28</v>
      </c>
      <c r="D3" s="1116">
        <v>33</v>
      </c>
      <c r="E3" s="1117">
        <v>27</v>
      </c>
      <c r="F3" s="1115">
        <v>17</v>
      </c>
      <c r="G3" s="1116">
        <v>23</v>
      </c>
      <c r="H3" s="1117">
        <v>22</v>
      </c>
      <c r="I3" s="1115">
        <v>25</v>
      </c>
      <c r="J3" s="1116">
        <v>16</v>
      </c>
      <c r="K3" s="1117">
        <v>17</v>
      </c>
      <c r="L3" s="1115">
        <v>22</v>
      </c>
      <c r="M3" s="1116">
        <v>30</v>
      </c>
      <c r="N3" s="1117">
        <v>27</v>
      </c>
      <c r="O3" s="1118">
        <v>20</v>
      </c>
      <c r="P3" s="1116">
        <v>24</v>
      </c>
      <c r="Q3" s="1117">
        <v>14</v>
      </c>
      <c r="R3" s="1115">
        <v>9</v>
      </c>
      <c r="S3" s="1116">
        <v>10</v>
      </c>
      <c r="T3" s="1117">
        <v>12</v>
      </c>
      <c r="U3" s="1115">
        <v>22</v>
      </c>
      <c r="V3" s="1116">
        <v>28</v>
      </c>
      <c r="W3" s="1117">
        <v>22</v>
      </c>
      <c r="X3" s="1115">
        <v>18</v>
      </c>
      <c r="Y3" s="1116">
        <v>24</v>
      </c>
      <c r="Z3" s="1119">
        <v>13</v>
      </c>
      <c r="AA3" s="1115">
        <v>12</v>
      </c>
      <c r="AB3" s="1116">
        <v>24</v>
      </c>
      <c r="AC3" s="1117">
        <v>23</v>
      </c>
      <c r="AD3" s="1115">
        <v>25</v>
      </c>
      <c r="AE3" s="1116">
        <v>26</v>
      </c>
      <c r="AF3" s="1117">
        <v>20</v>
      </c>
      <c r="AG3" s="1115">
        <v>19</v>
      </c>
      <c r="AH3" s="1116">
        <v>14</v>
      </c>
      <c r="AI3" s="1117">
        <v>15</v>
      </c>
      <c r="AJ3" s="1115">
        <v>14</v>
      </c>
      <c r="AK3" s="1116">
        <v>23</v>
      </c>
      <c r="AL3" s="1117">
        <v>26</v>
      </c>
      <c r="AM3" s="1397" t="s">
        <v>4809</v>
      </c>
      <c r="AN3" s="1114" t="s">
        <v>2463</v>
      </c>
      <c r="AO3" s="334" t="s">
        <v>4810</v>
      </c>
    </row>
    <row r="4" spans="1:41" ht="20.25" customHeight="1">
      <c r="A4" s="1397"/>
      <c r="B4" s="1120" t="s">
        <v>639</v>
      </c>
      <c r="C4" s="1121">
        <v>33</v>
      </c>
      <c r="D4" s="1122">
        <v>28</v>
      </c>
      <c r="E4" s="1123">
        <v>23</v>
      </c>
      <c r="F4" s="1121">
        <v>18</v>
      </c>
      <c r="G4" s="1124">
        <v>26</v>
      </c>
      <c r="H4" s="1123">
        <v>14</v>
      </c>
      <c r="I4" s="1121">
        <v>17</v>
      </c>
      <c r="J4" s="1124">
        <v>25</v>
      </c>
      <c r="K4" s="1123">
        <v>25</v>
      </c>
      <c r="L4" s="1121">
        <v>30</v>
      </c>
      <c r="M4" s="1124">
        <v>22</v>
      </c>
      <c r="N4" s="1123">
        <v>24</v>
      </c>
      <c r="O4" s="1125">
        <v>19</v>
      </c>
      <c r="P4" s="1124">
        <v>17</v>
      </c>
      <c r="Q4" s="1123">
        <v>24</v>
      </c>
      <c r="R4" s="1121">
        <v>19</v>
      </c>
      <c r="S4" s="1124">
        <v>18</v>
      </c>
      <c r="T4" s="1123">
        <v>3</v>
      </c>
      <c r="U4" s="1121">
        <v>13</v>
      </c>
      <c r="V4" s="1124">
        <v>28</v>
      </c>
      <c r="W4" s="1123">
        <v>21</v>
      </c>
      <c r="X4" s="1121">
        <v>18</v>
      </c>
      <c r="Y4" s="1126">
        <v>17</v>
      </c>
      <c r="Z4" s="1123">
        <v>19</v>
      </c>
      <c r="AA4" s="1121">
        <v>19</v>
      </c>
      <c r="AB4" s="1124">
        <v>17</v>
      </c>
      <c r="AC4" s="1123">
        <v>25</v>
      </c>
      <c r="AD4" s="1121">
        <v>27</v>
      </c>
      <c r="AE4" s="1124">
        <v>28</v>
      </c>
      <c r="AF4" s="1123">
        <v>10</v>
      </c>
      <c r="AG4" s="1121">
        <v>9</v>
      </c>
      <c r="AH4" s="1124">
        <v>19</v>
      </c>
      <c r="AI4" s="1123">
        <v>23</v>
      </c>
      <c r="AJ4" s="1121">
        <v>22</v>
      </c>
      <c r="AK4" s="1124">
        <v>4</v>
      </c>
      <c r="AL4" s="1123">
        <v>25</v>
      </c>
      <c r="AM4" s="1397"/>
      <c r="AN4" s="1120" t="s">
        <v>639</v>
      </c>
      <c r="AO4" s="334" t="s">
        <v>4811</v>
      </c>
    </row>
    <row r="5" spans="1:41" ht="20.25" customHeight="1">
      <c r="A5" s="1397"/>
      <c r="B5" s="1127" t="s">
        <v>4570</v>
      </c>
      <c r="C5" s="1128">
        <v>26</v>
      </c>
      <c r="D5" s="1129">
        <v>28</v>
      </c>
      <c r="E5" s="1130">
        <v>28</v>
      </c>
      <c r="F5" s="1128">
        <v>18</v>
      </c>
      <c r="G5" s="1129">
        <v>10</v>
      </c>
      <c r="H5" s="1130">
        <v>16</v>
      </c>
      <c r="I5" s="1128">
        <v>19</v>
      </c>
      <c r="J5" s="1129">
        <v>19</v>
      </c>
      <c r="K5" s="1130">
        <v>19</v>
      </c>
      <c r="L5" s="1128">
        <v>24</v>
      </c>
      <c r="M5" s="1129">
        <v>26</v>
      </c>
      <c r="N5" s="1130">
        <v>22</v>
      </c>
      <c r="O5" s="1131">
        <v>15</v>
      </c>
      <c r="P5" s="1129">
        <v>10</v>
      </c>
      <c r="Q5" s="1130">
        <v>20</v>
      </c>
      <c r="R5" s="1128">
        <v>15</v>
      </c>
      <c r="S5" s="1129">
        <v>14</v>
      </c>
      <c r="T5" s="1130">
        <v>17</v>
      </c>
      <c r="U5" s="1128">
        <v>27</v>
      </c>
      <c r="V5" s="1129">
        <v>14</v>
      </c>
      <c r="W5" s="1130">
        <v>19</v>
      </c>
      <c r="X5" s="1132">
        <v>16</v>
      </c>
      <c r="Y5" s="1129">
        <v>19</v>
      </c>
      <c r="Z5" s="1130">
        <v>25</v>
      </c>
      <c r="AA5" s="1128">
        <v>25</v>
      </c>
      <c r="AB5" s="1129">
        <v>19</v>
      </c>
      <c r="AC5" s="1130">
        <v>11</v>
      </c>
      <c r="AD5" s="1128">
        <v>13</v>
      </c>
      <c r="AE5" s="1129">
        <v>13</v>
      </c>
      <c r="AF5" s="1130">
        <v>25</v>
      </c>
      <c r="AG5" s="1128">
        <v>24</v>
      </c>
      <c r="AH5" s="1129">
        <v>25</v>
      </c>
      <c r="AI5" s="1130">
        <v>18</v>
      </c>
      <c r="AJ5" s="1128">
        <v>17</v>
      </c>
      <c r="AK5" s="1129">
        <v>14</v>
      </c>
      <c r="AL5" s="1130">
        <v>10</v>
      </c>
      <c r="AM5" s="1397"/>
      <c r="AN5" s="1127" t="s">
        <v>4570</v>
      </c>
      <c r="AO5" s="334" t="s">
        <v>4812</v>
      </c>
    </row>
    <row r="6" spans="1:41" ht="20.25" customHeight="1">
      <c r="A6" s="1397" t="s">
        <v>4813</v>
      </c>
      <c r="B6" s="1133" t="s">
        <v>4789</v>
      </c>
      <c r="C6" s="1134">
        <v>19</v>
      </c>
      <c r="D6" s="1135">
        <v>19</v>
      </c>
      <c r="E6" s="1136">
        <v>19</v>
      </c>
      <c r="F6" s="1134">
        <v>28</v>
      </c>
      <c r="G6" s="1135">
        <v>18</v>
      </c>
      <c r="H6" s="1136">
        <v>26</v>
      </c>
      <c r="I6" s="1134">
        <v>17</v>
      </c>
      <c r="J6" s="1135">
        <v>17</v>
      </c>
      <c r="K6" s="1136">
        <v>17</v>
      </c>
      <c r="L6" s="1134">
        <v>21</v>
      </c>
      <c r="M6" s="1135">
        <v>23</v>
      </c>
      <c r="N6" s="1136">
        <v>19</v>
      </c>
      <c r="O6" s="1134">
        <v>19</v>
      </c>
      <c r="P6" s="1135">
        <v>21</v>
      </c>
      <c r="Q6" s="1136">
        <v>22</v>
      </c>
      <c r="R6" s="1134">
        <v>20</v>
      </c>
      <c r="S6" s="1137">
        <v>18</v>
      </c>
      <c r="T6" s="1136">
        <v>23</v>
      </c>
      <c r="U6" s="1134">
        <v>22</v>
      </c>
      <c r="V6" s="1135">
        <v>9</v>
      </c>
      <c r="W6" s="1138">
        <v>14</v>
      </c>
      <c r="X6" s="1134">
        <v>21</v>
      </c>
      <c r="Y6" s="1135">
        <v>24</v>
      </c>
      <c r="Z6" s="1136">
        <v>30</v>
      </c>
      <c r="AA6" s="1134">
        <v>22</v>
      </c>
      <c r="AB6" s="1135">
        <v>15</v>
      </c>
      <c r="AC6" s="1136">
        <v>7</v>
      </c>
      <c r="AD6" s="1134">
        <v>12</v>
      </c>
      <c r="AE6" s="1135">
        <v>10</v>
      </c>
      <c r="AF6" s="1136">
        <v>24</v>
      </c>
      <c r="AG6" s="1134">
        <v>29</v>
      </c>
      <c r="AH6" s="1135">
        <v>30</v>
      </c>
      <c r="AI6" s="1136">
        <v>23</v>
      </c>
      <c r="AJ6" s="1134">
        <v>20</v>
      </c>
      <c r="AK6" s="1135">
        <v>22</v>
      </c>
      <c r="AL6" s="1136">
        <v>13</v>
      </c>
      <c r="AM6" s="1397" t="s">
        <v>4813</v>
      </c>
      <c r="AN6" s="1133" t="s">
        <v>4789</v>
      </c>
      <c r="AO6" s="334" t="s">
        <v>4814</v>
      </c>
    </row>
    <row r="7" spans="1:41" ht="20.25" customHeight="1">
      <c r="A7" s="1397"/>
      <c r="B7" s="1139" t="s">
        <v>641</v>
      </c>
      <c r="C7" s="1140">
        <v>23</v>
      </c>
      <c r="D7" s="1141">
        <v>23</v>
      </c>
      <c r="E7" s="1142">
        <v>11</v>
      </c>
      <c r="F7" s="1140">
        <v>20</v>
      </c>
      <c r="G7" s="1141">
        <v>28</v>
      </c>
      <c r="H7" s="1142">
        <v>30</v>
      </c>
      <c r="I7" s="1140">
        <v>26</v>
      </c>
      <c r="J7" s="1141">
        <v>23</v>
      </c>
      <c r="K7" s="1142">
        <v>22</v>
      </c>
      <c r="L7" s="1140">
        <v>26</v>
      </c>
      <c r="M7" s="1141">
        <v>27</v>
      </c>
      <c r="N7" s="1142">
        <v>12</v>
      </c>
      <c r="O7" s="1140">
        <v>10</v>
      </c>
      <c r="P7" s="1141">
        <v>24</v>
      </c>
      <c r="Q7" s="1142">
        <v>27</v>
      </c>
      <c r="R7" s="1140">
        <v>25</v>
      </c>
      <c r="S7" s="1143">
        <v>25</v>
      </c>
      <c r="T7" s="1142">
        <v>18</v>
      </c>
      <c r="U7" s="1140">
        <v>17</v>
      </c>
      <c r="V7" s="1144">
        <v>15</v>
      </c>
      <c r="W7" s="1142">
        <v>8</v>
      </c>
      <c r="X7" s="1140">
        <v>14</v>
      </c>
      <c r="Y7" s="1141">
        <v>29</v>
      </c>
      <c r="Z7" s="1142">
        <v>23</v>
      </c>
      <c r="AA7" s="1140">
        <v>13</v>
      </c>
      <c r="AB7" s="1141">
        <v>19</v>
      </c>
      <c r="AC7" s="1142">
        <v>11</v>
      </c>
      <c r="AD7" s="1140">
        <v>16</v>
      </c>
      <c r="AE7" s="1141">
        <v>18</v>
      </c>
      <c r="AF7" s="1142">
        <v>19</v>
      </c>
      <c r="AG7" s="1140">
        <v>24</v>
      </c>
      <c r="AH7" s="1141">
        <v>24</v>
      </c>
      <c r="AI7" s="1142">
        <v>29</v>
      </c>
      <c r="AJ7" s="1140">
        <v>26</v>
      </c>
      <c r="AK7" s="1141">
        <v>27</v>
      </c>
      <c r="AL7" s="1142">
        <v>19</v>
      </c>
      <c r="AM7" s="1397"/>
      <c r="AN7" s="1139" t="s">
        <v>641</v>
      </c>
      <c r="AO7" s="334" t="s">
        <v>4815</v>
      </c>
    </row>
    <row r="8" spans="1:41" ht="20.25" customHeight="1">
      <c r="A8" s="1397"/>
      <c r="B8" s="1145" t="s">
        <v>4790</v>
      </c>
      <c r="C8" s="1146">
        <v>23</v>
      </c>
      <c r="D8" s="1147">
        <v>14</v>
      </c>
      <c r="E8" s="1148">
        <v>18</v>
      </c>
      <c r="F8" s="1146">
        <v>27</v>
      </c>
      <c r="G8" s="1147">
        <v>35</v>
      </c>
      <c r="H8" s="1149">
        <v>28</v>
      </c>
      <c r="I8" s="1150">
        <v>18</v>
      </c>
      <c r="J8" s="1147">
        <v>23</v>
      </c>
      <c r="K8" s="1148">
        <v>22</v>
      </c>
      <c r="L8" s="1146">
        <v>26</v>
      </c>
      <c r="M8" s="1147">
        <v>19</v>
      </c>
      <c r="N8" s="1148">
        <v>21</v>
      </c>
      <c r="O8" s="1146">
        <v>19</v>
      </c>
      <c r="P8" s="1147">
        <v>15</v>
      </c>
      <c r="Q8" s="1148">
        <v>24</v>
      </c>
      <c r="R8" s="1146">
        <v>23</v>
      </c>
      <c r="S8" s="1151">
        <v>25</v>
      </c>
      <c r="T8" s="1149">
        <v>11</v>
      </c>
      <c r="U8" s="1150">
        <v>10</v>
      </c>
      <c r="V8" s="1147">
        <v>9</v>
      </c>
      <c r="W8" s="1148">
        <v>17</v>
      </c>
      <c r="X8" s="1146">
        <v>23</v>
      </c>
      <c r="Y8" s="1147">
        <v>21</v>
      </c>
      <c r="Z8" s="1148">
        <v>24</v>
      </c>
      <c r="AA8" s="1146">
        <v>14</v>
      </c>
      <c r="AB8" s="1147">
        <v>10</v>
      </c>
      <c r="AC8" s="1148">
        <v>16</v>
      </c>
      <c r="AD8" s="1146">
        <v>21</v>
      </c>
      <c r="AE8" s="1147">
        <v>26</v>
      </c>
      <c r="AF8" s="1149">
        <v>12</v>
      </c>
      <c r="AG8" s="1150">
        <v>17</v>
      </c>
      <c r="AH8" s="1147">
        <v>26</v>
      </c>
      <c r="AI8" s="1148">
        <v>28</v>
      </c>
      <c r="AJ8" s="1146">
        <v>25</v>
      </c>
      <c r="AK8" s="1147">
        <v>28</v>
      </c>
      <c r="AL8" s="1148">
        <v>27</v>
      </c>
      <c r="AM8" s="1397"/>
      <c r="AN8" s="1145" t="s">
        <v>4790</v>
      </c>
      <c r="AO8" s="334" t="s">
        <v>4816</v>
      </c>
    </row>
    <row r="9" spans="1:41" ht="20.25" customHeight="1">
      <c r="A9" s="1397" t="s">
        <v>4817</v>
      </c>
      <c r="B9" s="1114" t="s">
        <v>4791</v>
      </c>
      <c r="C9" s="1115">
        <v>28</v>
      </c>
      <c r="D9" s="1116">
        <v>17</v>
      </c>
      <c r="E9" s="1117">
        <v>21</v>
      </c>
      <c r="F9" s="1115">
        <v>19</v>
      </c>
      <c r="G9" s="1116">
        <v>26</v>
      </c>
      <c r="H9" s="1119">
        <v>19</v>
      </c>
      <c r="I9" s="1152">
        <v>28</v>
      </c>
      <c r="J9" s="1116">
        <v>33</v>
      </c>
      <c r="K9" s="1117">
        <v>31</v>
      </c>
      <c r="L9" s="1115">
        <v>18</v>
      </c>
      <c r="M9" s="1116">
        <v>11</v>
      </c>
      <c r="N9" s="1117">
        <v>13</v>
      </c>
      <c r="O9" s="1115">
        <v>22</v>
      </c>
      <c r="P9" s="1116">
        <v>18</v>
      </c>
      <c r="Q9" s="1117">
        <v>27</v>
      </c>
      <c r="R9" s="1115">
        <v>31</v>
      </c>
      <c r="S9" s="1116">
        <v>34</v>
      </c>
      <c r="T9" s="1119">
        <v>20</v>
      </c>
      <c r="U9" s="1152">
        <v>13</v>
      </c>
      <c r="V9" s="1153">
        <v>27</v>
      </c>
      <c r="W9" s="1117">
        <v>19</v>
      </c>
      <c r="X9" s="1115">
        <v>13</v>
      </c>
      <c r="Y9" s="1116">
        <v>13</v>
      </c>
      <c r="Z9" s="1117">
        <v>14</v>
      </c>
      <c r="AA9" s="1115">
        <v>23</v>
      </c>
      <c r="AB9" s="1116">
        <v>19</v>
      </c>
      <c r="AC9" s="1117">
        <v>23</v>
      </c>
      <c r="AD9" s="1115">
        <v>19</v>
      </c>
      <c r="AE9" s="1116">
        <v>24</v>
      </c>
      <c r="AF9" s="1119">
        <v>10</v>
      </c>
      <c r="AG9" s="1152">
        <v>12</v>
      </c>
      <c r="AH9" s="1116">
        <v>21</v>
      </c>
      <c r="AI9" s="1117">
        <v>22</v>
      </c>
      <c r="AJ9" s="1115">
        <v>24</v>
      </c>
      <c r="AK9" s="1116">
        <v>17</v>
      </c>
      <c r="AL9" s="1117">
        <v>26</v>
      </c>
      <c r="AM9" s="1397" t="s">
        <v>4817</v>
      </c>
      <c r="AN9" s="1114" t="s">
        <v>4791</v>
      </c>
      <c r="AO9" s="334" t="s">
        <v>4818</v>
      </c>
    </row>
    <row r="10" spans="1:41" ht="20.25" customHeight="1">
      <c r="A10" s="1397"/>
      <c r="B10" s="1120" t="s">
        <v>557</v>
      </c>
      <c r="C10" s="1121">
        <v>18</v>
      </c>
      <c r="D10" s="1124">
        <v>26</v>
      </c>
      <c r="E10" s="1123">
        <v>21</v>
      </c>
      <c r="F10" s="1121">
        <v>19</v>
      </c>
      <c r="G10" s="1124">
        <v>24</v>
      </c>
      <c r="H10" s="1123">
        <v>25</v>
      </c>
      <c r="I10" s="1121">
        <v>34</v>
      </c>
      <c r="J10" s="1124">
        <v>28</v>
      </c>
      <c r="K10" s="1123">
        <v>25</v>
      </c>
      <c r="L10" s="1121">
        <v>12</v>
      </c>
      <c r="M10" s="1124">
        <v>20</v>
      </c>
      <c r="N10" s="1123">
        <v>12</v>
      </c>
      <c r="O10" s="1121">
        <v>21</v>
      </c>
      <c r="P10" s="1124">
        <v>27</v>
      </c>
      <c r="Q10" s="1123">
        <v>20</v>
      </c>
      <c r="R10" s="1121">
        <v>24</v>
      </c>
      <c r="S10" s="1124">
        <v>24</v>
      </c>
      <c r="T10" s="1123">
        <v>27</v>
      </c>
      <c r="U10" s="1121">
        <v>20</v>
      </c>
      <c r="V10" s="1154">
        <v>27</v>
      </c>
      <c r="W10" s="1123">
        <v>20</v>
      </c>
      <c r="X10" s="1121">
        <v>13</v>
      </c>
      <c r="Y10" s="1124">
        <v>19</v>
      </c>
      <c r="Z10" s="1123">
        <v>5</v>
      </c>
      <c r="AA10" s="1121">
        <v>15</v>
      </c>
      <c r="AB10" s="1124">
        <v>28</v>
      </c>
      <c r="AC10" s="1123">
        <v>27</v>
      </c>
      <c r="AD10" s="1121">
        <v>21</v>
      </c>
      <c r="AE10" s="1126">
        <v>22</v>
      </c>
      <c r="AF10" s="1123">
        <v>17</v>
      </c>
      <c r="AG10" s="1121">
        <v>19</v>
      </c>
      <c r="AH10" s="1124">
        <v>12</v>
      </c>
      <c r="AI10" s="1123">
        <v>17</v>
      </c>
      <c r="AJ10" s="1121">
        <v>18</v>
      </c>
      <c r="AK10" s="1124">
        <v>26</v>
      </c>
      <c r="AL10" s="1123">
        <v>26</v>
      </c>
      <c r="AM10" s="1397"/>
      <c r="AN10" s="1120" t="s">
        <v>557</v>
      </c>
      <c r="AO10" s="334" t="s">
        <v>4819</v>
      </c>
    </row>
    <row r="11" spans="1:41" ht="20.25" customHeight="1">
      <c r="A11" s="1397"/>
      <c r="B11" s="1127" t="s">
        <v>4792</v>
      </c>
      <c r="C11" s="1128">
        <v>18</v>
      </c>
      <c r="D11" s="1129">
        <v>25</v>
      </c>
      <c r="E11" s="1130">
        <v>21</v>
      </c>
      <c r="F11" s="1128">
        <v>19</v>
      </c>
      <c r="G11" s="1129">
        <v>22</v>
      </c>
      <c r="H11" s="1130">
        <v>23</v>
      </c>
      <c r="I11" s="1128">
        <v>31</v>
      </c>
      <c r="J11" s="1129">
        <v>24</v>
      </c>
      <c r="K11" s="1130">
        <v>28</v>
      </c>
      <c r="L11" s="1128">
        <v>14</v>
      </c>
      <c r="M11" s="1129">
        <v>21</v>
      </c>
      <c r="N11" s="1130">
        <v>15</v>
      </c>
      <c r="O11" s="1128">
        <v>21</v>
      </c>
      <c r="P11" s="1129">
        <v>25</v>
      </c>
      <c r="Q11" s="1130">
        <v>19</v>
      </c>
      <c r="R11" s="1128">
        <v>23</v>
      </c>
      <c r="S11" s="1129">
        <v>24</v>
      </c>
      <c r="T11" s="1130">
        <v>26</v>
      </c>
      <c r="U11" s="1128">
        <v>19</v>
      </c>
      <c r="V11" s="1155">
        <v>27</v>
      </c>
      <c r="W11" s="1130">
        <v>21</v>
      </c>
      <c r="X11" s="1128">
        <v>14</v>
      </c>
      <c r="Y11" s="1129">
        <v>20</v>
      </c>
      <c r="Z11" s="1130">
        <v>6</v>
      </c>
      <c r="AA11" s="1128">
        <v>14</v>
      </c>
      <c r="AB11" s="1129">
        <v>27</v>
      </c>
      <c r="AC11" s="1156">
        <v>27</v>
      </c>
      <c r="AD11" s="1132">
        <v>21</v>
      </c>
      <c r="AE11" s="1129">
        <v>22</v>
      </c>
      <c r="AF11" s="1130">
        <v>16</v>
      </c>
      <c r="AG11" s="1128">
        <v>18</v>
      </c>
      <c r="AH11" s="1129">
        <v>13</v>
      </c>
      <c r="AI11" s="1130">
        <v>16</v>
      </c>
      <c r="AJ11" s="1128">
        <v>17</v>
      </c>
      <c r="AK11" s="1129">
        <v>26</v>
      </c>
      <c r="AL11" s="1130">
        <v>26</v>
      </c>
      <c r="AM11" s="1397"/>
      <c r="AN11" s="1127" t="s">
        <v>4792</v>
      </c>
      <c r="AO11" s="334" t="s">
        <v>4820</v>
      </c>
    </row>
    <row r="12" spans="1:41" ht="20.25" customHeight="1">
      <c r="A12" s="1397" t="s">
        <v>4821</v>
      </c>
      <c r="B12" s="1133" t="s">
        <v>4601</v>
      </c>
      <c r="C12" s="1134">
        <v>21</v>
      </c>
      <c r="D12" s="1135">
        <v>28</v>
      </c>
      <c r="E12" s="1136">
        <v>24</v>
      </c>
      <c r="F12" s="1134">
        <v>21</v>
      </c>
      <c r="G12" s="1135">
        <v>24</v>
      </c>
      <c r="H12" s="1136">
        <v>25</v>
      </c>
      <c r="I12" s="1134">
        <v>17</v>
      </c>
      <c r="J12" s="1135">
        <v>10</v>
      </c>
      <c r="K12" s="1136">
        <v>13</v>
      </c>
      <c r="L12" s="1134">
        <v>28</v>
      </c>
      <c r="M12" s="1135">
        <v>34</v>
      </c>
      <c r="N12" s="1136">
        <v>28</v>
      </c>
      <c r="O12" s="1134">
        <v>16</v>
      </c>
      <c r="P12" s="1135">
        <v>20</v>
      </c>
      <c r="Q12" s="1136">
        <v>14</v>
      </c>
      <c r="R12" s="1134">
        <v>16</v>
      </c>
      <c r="S12" s="1135">
        <v>17</v>
      </c>
      <c r="T12" s="1136">
        <v>19</v>
      </c>
      <c r="U12" s="1134">
        <v>19</v>
      </c>
      <c r="V12" s="1135">
        <v>26</v>
      </c>
      <c r="W12" s="1136">
        <v>20</v>
      </c>
      <c r="X12" s="1134">
        <v>19</v>
      </c>
      <c r="Y12" s="1137">
        <v>26</v>
      </c>
      <c r="Z12" s="1136">
        <v>20</v>
      </c>
      <c r="AA12" s="1134">
        <v>7</v>
      </c>
      <c r="AB12" s="1135">
        <v>20</v>
      </c>
      <c r="AC12" s="1138">
        <v>20</v>
      </c>
      <c r="AD12" s="1157">
        <v>16</v>
      </c>
      <c r="AE12" s="1135">
        <v>17</v>
      </c>
      <c r="AF12" s="1136">
        <v>21</v>
      </c>
      <c r="AG12" s="1134">
        <v>12</v>
      </c>
      <c r="AH12" s="1135">
        <v>5</v>
      </c>
      <c r="AI12" s="1136">
        <v>9</v>
      </c>
      <c r="AJ12" s="1134">
        <v>18</v>
      </c>
      <c r="AK12" s="1135">
        <v>25</v>
      </c>
      <c r="AL12" s="1136">
        <v>24</v>
      </c>
      <c r="AM12" s="1397" t="s">
        <v>4821</v>
      </c>
      <c r="AN12" s="1133" t="s">
        <v>4601</v>
      </c>
      <c r="AO12" s="334" t="s">
        <v>4797</v>
      </c>
    </row>
    <row r="13" spans="1:41" ht="20.25" customHeight="1">
      <c r="A13" s="1397"/>
      <c r="B13" s="1139" t="s">
        <v>566</v>
      </c>
      <c r="C13" s="1140">
        <v>29</v>
      </c>
      <c r="D13" s="1141">
        <v>20</v>
      </c>
      <c r="E13" s="1142">
        <v>26</v>
      </c>
      <c r="F13" s="1140">
        <v>23</v>
      </c>
      <c r="G13" s="1141">
        <v>25</v>
      </c>
      <c r="H13" s="1142">
        <v>18</v>
      </c>
      <c r="I13" s="1140">
        <v>10</v>
      </c>
      <c r="J13" s="1141">
        <v>18</v>
      </c>
      <c r="K13" s="1142">
        <v>24</v>
      </c>
      <c r="L13" s="1140">
        <v>34</v>
      </c>
      <c r="M13" s="1141">
        <v>28</v>
      </c>
      <c r="N13" s="1142">
        <v>29</v>
      </c>
      <c r="O13" s="1140">
        <v>18</v>
      </c>
      <c r="P13" s="1141">
        <v>14</v>
      </c>
      <c r="Q13" s="1142">
        <v>23</v>
      </c>
      <c r="R13" s="1140">
        <v>15</v>
      </c>
      <c r="S13" s="1141">
        <v>25</v>
      </c>
      <c r="T13" s="1142">
        <v>20</v>
      </c>
      <c r="U13" s="1140">
        <v>11</v>
      </c>
      <c r="V13" s="1141">
        <v>25</v>
      </c>
      <c r="W13" s="1142">
        <v>20</v>
      </c>
      <c r="X13" s="1140">
        <v>19</v>
      </c>
      <c r="Y13" s="1143">
        <v>17</v>
      </c>
      <c r="Z13" s="1142">
        <v>20</v>
      </c>
      <c r="AA13" s="1140">
        <v>17</v>
      </c>
      <c r="AB13" s="1144">
        <v>12</v>
      </c>
      <c r="AC13" s="1142">
        <v>20</v>
      </c>
      <c r="AD13" s="1140">
        <v>26</v>
      </c>
      <c r="AE13" s="1141">
        <v>27</v>
      </c>
      <c r="AF13" s="1142">
        <v>13</v>
      </c>
      <c r="AG13" s="1140">
        <v>4</v>
      </c>
      <c r="AH13" s="1141">
        <v>13</v>
      </c>
      <c r="AI13" s="1142">
        <v>17</v>
      </c>
      <c r="AJ13" s="1140">
        <v>26</v>
      </c>
      <c r="AK13" s="1141">
        <v>18</v>
      </c>
      <c r="AL13" s="1142">
        <v>26</v>
      </c>
      <c r="AM13" s="1397"/>
      <c r="AN13" s="1139" t="s">
        <v>566</v>
      </c>
      <c r="AO13" s="334" t="s">
        <v>4822</v>
      </c>
    </row>
    <row r="14" spans="1:41" ht="20.25" customHeight="1">
      <c r="A14" s="1397"/>
      <c r="B14" s="1145" t="s">
        <v>644</v>
      </c>
      <c r="C14" s="1146">
        <v>25</v>
      </c>
      <c r="D14" s="1147">
        <v>23</v>
      </c>
      <c r="E14" s="1148">
        <v>21</v>
      </c>
      <c r="F14" s="1146">
        <v>18</v>
      </c>
      <c r="G14" s="1147">
        <v>11</v>
      </c>
      <c r="H14" s="1148">
        <v>19</v>
      </c>
      <c r="I14" s="1146">
        <v>11</v>
      </c>
      <c r="J14" s="1147">
        <v>11</v>
      </c>
      <c r="K14" s="1148">
        <v>13</v>
      </c>
      <c r="L14" s="1146">
        <v>27</v>
      </c>
      <c r="M14" s="1147">
        <v>28</v>
      </c>
      <c r="N14" s="1158">
        <v>28</v>
      </c>
      <c r="O14" s="1146">
        <v>15</v>
      </c>
      <c r="P14" s="1147">
        <v>15</v>
      </c>
      <c r="Q14" s="1148">
        <v>17</v>
      </c>
      <c r="R14" s="1146">
        <v>19</v>
      </c>
      <c r="S14" s="1147">
        <v>19</v>
      </c>
      <c r="T14" s="1148">
        <v>24</v>
      </c>
      <c r="U14" s="1146">
        <v>24</v>
      </c>
      <c r="V14" s="1147">
        <v>11</v>
      </c>
      <c r="W14" s="1148">
        <v>16</v>
      </c>
      <c r="X14" s="1146">
        <v>14</v>
      </c>
      <c r="Y14" s="1151">
        <v>19</v>
      </c>
      <c r="Z14" s="1148">
        <v>25</v>
      </c>
      <c r="AA14" s="1150">
        <v>22</v>
      </c>
      <c r="AB14" s="1147">
        <v>15</v>
      </c>
      <c r="AC14" s="1148">
        <v>7</v>
      </c>
      <c r="AD14" s="1146">
        <v>13</v>
      </c>
      <c r="AE14" s="1147">
        <v>13</v>
      </c>
      <c r="AF14" s="1148">
        <v>26</v>
      </c>
      <c r="AG14" s="1146">
        <v>17</v>
      </c>
      <c r="AH14" s="1147">
        <v>18</v>
      </c>
      <c r="AI14" s="1148">
        <v>11</v>
      </c>
      <c r="AJ14" s="1146">
        <v>17</v>
      </c>
      <c r="AK14" s="1147">
        <v>20</v>
      </c>
      <c r="AL14" s="1148">
        <v>12</v>
      </c>
      <c r="AM14" s="1397"/>
      <c r="AN14" s="1145" t="s">
        <v>644</v>
      </c>
      <c r="AO14" s="334" t="s">
        <v>4823</v>
      </c>
    </row>
    <row r="15" spans="1:41" ht="20.25" customHeight="1">
      <c r="A15" s="1397" t="s">
        <v>4824</v>
      </c>
      <c r="B15" s="1114" t="s">
        <v>645</v>
      </c>
      <c r="C15" s="1115">
        <v>19</v>
      </c>
      <c r="D15" s="1116">
        <v>19</v>
      </c>
      <c r="E15" s="1117">
        <v>15</v>
      </c>
      <c r="F15" s="1115">
        <v>16</v>
      </c>
      <c r="G15" s="1116">
        <v>9</v>
      </c>
      <c r="H15" s="1117">
        <v>17</v>
      </c>
      <c r="I15" s="1115">
        <v>20</v>
      </c>
      <c r="J15" s="1116">
        <v>20</v>
      </c>
      <c r="K15" s="1117">
        <v>19</v>
      </c>
      <c r="L15" s="1115">
        <v>16</v>
      </c>
      <c r="M15" s="1116">
        <v>18</v>
      </c>
      <c r="N15" s="1117">
        <v>16</v>
      </c>
      <c r="O15" s="1115">
        <v>28</v>
      </c>
      <c r="P15" s="1116">
        <v>30</v>
      </c>
      <c r="Q15" s="1117">
        <v>26</v>
      </c>
      <c r="R15" s="1115">
        <v>14</v>
      </c>
      <c r="S15" s="1116">
        <v>14</v>
      </c>
      <c r="T15" s="1117">
        <v>19</v>
      </c>
      <c r="U15" s="1115">
        <v>23</v>
      </c>
      <c r="V15" s="1116">
        <v>10</v>
      </c>
      <c r="W15" s="1117">
        <v>15</v>
      </c>
      <c r="X15" s="1115">
        <v>24</v>
      </c>
      <c r="Y15" s="1116">
        <v>24</v>
      </c>
      <c r="Z15" s="1117">
        <v>32</v>
      </c>
      <c r="AA15" s="1118">
        <v>24</v>
      </c>
      <c r="AB15" s="1116">
        <v>19</v>
      </c>
      <c r="AC15" s="1117">
        <v>8</v>
      </c>
      <c r="AD15" s="1115">
        <v>3</v>
      </c>
      <c r="AE15" s="1116">
        <v>4</v>
      </c>
      <c r="AF15" s="1117">
        <v>17</v>
      </c>
      <c r="AG15" s="1115">
        <v>16</v>
      </c>
      <c r="AH15" s="1116">
        <v>9</v>
      </c>
      <c r="AI15" s="1117">
        <v>14</v>
      </c>
      <c r="AJ15" s="1115">
        <v>17</v>
      </c>
      <c r="AK15" s="1116">
        <v>18</v>
      </c>
      <c r="AL15" s="1119">
        <v>12</v>
      </c>
      <c r="AM15" s="1397" t="s">
        <v>4824</v>
      </c>
      <c r="AN15" s="1114" t="s">
        <v>645</v>
      </c>
      <c r="AO15" s="334" t="s">
        <v>4825</v>
      </c>
    </row>
    <row r="16" spans="1:41" ht="20.25" customHeight="1">
      <c r="A16" s="1397"/>
      <c r="B16" s="1120" t="s">
        <v>1581</v>
      </c>
      <c r="C16" s="1121">
        <v>25</v>
      </c>
      <c r="D16" s="1124">
        <v>17</v>
      </c>
      <c r="E16" s="1123">
        <v>19</v>
      </c>
      <c r="F16" s="1121">
        <v>20</v>
      </c>
      <c r="G16" s="1124">
        <v>23</v>
      </c>
      <c r="H16" s="1123">
        <v>15</v>
      </c>
      <c r="I16" s="1121">
        <v>18</v>
      </c>
      <c r="J16" s="1124">
        <v>26</v>
      </c>
      <c r="K16" s="1123">
        <v>25</v>
      </c>
      <c r="L16" s="1121">
        <v>22</v>
      </c>
      <c r="M16" s="1124">
        <v>16</v>
      </c>
      <c r="N16" s="1123">
        <v>19</v>
      </c>
      <c r="O16" s="1121">
        <v>30</v>
      </c>
      <c r="P16" s="1124">
        <v>28</v>
      </c>
      <c r="Q16" s="1123">
        <v>34</v>
      </c>
      <c r="R16" s="1121">
        <v>24</v>
      </c>
      <c r="S16" s="1124">
        <v>20</v>
      </c>
      <c r="T16" s="1123">
        <v>5</v>
      </c>
      <c r="U16" s="1121">
        <v>9</v>
      </c>
      <c r="V16" s="1124">
        <v>24</v>
      </c>
      <c r="W16" s="1123">
        <v>17</v>
      </c>
      <c r="X16" s="1121">
        <v>23</v>
      </c>
      <c r="Y16" s="1124">
        <v>22</v>
      </c>
      <c r="Z16" s="1123">
        <v>24</v>
      </c>
      <c r="AA16" s="1125">
        <v>20</v>
      </c>
      <c r="AB16" s="1124">
        <v>17</v>
      </c>
      <c r="AC16" s="1123">
        <v>24</v>
      </c>
      <c r="AD16" s="1121">
        <v>19</v>
      </c>
      <c r="AE16" s="1124">
        <v>18</v>
      </c>
      <c r="AF16" s="1123">
        <v>5</v>
      </c>
      <c r="AG16" s="1121">
        <v>19</v>
      </c>
      <c r="AH16" s="1124">
        <v>10</v>
      </c>
      <c r="AI16" s="1123">
        <v>13</v>
      </c>
      <c r="AJ16" s="1121">
        <v>23</v>
      </c>
      <c r="AK16" s="1126">
        <v>16</v>
      </c>
      <c r="AL16" s="1123">
        <v>24</v>
      </c>
      <c r="AM16" s="1397"/>
      <c r="AN16" s="1120" t="s">
        <v>1581</v>
      </c>
      <c r="AO16" s="334" t="s">
        <v>4826</v>
      </c>
    </row>
    <row r="17" spans="1:41" ht="20.25" customHeight="1">
      <c r="A17" s="1397"/>
      <c r="B17" s="1127" t="s">
        <v>4793</v>
      </c>
      <c r="C17" s="1128">
        <v>15</v>
      </c>
      <c r="D17" s="1129">
        <v>25</v>
      </c>
      <c r="E17" s="1130">
        <v>20</v>
      </c>
      <c r="F17" s="1128">
        <v>21</v>
      </c>
      <c r="G17" s="1129">
        <v>26</v>
      </c>
      <c r="H17" s="1130">
        <v>24</v>
      </c>
      <c r="I17" s="1128">
        <v>27</v>
      </c>
      <c r="J17" s="1129">
        <v>19</v>
      </c>
      <c r="K17" s="1130">
        <v>17</v>
      </c>
      <c r="L17" s="1128">
        <v>14</v>
      </c>
      <c r="M17" s="1129">
        <v>23</v>
      </c>
      <c r="N17" s="1130">
        <v>18</v>
      </c>
      <c r="O17" s="1128">
        <v>26</v>
      </c>
      <c r="P17" s="1129">
        <v>34</v>
      </c>
      <c r="Q17" s="1130">
        <v>28</v>
      </c>
      <c r="R17" s="1128">
        <v>16</v>
      </c>
      <c r="S17" s="1129">
        <v>15</v>
      </c>
      <c r="T17" s="1130">
        <v>12</v>
      </c>
      <c r="U17" s="1128">
        <v>16</v>
      </c>
      <c r="V17" s="1129">
        <v>25</v>
      </c>
      <c r="W17" s="1130">
        <v>16</v>
      </c>
      <c r="X17" s="1128">
        <v>22</v>
      </c>
      <c r="Y17" s="1129">
        <v>30</v>
      </c>
      <c r="Z17" s="1130">
        <v>16</v>
      </c>
      <c r="AA17" s="1131">
        <v>9</v>
      </c>
      <c r="AB17" s="1129">
        <v>25</v>
      </c>
      <c r="AC17" s="1130">
        <v>25</v>
      </c>
      <c r="AD17" s="1128">
        <v>20</v>
      </c>
      <c r="AE17" s="1129">
        <v>20</v>
      </c>
      <c r="AF17" s="1130">
        <v>11</v>
      </c>
      <c r="AG17" s="1128">
        <v>16</v>
      </c>
      <c r="AH17" s="1129">
        <v>24</v>
      </c>
      <c r="AI17" s="1156">
        <v>16</v>
      </c>
      <c r="AJ17" s="1132">
        <v>15</v>
      </c>
      <c r="AK17" s="1129">
        <v>26</v>
      </c>
      <c r="AL17" s="1130">
        <v>24</v>
      </c>
      <c r="AM17" s="1397"/>
      <c r="AN17" s="1127" t="s">
        <v>4793</v>
      </c>
      <c r="AO17" s="334" t="s">
        <v>4827</v>
      </c>
    </row>
    <row r="18" spans="1:41" ht="20.25" customHeight="1">
      <c r="A18" s="1397" t="s">
        <v>4828</v>
      </c>
      <c r="B18" s="1133" t="s">
        <v>4794</v>
      </c>
      <c r="C18" s="1134">
        <v>11</v>
      </c>
      <c r="D18" s="1135">
        <v>21</v>
      </c>
      <c r="E18" s="1136">
        <v>16</v>
      </c>
      <c r="F18" s="1134">
        <v>20</v>
      </c>
      <c r="G18" s="1135">
        <v>25</v>
      </c>
      <c r="H18" s="1136">
        <v>24</v>
      </c>
      <c r="I18" s="1134">
        <v>31</v>
      </c>
      <c r="J18" s="1135">
        <v>21</v>
      </c>
      <c r="K18" s="1136">
        <v>23</v>
      </c>
      <c r="L18" s="1134">
        <v>17</v>
      </c>
      <c r="M18" s="1135">
        <v>20</v>
      </c>
      <c r="N18" s="1136">
        <v>20</v>
      </c>
      <c r="O18" s="1134">
        <v>15</v>
      </c>
      <c r="P18" s="1135">
        <v>23</v>
      </c>
      <c r="Q18" s="1136">
        <v>17</v>
      </c>
      <c r="R18" s="1134">
        <v>28</v>
      </c>
      <c r="S18" s="1135">
        <v>27</v>
      </c>
      <c r="T18" s="1136">
        <v>24</v>
      </c>
      <c r="U18" s="1134">
        <v>16</v>
      </c>
      <c r="V18" s="1135">
        <v>25</v>
      </c>
      <c r="W18" s="1136">
        <v>16</v>
      </c>
      <c r="X18" s="1134">
        <v>18</v>
      </c>
      <c r="Y18" s="1135">
        <v>28</v>
      </c>
      <c r="Z18" s="1136">
        <v>12</v>
      </c>
      <c r="AA18" s="1134">
        <v>14</v>
      </c>
      <c r="AB18" s="1135">
        <v>29</v>
      </c>
      <c r="AC18" s="1136">
        <v>29</v>
      </c>
      <c r="AD18" s="1134">
        <v>24</v>
      </c>
      <c r="AE18" s="1137">
        <v>24</v>
      </c>
      <c r="AF18" s="1136">
        <v>15</v>
      </c>
      <c r="AG18" s="1134">
        <v>18</v>
      </c>
      <c r="AH18" s="1135">
        <v>26</v>
      </c>
      <c r="AI18" s="1138">
        <v>18</v>
      </c>
      <c r="AJ18" s="1157">
        <v>17</v>
      </c>
      <c r="AK18" s="1135">
        <v>28</v>
      </c>
      <c r="AL18" s="1136">
        <v>26</v>
      </c>
      <c r="AM18" s="1397" t="s">
        <v>4828</v>
      </c>
      <c r="AN18" s="1133" t="s">
        <v>4794</v>
      </c>
      <c r="AO18" s="334" t="s">
        <v>4829</v>
      </c>
    </row>
    <row r="19" spans="1:41" ht="20.25" customHeight="1">
      <c r="A19" s="1397"/>
      <c r="B19" s="1139" t="s">
        <v>648</v>
      </c>
      <c r="C19" s="1140">
        <v>11</v>
      </c>
      <c r="D19" s="1141">
        <v>18</v>
      </c>
      <c r="E19" s="1142">
        <v>16</v>
      </c>
      <c r="F19" s="1140">
        <v>20</v>
      </c>
      <c r="G19" s="1141">
        <v>23</v>
      </c>
      <c r="H19" s="1142">
        <v>24</v>
      </c>
      <c r="I19" s="1140">
        <v>32</v>
      </c>
      <c r="J19" s="1141">
        <v>18</v>
      </c>
      <c r="K19" s="1142">
        <v>23</v>
      </c>
      <c r="L19" s="1140">
        <v>18</v>
      </c>
      <c r="M19" s="1141">
        <v>26</v>
      </c>
      <c r="N19" s="1142">
        <v>21</v>
      </c>
      <c r="O19" s="1140">
        <v>16</v>
      </c>
      <c r="P19" s="1141">
        <v>20</v>
      </c>
      <c r="Q19" s="1142">
        <v>15</v>
      </c>
      <c r="R19" s="1140">
        <v>26</v>
      </c>
      <c r="S19" s="1141">
        <v>28</v>
      </c>
      <c r="T19" s="1142">
        <v>28</v>
      </c>
      <c r="U19" s="1140">
        <v>29</v>
      </c>
      <c r="V19" s="1141">
        <v>26</v>
      </c>
      <c r="W19" s="1142">
        <v>18</v>
      </c>
      <c r="X19" s="1140">
        <v>20</v>
      </c>
      <c r="Y19" s="1141">
        <v>26</v>
      </c>
      <c r="Z19" s="1142">
        <v>13</v>
      </c>
      <c r="AA19" s="1140">
        <v>15</v>
      </c>
      <c r="AB19" s="1141">
        <v>27</v>
      </c>
      <c r="AC19" s="1142">
        <v>23</v>
      </c>
      <c r="AD19" s="1140">
        <v>23</v>
      </c>
      <c r="AE19" s="1143">
        <v>24</v>
      </c>
      <c r="AF19" s="1142">
        <v>18</v>
      </c>
      <c r="AG19" s="1140">
        <v>21</v>
      </c>
      <c r="AH19" s="1144">
        <v>22</v>
      </c>
      <c r="AI19" s="1142">
        <v>25</v>
      </c>
      <c r="AJ19" s="1140">
        <v>15</v>
      </c>
      <c r="AK19" s="1141">
        <v>26</v>
      </c>
      <c r="AL19" s="1142">
        <v>24</v>
      </c>
      <c r="AM19" s="1397"/>
      <c r="AN19" s="1139" t="s">
        <v>648</v>
      </c>
      <c r="AO19" s="334" t="s">
        <v>4830</v>
      </c>
    </row>
    <row r="20" spans="1:41" ht="20.25" customHeight="1">
      <c r="A20" s="1397"/>
      <c r="B20" s="1145" t="s">
        <v>4795</v>
      </c>
      <c r="C20" s="1146">
        <v>12</v>
      </c>
      <c r="D20" s="1147">
        <v>4</v>
      </c>
      <c r="E20" s="1148">
        <v>18</v>
      </c>
      <c r="F20" s="1146">
        <v>23</v>
      </c>
      <c r="G20" s="1147">
        <v>18</v>
      </c>
      <c r="H20" s="1149">
        <v>10</v>
      </c>
      <c r="I20" s="1150">
        <v>18</v>
      </c>
      <c r="J20" s="1147">
        <v>22</v>
      </c>
      <c r="K20" s="1148">
        <v>24</v>
      </c>
      <c r="L20" s="1146">
        <v>21</v>
      </c>
      <c r="M20" s="1147">
        <v>11</v>
      </c>
      <c r="N20" s="1148">
        <v>25</v>
      </c>
      <c r="O20" s="1146">
        <v>20</v>
      </c>
      <c r="P20" s="1147">
        <v>6</v>
      </c>
      <c r="Q20" s="1148">
        <v>13</v>
      </c>
      <c r="R20" s="1146">
        <v>24</v>
      </c>
      <c r="S20" s="1147">
        <v>27</v>
      </c>
      <c r="T20" s="1149">
        <v>28</v>
      </c>
      <c r="U20" s="1150">
        <v>19</v>
      </c>
      <c r="V20" s="1147">
        <v>19</v>
      </c>
      <c r="W20" s="1148">
        <v>25</v>
      </c>
      <c r="X20" s="1146">
        <v>27</v>
      </c>
      <c r="Y20" s="1147">
        <v>11</v>
      </c>
      <c r="Z20" s="1148">
        <v>25</v>
      </c>
      <c r="AA20" s="1146">
        <v>27</v>
      </c>
      <c r="AB20" s="1147">
        <v>13</v>
      </c>
      <c r="AC20" s="1148">
        <v>21</v>
      </c>
      <c r="AD20" s="1146">
        <v>15</v>
      </c>
      <c r="AE20" s="1151">
        <v>17</v>
      </c>
      <c r="AF20" s="1149">
        <v>15</v>
      </c>
      <c r="AG20" s="1150">
        <v>24</v>
      </c>
      <c r="AH20" s="1147">
        <v>26</v>
      </c>
      <c r="AI20" s="1148">
        <v>20</v>
      </c>
      <c r="AJ20" s="1146">
        <v>19</v>
      </c>
      <c r="AK20" s="1147">
        <v>10</v>
      </c>
      <c r="AL20" s="1148">
        <v>19</v>
      </c>
      <c r="AM20" s="1397"/>
      <c r="AN20" s="1145" t="s">
        <v>4795</v>
      </c>
      <c r="AO20" s="334" t="s">
        <v>4831</v>
      </c>
    </row>
    <row r="21" spans="1:41" ht="20.25" customHeight="1">
      <c r="A21" s="1397" t="s">
        <v>4832</v>
      </c>
      <c r="B21" s="1114" t="s">
        <v>4796</v>
      </c>
      <c r="C21" s="1115">
        <v>22</v>
      </c>
      <c r="D21" s="1116">
        <v>14</v>
      </c>
      <c r="E21" s="1117">
        <v>28</v>
      </c>
      <c r="F21" s="1115">
        <v>23</v>
      </c>
      <c r="G21" s="1116">
        <v>18</v>
      </c>
      <c r="H21" s="1119">
        <v>10</v>
      </c>
      <c r="I21" s="1152">
        <v>12</v>
      </c>
      <c r="J21" s="1116">
        <v>20</v>
      </c>
      <c r="K21" s="1117">
        <v>18</v>
      </c>
      <c r="L21" s="1115">
        <v>19</v>
      </c>
      <c r="M21" s="1116">
        <v>11</v>
      </c>
      <c r="N21" s="1117">
        <v>25</v>
      </c>
      <c r="O21" s="1115">
        <v>24</v>
      </c>
      <c r="P21" s="1116">
        <v>10</v>
      </c>
      <c r="Q21" s="1117">
        <v>17</v>
      </c>
      <c r="R21" s="1115">
        <v>27</v>
      </c>
      <c r="S21" s="1116">
        <v>20</v>
      </c>
      <c r="T21" s="1119">
        <v>20</v>
      </c>
      <c r="U21" s="1152">
        <v>29</v>
      </c>
      <c r="V21" s="1116">
        <v>27</v>
      </c>
      <c r="W21" s="1117">
        <v>33</v>
      </c>
      <c r="X21" s="1115">
        <v>22</v>
      </c>
      <c r="Y21" s="1116">
        <v>6</v>
      </c>
      <c r="Z21" s="1117">
        <v>20</v>
      </c>
      <c r="AA21" s="1115">
        <v>27</v>
      </c>
      <c r="AB21" s="1116">
        <v>13</v>
      </c>
      <c r="AC21" s="1117">
        <v>21</v>
      </c>
      <c r="AD21" s="1115">
        <v>23</v>
      </c>
      <c r="AE21" s="1116">
        <v>25</v>
      </c>
      <c r="AF21" s="1119">
        <v>23</v>
      </c>
      <c r="AG21" s="1152">
        <v>18</v>
      </c>
      <c r="AH21" s="1159">
        <v>26</v>
      </c>
      <c r="AI21" s="1117">
        <v>18</v>
      </c>
      <c r="AJ21" s="1115">
        <v>12</v>
      </c>
      <c r="AK21" s="1116">
        <v>3</v>
      </c>
      <c r="AL21" s="1117">
        <v>12</v>
      </c>
      <c r="AM21" s="1397" t="s">
        <v>4832</v>
      </c>
      <c r="AN21" s="1114" t="s">
        <v>4796</v>
      </c>
      <c r="AO21" s="334" t="s">
        <v>4833</v>
      </c>
    </row>
    <row r="22" spans="1:41" ht="20.25" customHeight="1">
      <c r="A22" s="1397"/>
      <c r="B22" s="1120" t="s">
        <v>4797</v>
      </c>
      <c r="C22" s="1121">
        <v>20</v>
      </c>
      <c r="D22" s="1124">
        <v>28</v>
      </c>
      <c r="E22" s="1123">
        <v>16</v>
      </c>
      <c r="F22" s="1121">
        <v>11</v>
      </c>
      <c r="G22" s="1126">
        <v>14</v>
      </c>
      <c r="H22" s="1123">
        <v>24</v>
      </c>
      <c r="I22" s="1121">
        <v>26</v>
      </c>
      <c r="J22" s="1124">
        <v>26</v>
      </c>
      <c r="K22" s="1123">
        <v>27</v>
      </c>
      <c r="L22" s="1121">
        <v>27</v>
      </c>
      <c r="M22" s="1124">
        <v>20</v>
      </c>
      <c r="N22" s="1123">
        <v>13</v>
      </c>
      <c r="O22" s="1121">
        <v>12</v>
      </c>
      <c r="P22" s="1124">
        <v>24</v>
      </c>
      <c r="Q22" s="1123">
        <v>25</v>
      </c>
      <c r="R22" s="1121">
        <v>25</v>
      </c>
      <c r="S22" s="1124">
        <v>27</v>
      </c>
      <c r="T22" s="1123">
        <v>21</v>
      </c>
      <c r="U22" s="1121">
        <v>28</v>
      </c>
      <c r="V22" s="1122">
        <v>28</v>
      </c>
      <c r="W22" s="1123">
        <v>20</v>
      </c>
      <c r="X22" s="1121">
        <v>9</v>
      </c>
      <c r="Y22" s="1124">
        <v>21</v>
      </c>
      <c r="Z22" s="1123">
        <v>15</v>
      </c>
      <c r="AA22" s="1121">
        <v>23</v>
      </c>
      <c r="AB22" s="1124">
        <v>27</v>
      </c>
      <c r="AC22" s="1123">
        <v>19</v>
      </c>
      <c r="AD22" s="1121">
        <v>21</v>
      </c>
      <c r="AE22" s="1124">
        <v>22</v>
      </c>
      <c r="AF22" s="1123">
        <v>26</v>
      </c>
      <c r="AG22" s="1121">
        <v>21</v>
      </c>
      <c r="AH22" s="1160">
        <v>22</v>
      </c>
      <c r="AI22" s="1123">
        <v>25</v>
      </c>
      <c r="AJ22" s="1121">
        <v>18</v>
      </c>
      <c r="AK22" s="1124">
        <v>19</v>
      </c>
      <c r="AL22" s="1123">
        <v>11</v>
      </c>
      <c r="AM22" s="1397"/>
      <c r="AN22" s="1120" t="s">
        <v>4797</v>
      </c>
      <c r="AO22" s="334" t="s">
        <v>4834</v>
      </c>
    </row>
    <row r="23" spans="1:41" ht="20.25" customHeight="1">
      <c r="A23" s="1397"/>
      <c r="B23" s="1127" t="s">
        <v>4798</v>
      </c>
      <c r="C23" s="1128">
        <v>21</v>
      </c>
      <c r="D23" s="1129">
        <v>22</v>
      </c>
      <c r="E23" s="1130">
        <v>20</v>
      </c>
      <c r="F23" s="1132">
        <v>15</v>
      </c>
      <c r="G23" s="1129">
        <v>9</v>
      </c>
      <c r="H23" s="1130">
        <v>17</v>
      </c>
      <c r="I23" s="1128">
        <v>18</v>
      </c>
      <c r="J23" s="1129">
        <v>20</v>
      </c>
      <c r="K23" s="1130">
        <v>20</v>
      </c>
      <c r="L23" s="1128">
        <v>20</v>
      </c>
      <c r="M23" s="1129">
        <v>20</v>
      </c>
      <c r="N23" s="1130">
        <v>17</v>
      </c>
      <c r="O23" s="1128">
        <v>16</v>
      </c>
      <c r="P23" s="1129">
        <v>18</v>
      </c>
      <c r="Q23" s="1130">
        <v>17</v>
      </c>
      <c r="R23" s="1128">
        <v>17</v>
      </c>
      <c r="S23" s="1129">
        <v>18</v>
      </c>
      <c r="T23" s="1130">
        <v>26</v>
      </c>
      <c r="U23" s="1128">
        <v>33</v>
      </c>
      <c r="V23" s="1129">
        <v>19</v>
      </c>
      <c r="W23" s="1130">
        <v>28</v>
      </c>
      <c r="X23" s="1128">
        <v>16</v>
      </c>
      <c r="Y23" s="1129">
        <v>16</v>
      </c>
      <c r="Z23" s="1130">
        <v>21</v>
      </c>
      <c r="AA23" s="1128">
        <v>27</v>
      </c>
      <c r="AB23" s="1129">
        <v>13</v>
      </c>
      <c r="AC23" s="1130">
        <v>13</v>
      </c>
      <c r="AD23" s="1128">
        <v>15</v>
      </c>
      <c r="AE23" s="1129">
        <v>15</v>
      </c>
      <c r="AF23" s="1130">
        <v>29</v>
      </c>
      <c r="AG23" s="1128">
        <v>24</v>
      </c>
      <c r="AH23" s="1161">
        <v>26</v>
      </c>
      <c r="AI23" s="1130">
        <v>20</v>
      </c>
      <c r="AJ23" s="1128">
        <v>13</v>
      </c>
      <c r="AK23" s="1129">
        <v>12</v>
      </c>
      <c r="AL23" s="1130">
        <v>4</v>
      </c>
      <c r="AM23" s="1397"/>
      <c r="AN23" s="1127" t="s">
        <v>4798</v>
      </c>
      <c r="AO23" s="334" t="s">
        <v>4835</v>
      </c>
    </row>
    <row r="24" spans="1:41" ht="20.25" customHeight="1">
      <c r="A24" s="1397" t="s">
        <v>4836</v>
      </c>
      <c r="B24" s="1133" t="s">
        <v>4619</v>
      </c>
      <c r="C24" s="1134">
        <v>16</v>
      </c>
      <c r="D24" s="1135">
        <v>16</v>
      </c>
      <c r="E24" s="1138">
        <v>14</v>
      </c>
      <c r="F24" s="1134">
        <v>19</v>
      </c>
      <c r="G24" s="1135">
        <v>13</v>
      </c>
      <c r="H24" s="1136">
        <v>21</v>
      </c>
      <c r="I24" s="1134">
        <v>11</v>
      </c>
      <c r="J24" s="1135">
        <v>12</v>
      </c>
      <c r="K24" s="1136">
        <v>12</v>
      </c>
      <c r="L24" s="1134">
        <v>18</v>
      </c>
      <c r="M24" s="1135">
        <v>18</v>
      </c>
      <c r="N24" s="1136">
        <v>14</v>
      </c>
      <c r="O24" s="1134">
        <v>24</v>
      </c>
      <c r="P24" s="1135">
        <v>22</v>
      </c>
      <c r="Q24" s="1136">
        <v>21</v>
      </c>
      <c r="R24" s="1134">
        <v>17</v>
      </c>
      <c r="S24" s="1135">
        <v>18</v>
      </c>
      <c r="T24" s="1136">
        <v>26</v>
      </c>
      <c r="U24" s="1134">
        <v>21</v>
      </c>
      <c r="V24" s="1135">
        <v>7</v>
      </c>
      <c r="W24" s="1136">
        <v>15</v>
      </c>
      <c r="X24" s="1134">
        <v>28</v>
      </c>
      <c r="Y24" s="1135">
        <v>27</v>
      </c>
      <c r="Z24" s="1136">
        <v>31</v>
      </c>
      <c r="AA24" s="1134">
        <v>21</v>
      </c>
      <c r="AB24" s="1135">
        <v>15</v>
      </c>
      <c r="AC24" s="1136">
        <v>7</v>
      </c>
      <c r="AD24" s="1134">
        <v>11</v>
      </c>
      <c r="AE24" s="1135">
        <v>11</v>
      </c>
      <c r="AF24" s="1136">
        <v>25</v>
      </c>
      <c r="AG24" s="1134">
        <v>24</v>
      </c>
      <c r="AH24" s="1124">
        <v>25</v>
      </c>
      <c r="AI24" s="1136">
        <v>19</v>
      </c>
      <c r="AJ24" s="1134">
        <v>19</v>
      </c>
      <c r="AK24" s="1135">
        <v>18</v>
      </c>
      <c r="AL24" s="1162">
        <v>9</v>
      </c>
      <c r="AM24" s="1397" t="s">
        <v>4836</v>
      </c>
      <c r="AN24" s="1133" t="s">
        <v>4619</v>
      </c>
      <c r="AO24" s="334" t="s">
        <v>4837</v>
      </c>
    </row>
    <row r="25" spans="1:41" ht="20.25" customHeight="1">
      <c r="A25" s="1397"/>
      <c r="B25" s="1139" t="s">
        <v>581</v>
      </c>
      <c r="C25" s="1140">
        <v>23</v>
      </c>
      <c r="D25" s="1144">
        <v>14</v>
      </c>
      <c r="E25" s="1142">
        <v>18</v>
      </c>
      <c r="F25" s="1140">
        <v>23</v>
      </c>
      <c r="G25" s="1141">
        <v>27</v>
      </c>
      <c r="H25" s="1142">
        <v>20</v>
      </c>
      <c r="I25" s="1140">
        <v>10</v>
      </c>
      <c r="J25" s="1141">
        <v>15</v>
      </c>
      <c r="K25" s="1142">
        <v>19</v>
      </c>
      <c r="L25" s="1140">
        <v>25</v>
      </c>
      <c r="M25" s="1141">
        <v>17</v>
      </c>
      <c r="N25" s="1142">
        <v>20</v>
      </c>
      <c r="O25" s="1140">
        <v>24</v>
      </c>
      <c r="P25" s="1141">
        <v>20</v>
      </c>
      <c r="Q25" s="1142">
        <v>28</v>
      </c>
      <c r="R25" s="1140">
        <v>24</v>
      </c>
      <c r="S25" s="1141">
        <v>25</v>
      </c>
      <c r="T25" s="1142">
        <v>11</v>
      </c>
      <c r="U25" s="1140">
        <v>6</v>
      </c>
      <c r="V25" s="1141">
        <v>20</v>
      </c>
      <c r="W25" s="1142">
        <v>16</v>
      </c>
      <c r="X25" s="1140">
        <v>28</v>
      </c>
      <c r="Y25" s="1141">
        <v>28</v>
      </c>
      <c r="Z25" s="1142">
        <v>31</v>
      </c>
      <c r="AA25" s="1140">
        <v>15</v>
      </c>
      <c r="AB25" s="1141">
        <v>13</v>
      </c>
      <c r="AC25" s="1142">
        <v>21</v>
      </c>
      <c r="AD25" s="1140">
        <v>25</v>
      </c>
      <c r="AE25" s="1141">
        <v>26</v>
      </c>
      <c r="AF25" s="1142">
        <v>12</v>
      </c>
      <c r="AG25" s="1140">
        <v>11</v>
      </c>
      <c r="AH25" s="1141">
        <v>20</v>
      </c>
      <c r="AI25" s="1142">
        <v>24</v>
      </c>
      <c r="AJ25" s="1140">
        <v>24</v>
      </c>
      <c r="AK25" s="1141">
        <v>17</v>
      </c>
      <c r="AL25" s="1163">
        <v>26</v>
      </c>
      <c r="AM25" s="1397"/>
      <c r="AN25" s="1139" t="s">
        <v>581</v>
      </c>
      <c r="AO25" s="334" t="s">
        <v>4838</v>
      </c>
    </row>
    <row r="26" spans="1:41" ht="20.25" customHeight="1">
      <c r="A26" s="1397"/>
      <c r="B26" s="1145" t="s">
        <v>651</v>
      </c>
      <c r="C26" s="1150">
        <v>10</v>
      </c>
      <c r="D26" s="1147">
        <v>17</v>
      </c>
      <c r="E26" s="1148">
        <v>23</v>
      </c>
      <c r="F26" s="1146">
        <v>28</v>
      </c>
      <c r="G26" s="1147">
        <v>22</v>
      </c>
      <c r="H26" s="1148">
        <v>29</v>
      </c>
      <c r="I26" s="1146">
        <v>12</v>
      </c>
      <c r="J26" s="1147">
        <v>2</v>
      </c>
      <c r="K26" s="1148">
        <v>4</v>
      </c>
      <c r="L26" s="1146">
        <v>9</v>
      </c>
      <c r="M26" s="1147">
        <v>19</v>
      </c>
      <c r="N26" s="1148">
        <v>25</v>
      </c>
      <c r="O26" s="1146">
        <v>31</v>
      </c>
      <c r="P26" s="1147">
        <v>23</v>
      </c>
      <c r="Q26" s="1148">
        <v>15</v>
      </c>
      <c r="R26" s="1146">
        <v>11</v>
      </c>
      <c r="S26" s="1147">
        <v>11</v>
      </c>
      <c r="T26" s="1148">
        <v>24</v>
      </c>
      <c r="U26" s="1146">
        <v>19</v>
      </c>
      <c r="V26" s="1147">
        <v>14</v>
      </c>
      <c r="W26" s="1148">
        <v>10</v>
      </c>
      <c r="X26" s="1146">
        <v>31</v>
      </c>
      <c r="Y26" s="1147">
        <v>30</v>
      </c>
      <c r="Z26" s="1158">
        <v>28</v>
      </c>
      <c r="AA26" s="1146">
        <v>14</v>
      </c>
      <c r="AB26" s="1147">
        <v>16</v>
      </c>
      <c r="AC26" s="1148">
        <v>16</v>
      </c>
      <c r="AD26" s="1146">
        <v>20</v>
      </c>
      <c r="AE26" s="1147">
        <v>20</v>
      </c>
      <c r="AF26" s="1148">
        <v>25</v>
      </c>
      <c r="AG26" s="1146">
        <v>24</v>
      </c>
      <c r="AH26" s="1147">
        <v>17</v>
      </c>
      <c r="AI26" s="1148">
        <v>10</v>
      </c>
      <c r="AJ26" s="1146">
        <v>9</v>
      </c>
      <c r="AK26" s="1147">
        <v>20</v>
      </c>
      <c r="AL26" s="1164">
        <v>20</v>
      </c>
      <c r="AM26" s="1397"/>
      <c r="AN26" s="1145" t="s">
        <v>651</v>
      </c>
      <c r="AO26" s="334" t="s">
        <v>4839</v>
      </c>
    </row>
    <row r="27" spans="1:41" ht="20.25" customHeight="1">
      <c r="A27" s="1397" t="s">
        <v>4840</v>
      </c>
      <c r="B27" s="1114" t="s">
        <v>597</v>
      </c>
      <c r="C27" s="1115">
        <v>11</v>
      </c>
      <c r="D27" s="1153">
        <v>19</v>
      </c>
      <c r="E27" s="1117">
        <v>25</v>
      </c>
      <c r="F27" s="1115">
        <v>19</v>
      </c>
      <c r="G27" s="1116">
        <v>12</v>
      </c>
      <c r="H27" s="1117">
        <v>12</v>
      </c>
      <c r="I27" s="1115">
        <v>21</v>
      </c>
      <c r="J27" s="1116">
        <v>14</v>
      </c>
      <c r="K27" s="1117">
        <v>12</v>
      </c>
      <c r="L27" s="1115">
        <v>7</v>
      </c>
      <c r="M27" s="1116">
        <v>17</v>
      </c>
      <c r="N27" s="1119">
        <v>23</v>
      </c>
      <c r="O27" s="1115">
        <v>24</v>
      </c>
      <c r="P27" s="1116">
        <v>18</v>
      </c>
      <c r="Q27" s="1117">
        <v>9</v>
      </c>
      <c r="R27" s="1115">
        <v>13</v>
      </c>
      <c r="S27" s="1116">
        <v>13</v>
      </c>
      <c r="T27" s="1117">
        <v>26</v>
      </c>
      <c r="U27" s="1115">
        <v>26</v>
      </c>
      <c r="V27" s="1116">
        <v>21</v>
      </c>
      <c r="W27" s="1117">
        <v>26</v>
      </c>
      <c r="X27" s="1115">
        <v>22</v>
      </c>
      <c r="Y27" s="1116">
        <v>16</v>
      </c>
      <c r="Z27" s="1117">
        <v>16</v>
      </c>
      <c r="AA27" s="1165">
        <v>28</v>
      </c>
      <c r="AB27" s="1116">
        <v>28</v>
      </c>
      <c r="AC27" s="1117">
        <v>13</v>
      </c>
      <c r="AD27" s="1115">
        <v>13</v>
      </c>
      <c r="AE27" s="1116">
        <v>14</v>
      </c>
      <c r="AF27" s="1117">
        <v>19</v>
      </c>
      <c r="AG27" s="1115">
        <v>28</v>
      </c>
      <c r="AH27" s="1116">
        <v>21</v>
      </c>
      <c r="AI27" s="1117">
        <v>14</v>
      </c>
      <c r="AJ27" s="1115">
        <v>16</v>
      </c>
      <c r="AK27" s="1116">
        <v>24</v>
      </c>
      <c r="AL27" s="1117">
        <v>26</v>
      </c>
      <c r="AM27" s="1397" t="s">
        <v>4840</v>
      </c>
      <c r="AN27" s="1114" t="s">
        <v>597</v>
      </c>
      <c r="AO27" s="334" t="s">
        <v>4841</v>
      </c>
    </row>
    <row r="28" spans="1:41" ht="20.25" customHeight="1">
      <c r="A28" s="1397"/>
      <c r="B28" s="1120" t="s">
        <v>4799</v>
      </c>
      <c r="C28" s="1121">
        <v>25</v>
      </c>
      <c r="D28" s="1154">
        <v>17</v>
      </c>
      <c r="E28" s="1123">
        <v>19</v>
      </c>
      <c r="F28" s="1121">
        <v>14</v>
      </c>
      <c r="G28" s="1124">
        <v>18</v>
      </c>
      <c r="H28" s="1123">
        <v>10</v>
      </c>
      <c r="I28" s="1121">
        <v>19</v>
      </c>
      <c r="J28" s="1124">
        <v>26</v>
      </c>
      <c r="K28" s="1123">
        <v>27</v>
      </c>
      <c r="L28" s="1121">
        <v>22</v>
      </c>
      <c r="M28" s="1126">
        <v>14</v>
      </c>
      <c r="N28" s="1123">
        <v>16</v>
      </c>
      <c r="O28" s="1121">
        <v>19</v>
      </c>
      <c r="P28" s="1124">
        <v>17</v>
      </c>
      <c r="Q28" s="1123">
        <v>25</v>
      </c>
      <c r="R28" s="1121">
        <v>28</v>
      </c>
      <c r="S28" s="1124">
        <v>27</v>
      </c>
      <c r="T28" s="1123">
        <v>12</v>
      </c>
      <c r="U28" s="1121">
        <v>12</v>
      </c>
      <c r="V28" s="1124">
        <v>27</v>
      </c>
      <c r="W28" s="1123">
        <v>20</v>
      </c>
      <c r="X28" s="1121">
        <v>16</v>
      </c>
      <c r="Y28" s="1124">
        <v>15</v>
      </c>
      <c r="Z28" s="1123">
        <v>17</v>
      </c>
      <c r="AA28" s="1121">
        <v>27</v>
      </c>
      <c r="AB28" s="1124">
        <v>28</v>
      </c>
      <c r="AC28" s="1123">
        <v>34</v>
      </c>
      <c r="AD28" s="1121">
        <v>22</v>
      </c>
      <c r="AE28" s="1124">
        <v>22</v>
      </c>
      <c r="AF28" s="1123">
        <v>5</v>
      </c>
      <c r="AG28" s="1121">
        <v>14</v>
      </c>
      <c r="AH28" s="1124">
        <v>23</v>
      </c>
      <c r="AI28" s="1123">
        <v>28</v>
      </c>
      <c r="AJ28" s="1121">
        <v>20</v>
      </c>
      <c r="AK28" s="1124">
        <v>22</v>
      </c>
      <c r="AL28" s="1123">
        <v>30</v>
      </c>
      <c r="AM28" s="1397"/>
      <c r="AN28" s="1120" t="s">
        <v>4799</v>
      </c>
      <c r="AO28" s="334" t="s">
        <v>4842</v>
      </c>
    </row>
    <row r="29" spans="1:41" ht="20.25" customHeight="1">
      <c r="A29" s="1397"/>
      <c r="B29" s="1127" t="s">
        <v>4800</v>
      </c>
      <c r="C29" s="1128">
        <v>24</v>
      </c>
      <c r="D29" s="1155">
        <v>25</v>
      </c>
      <c r="E29" s="1130">
        <v>11</v>
      </c>
      <c r="F29" s="1128">
        <v>6</v>
      </c>
      <c r="G29" s="1129">
        <v>10</v>
      </c>
      <c r="H29" s="1130">
        <v>16</v>
      </c>
      <c r="I29" s="1128">
        <v>25</v>
      </c>
      <c r="J29" s="1129">
        <v>26</v>
      </c>
      <c r="K29" s="1130">
        <v>26</v>
      </c>
      <c r="L29" s="1132">
        <v>22</v>
      </c>
      <c r="M29" s="1129">
        <v>22</v>
      </c>
      <c r="N29" s="1130">
        <v>8</v>
      </c>
      <c r="O29" s="1128">
        <v>8</v>
      </c>
      <c r="P29" s="1129">
        <v>24</v>
      </c>
      <c r="Q29" s="1130">
        <v>25</v>
      </c>
      <c r="R29" s="1128">
        <v>28</v>
      </c>
      <c r="S29" s="1129">
        <v>28</v>
      </c>
      <c r="T29" s="1130">
        <v>20</v>
      </c>
      <c r="U29" s="1128">
        <v>20</v>
      </c>
      <c r="V29" s="1129">
        <v>19</v>
      </c>
      <c r="W29" s="1130">
        <v>12</v>
      </c>
      <c r="X29" s="1128">
        <v>18</v>
      </c>
      <c r="Y29" s="1129">
        <v>23</v>
      </c>
      <c r="Z29" s="1130">
        <v>17</v>
      </c>
      <c r="AA29" s="1128">
        <v>25</v>
      </c>
      <c r="AB29" s="1129">
        <v>35</v>
      </c>
      <c r="AC29" s="1130">
        <v>28</v>
      </c>
      <c r="AD29" s="1128">
        <v>16</v>
      </c>
      <c r="AE29" s="1129">
        <v>15</v>
      </c>
      <c r="AF29" s="1130">
        <v>13</v>
      </c>
      <c r="AG29" s="1128">
        <v>22</v>
      </c>
      <c r="AH29" s="1129">
        <v>23</v>
      </c>
      <c r="AI29" s="1130">
        <v>28</v>
      </c>
      <c r="AJ29" s="1128">
        <v>20</v>
      </c>
      <c r="AK29" s="1129">
        <v>30</v>
      </c>
      <c r="AL29" s="1130">
        <v>22</v>
      </c>
      <c r="AM29" s="1397"/>
      <c r="AN29" s="1127" t="s">
        <v>4800</v>
      </c>
      <c r="AO29" s="334" t="s">
        <v>4843</v>
      </c>
    </row>
    <row r="30" spans="1:41" ht="20.25" customHeight="1">
      <c r="A30" s="1397" t="s">
        <v>4844</v>
      </c>
      <c r="B30" s="1133" t="s">
        <v>4801</v>
      </c>
      <c r="C30" s="1134">
        <v>27</v>
      </c>
      <c r="D30" s="1135">
        <v>28</v>
      </c>
      <c r="E30" s="1136">
        <v>14</v>
      </c>
      <c r="F30" s="1134">
        <v>12</v>
      </c>
      <c r="G30" s="1137">
        <v>16</v>
      </c>
      <c r="H30" s="1136">
        <v>22</v>
      </c>
      <c r="I30" s="1134">
        <v>19</v>
      </c>
      <c r="J30" s="1135">
        <v>24</v>
      </c>
      <c r="K30" s="1138">
        <v>21</v>
      </c>
      <c r="L30" s="1134">
        <v>28</v>
      </c>
      <c r="M30" s="1135">
        <v>28</v>
      </c>
      <c r="N30" s="1136">
        <v>14</v>
      </c>
      <c r="O30" s="1134">
        <v>4</v>
      </c>
      <c r="P30" s="1135">
        <v>20</v>
      </c>
      <c r="Q30" s="1136">
        <v>21</v>
      </c>
      <c r="R30" s="1134">
        <v>24</v>
      </c>
      <c r="S30" s="1135">
        <v>24</v>
      </c>
      <c r="T30" s="1136">
        <v>15</v>
      </c>
      <c r="U30" s="1134">
        <v>22</v>
      </c>
      <c r="V30" s="1135">
        <v>31</v>
      </c>
      <c r="W30" s="1136">
        <v>14</v>
      </c>
      <c r="X30" s="1134">
        <v>12</v>
      </c>
      <c r="Y30" s="1135">
        <v>27</v>
      </c>
      <c r="Z30" s="1136">
        <v>21</v>
      </c>
      <c r="AA30" s="1134">
        <v>14</v>
      </c>
      <c r="AB30" s="1135">
        <v>24</v>
      </c>
      <c r="AC30" s="1136">
        <v>17</v>
      </c>
      <c r="AD30" s="1134">
        <v>28</v>
      </c>
      <c r="AE30" s="1135">
        <v>27</v>
      </c>
      <c r="AF30" s="1136">
        <v>25</v>
      </c>
      <c r="AG30" s="1134">
        <v>15</v>
      </c>
      <c r="AH30" s="1135">
        <v>16</v>
      </c>
      <c r="AI30" s="1136">
        <v>21</v>
      </c>
      <c r="AJ30" s="1134">
        <v>29</v>
      </c>
      <c r="AK30" s="1135">
        <v>30</v>
      </c>
      <c r="AL30" s="1136">
        <v>22</v>
      </c>
      <c r="AM30" s="1397" t="s">
        <v>4844</v>
      </c>
      <c r="AN30" s="1133" t="s">
        <v>4801</v>
      </c>
      <c r="AO30" s="334" t="s">
        <v>4845</v>
      </c>
    </row>
    <row r="31" spans="1:41" ht="20.25" customHeight="1">
      <c r="A31" s="1397"/>
      <c r="B31" s="1139" t="s">
        <v>4802</v>
      </c>
      <c r="C31" s="1140">
        <v>28</v>
      </c>
      <c r="D31" s="1141">
        <v>27</v>
      </c>
      <c r="E31" s="1142">
        <v>14</v>
      </c>
      <c r="F31" s="1140">
        <v>12</v>
      </c>
      <c r="G31" s="1143">
        <v>17</v>
      </c>
      <c r="H31" s="1142">
        <v>26</v>
      </c>
      <c r="I31" s="1140">
        <v>23</v>
      </c>
      <c r="J31" s="1144">
        <v>19</v>
      </c>
      <c r="K31" s="1142">
        <v>21</v>
      </c>
      <c r="L31" s="1140">
        <v>28</v>
      </c>
      <c r="M31" s="1141">
        <v>28</v>
      </c>
      <c r="N31" s="1142">
        <v>14</v>
      </c>
      <c r="O31" s="1140">
        <v>5</v>
      </c>
      <c r="P31" s="1141">
        <v>18</v>
      </c>
      <c r="Q31" s="1142">
        <v>20</v>
      </c>
      <c r="R31" s="1140">
        <v>23</v>
      </c>
      <c r="S31" s="1141">
        <v>24</v>
      </c>
      <c r="T31" s="1142">
        <v>17</v>
      </c>
      <c r="U31" s="1140">
        <v>24</v>
      </c>
      <c r="V31" s="1141">
        <v>21</v>
      </c>
      <c r="W31" s="1142">
        <v>14</v>
      </c>
      <c r="X31" s="1140">
        <v>12</v>
      </c>
      <c r="Y31" s="1141">
        <v>27</v>
      </c>
      <c r="Z31" s="1142">
        <v>21</v>
      </c>
      <c r="AA31" s="1140">
        <v>14</v>
      </c>
      <c r="AB31" s="1141">
        <v>22</v>
      </c>
      <c r="AC31" s="1142">
        <v>15</v>
      </c>
      <c r="AD31" s="1140">
        <v>26</v>
      </c>
      <c r="AE31" s="1141">
        <v>28</v>
      </c>
      <c r="AF31" s="1142">
        <v>27</v>
      </c>
      <c r="AG31" s="1140">
        <v>17</v>
      </c>
      <c r="AH31" s="1141">
        <v>17</v>
      </c>
      <c r="AI31" s="1142">
        <v>20</v>
      </c>
      <c r="AJ31" s="1140">
        <v>28</v>
      </c>
      <c r="AK31" s="1141">
        <v>29</v>
      </c>
      <c r="AL31" s="1142">
        <v>23</v>
      </c>
      <c r="AM31" s="1397"/>
      <c r="AN31" s="1139" t="s">
        <v>4802</v>
      </c>
      <c r="AO31" s="334" t="s">
        <v>4846</v>
      </c>
    </row>
    <row r="32" spans="1:41" ht="20.25" customHeight="1">
      <c r="A32" s="1397"/>
      <c r="B32" s="1145" t="s">
        <v>4803</v>
      </c>
      <c r="C32" s="1146">
        <v>20</v>
      </c>
      <c r="D32" s="1147">
        <v>11</v>
      </c>
      <c r="E32" s="1148">
        <v>26</v>
      </c>
      <c r="F32" s="1146">
        <v>23</v>
      </c>
      <c r="G32" s="1151">
        <v>19</v>
      </c>
      <c r="H32" s="1149">
        <v>11</v>
      </c>
      <c r="I32" s="1150">
        <v>18</v>
      </c>
      <c r="J32" s="1147">
        <v>16</v>
      </c>
      <c r="K32" s="1148">
        <v>14</v>
      </c>
      <c r="L32" s="1146">
        <v>23</v>
      </c>
      <c r="M32" s="1147">
        <v>13</v>
      </c>
      <c r="N32" s="1148">
        <v>27</v>
      </c>
      <c r="O32" s="1146">
        <v>18</v>
      </c>
      <c r="P32" s="1147">
        <v>4</v>
      </c>
      <c r="Q32" s="1148">
        <v>10</v>
      </c>
      <c r="R32" s="1146">
        <v>15</v>
      </c>
      <c r="S32" s="1147">
        <v>17</v>
      </c>
      <c r="T32" s="1149">
        <v>15</v>
      </c>
      <c r="U32" s="1150">
        <v>29</v>
      </c>
      <c r="V32" s="1147">
        <v>24</v>
      </c>
      <c r="W32" s="1148">
        <v>28</v>
      </c>
      <c r="X32" s="1146">
        <v>26</v>
      </c>
      <c r="Y32" s="1147">
        <v>12</v>
      </c>
      <c r="Z32" s="1148">
        <v>26</v>
      </c>
      <c r="AA32" s="1146">
        <v>20</v>
      </c>
      <c r="AB32" s="1147">
        <v>6</v>
      </c>
      <c r="AC32" s="1148">
        <v>14</v>
      </c>
      <c r="AD32" s="1146">
        <v>25</v>
      </c>
      <c r="AE32" s="1147">
        <v>27</v>
      </c>
      <c r="AF32" s="1166">
        <v>28</v>
      </c>
      <c r="AG32" s="1167">
        <v>17</v>
      </c>
      <c r="AH32" s="1147">
        <v>23</v>
      </c>
      <c r="AI32" s="1148">
        <v>17</v>
      </c>
      <c r="AJ32" s="1146">
        <v>24</v>
      </c>
      <c r="AK32" s="1147">
        <v>15</v>
      </c>
      <c r="AL32" s="1148">
        <v>22</v>
      </c>
      <c r="AM32" s="1397"/>
      <c r="AN32" s="1145" t="s">
        <v>4803</v>
      </c>
      <c r="AO32" s="334" t="s">
        <v>4847</v>
      </c>
    </row>
    <row r="33" spans="1:41" ht="20.25" customHeight="1">
      <c r="A33" s="1397" t="s">
        <v>4848</v>
      </c>
      <c r="B33" s="1114" t="s">
        <v>4804</v>
      </c>
      <c r="C33" s="1115">
        <v>19</v>
      </c>
      <c r="D33" s="1116">
        <v>10</v>
      </c>
      <c r="E33" s="1117">
        <v>25</v>
      </c>
      <c r="F33" s="1115">
        <v>30</v>
      </c>
      <c r="G33" s="1116">
        <v>25</v>
      </c>
      <c r="H33" s="1119">
        <v>17</v>
      </c>
      <c r="I33" s="1152">
        <v>11</v>
      </c>
      <c r="J33" s="1153">
        <v>18</v>
      </c>
      <c r="K33" s="1117">
        <v>17</v>
      </c>
      <c r="L33" s="1115">
        <v>12</v>
      </c>
      <c r="M33" s="1116">
        <v>4</v>
      </c>
      <c r="N33" s="1117">
        <v>18</v>
      </c>
      <c r="O33" s="1115">
        <v>24</v>
      </c>
      <c r="P33" s="1116">
        <v>10</v>
      </c>
      <c r="Q33" s="1117">
        <v>18</v>
      </c>
      <c r="R33" s="1115">
        <v>17</v>
      </c>
      <c r="S33" s="1116">
        <v>19</v>
      </c>
      <c r="T33" s="1119">
        <v>15</v>
      </c>
      <c r="U33" s="1152">
        <v>18</v>
      </c>
      <c r="V33" s="1116">
        <v>20</v>
      </c>
      <c r="W33" s="1117">
        <v>24</v>
      </c>
      <c r="X33" s="1115">
        <v>25</v>
      </c>
      <c r="Y33" s="1116">
        <v>11</v>
      </c>
      <c r="Z33" s="1117">
        <v>25</v>
      </c>
      <c r="AA33" s="1115">
        <v>20</v>
      </c>
      <c r="AB33" s="1116">
        <v>15</v>
      </c>
      <c r="AC33" s="1117">
        <v>23</v>
      </c>
      <c r="AD33" s="1115">
        <v>16</v>
      </c>
      <c r="AE33" s="1116">
        <v>18</v>
      </c>
      <c r="AF33" s="1168">
        <v>18</v>
      </c>
      <c r="AG33" s="1169">
        <v>28</v>
      </c>
      <c r="AH33" s="1116">
        <v>33</v>
      </c>
      <c r="AI33" s="1117">
        <v>27</v>
      </c>
      <c r="AJ33" s="1115">
        <v>16</v>
      </c>
      <c r="AK33" s="1116">
        <v>6</v>
      </c>
      <c r="AL33" s="1117">
        <v>13</v>
      </c>
      <c r="AM33" s="1397" t="s">
        <v>4848</v>
      </c>
      <c r="AN33" s="1114" t="s">
        <v>4804</v>
      </c>
      <c r="AO33" s="334" t="s">
        <v>4849</v>
      </c>
    </row>
    <row r="34" spans="1:41" ht="20.25" customHeight="1">
      <c r="A34" s="1397"/>
      <c r="B34" s="1120" t="s">
        <v>658</v>
      </c>
      <c r="C34" s="1121">
        <v>14</v>
      </c>
      <c r="D34" s="1124">
        <v>20</v>
      </c>
      <c r="E34" s="1123">
        <v>26</v>
      </c>
      <c r="F34" s="1121">
        <v>31</v>
      </c>
      <c r="G34" s="1124">
        <v>25</v>
      </c>
      <c r="H34" s="1123">
        <v>26</v>
      </c>
      <c r="I34" s="1121">
        <v>20</v>
      </c>
      <c r="J34" s="1154">
        <v>12</v>
      </c>
      <c r="K34" s="1123">
        <v>12</v>
      </c>
      <c r="L34" s="1121">
        <v>6</v>
      </c>
      <c r="M34" s="1124">
        <v>13</v>
      </c>
      <c r="N34" s="1123">
        <v>19</v>
      </c>
      <c r="O34" s="1121">
        <v>25</v>
      </c>
      <c r="P34" s="1124">
        <v>19</v>
      </c>
      <c r="Q34" s="1123">
        <v>11</v>
      </c>
      <c r="R34" s="1121">
        <v>10</v>
      </c>
      <c r="S34" s="1126">
        <v>10</v>
      </c>
      <c r="T34" s="1123">
        <v>25</v>
      </c>
      <c r="U34" s="1121">
        <v>20</v>
      </c>
      <c r="V34" s="1124">
        <v>21</v>
      </c>
      <c r="W34" s="1123">
        <v>26</v>
      </c>
      <c r="X34" s="1121">
        <v>26</v>
      </c>
      <c r="Y34" s="1124">
        <v>20</v>
      </c>
      <c r="Z34" s="1123">
        <v>18</v>
      </c>
      <c r="AA34" s="1121">
        <v>22</v>
      </c>
      <c r="AB34" s="1124">
        <v>24</v>
      </c>
      <c r="AC34" s="1123">
        <v>24</v>
      </c>
      <c r="AD34" s="1121">
        <v>17</v>
      </c>
      <c r="AE34" s="1124">
        <v>17</v>
      </c>
      <c r="AF34" s="1123">
        <v>24</v>
      </c>
      <c r="AG34" s="1121">
        <v>33</v>
      </c>
      <c r="AH34" s="1122">
        <v>28</v>
      </c>
      <c r="AI34" s="1123">
        <v>29</v>
      </c>
      <c r="AJ34" s="1121">
        <v>8</v>
      </c>
      <c r="AK34" s="1124">
        <v>24</v>
      </c>
      <c r="AL34" s="1123">
        <v>15</v>
      </c>
      <c r="AM34" s="1397"/>
      <c r="AN34" s="1120" t="s">
        <v>658</v>
      </c>
      <c r="AO34" s="334" t="s">
        <v>4850</v>
      </c>
    </row>
    <row r="35" spans="1:41" ht="20.25" customHeight="1">
      <c r="A35" s="1397"/>
      <c r="B35" s="1127" t="s">
        <v>4851</v>
      </c>
      <c r="C35" s="1128">
        <v>17</v>
      </c>
      <c r="D35" s="1129">
        <v>24</v>
      </c>
      <c r="E35" s="1130">
        <v>19</v>
      </c>
      <c r="F35" s="1128">
        <v>24</v>
      </c>
      <c r="G35" s="1129">
        <v>30</v>
      </c>
      <c r="H35" s="1130">
        <v>30</v>
      </c>
      <c r="I35" s="1128">
        <v>23</v>
      </c>
      <c r="J35" s="1155">
        <v>17</v>
      </c>
      <c r="K35" s="1130">
        <v>17</v>
      </c>
      <c r="L35" s="1128">
        <v>11</v>
      </c>
      <c r="M35" s="1129">
        <v>19</v>
      </c>
      <c r="N35" s="1130">
        <v>12</v>
      </c>
      <c r="O35" s="1128">
        <v>18</v>
      </c>
      <c r="P35" s="1129">
        <v>26</v>
      </c>
      <c r="Q35" s="1130">
        <v>16</v>
      </c>
      <c r="R35" s="1132">
        <v>15</v>
      </c>
      <c r="S35" s="1129">
        <v>15</v>
      </c>
      <c r="T35" s="1130">
        <v>17</v>
      </c>
      <c r="U35" s="1128">
        <v>18</v>
      </c>
      <c r="V35" s="1129">
        <v>26</v>
      </c>
      <c r="W35" s="1130">
        <v>20</v>
      </c>
      <c r="X35" s="1128">
        <v>20</v>
      </c>
      <c r="Y35" s="1129">
        <v>26</v>
      </c>
      <c r="Z35" s="1130">
        <v>11</v>
      </c>
      <c r="AA35" s="1128">
        <v>15</v>
      </c>
      <c r="AB35" s="1129">
        <v>29</v>
      </c>
      <c r="AC35" s="1130">
        <v>29</v>
      </c>
      <c r="AD35" s="1128">
        <v>22</v>
      </c>
      <c r="AE35" s="1129">
        <v>22</v>
      </c>
      <c r="AF35" s="1130">
        <v>27</v>
      </c>
      <c r="AG35" s="1128">
        <v>27</v>
      </c>
      <c r="AH35" s="1129">
        <v>19</v>
      </c>
      <c r="AI35" s="1170">
        <v>28</v>
      </c>
      <c r="AJ35" s="1171">
        <v>16</v>
      </c>
      <c r="AK35" s="1129">
        <v>22</v>
      </c>
      <c r="AL35" s="1130">
        <v>19</v>
      </c>
      <c r="AM35" s="1397"/>
      <c r="AN35" s="1127" t="s">
        <v>4851</v>
      </c>
      <c r="AO35" s="334" t="s">
        <v>4852</v>
      </c>
    </row>
    <row r="36" spans="1:41" ht="20.25" customHeight="1">
      <c r="A36" s="1398" t="s">
        <v>4853</v>
      </c>
      <c r="B36" s="1120" t="s">
        <v>4806</v>
      </c>
      <c r="C36" s="1121">
        <v>11</v>
      </c>
      <c r="D36" s="1124">
        <v>21</v>
      </c>
      <c r="E36" s="1123">
        <v>16</v>
      </c>
      <c r="F36" s="1121">
        <v>19</v>
      </c>
      <c r="G36" s="1124">
        <v>25</v>
      </c>
      <c r="H36" s="1123">
        <v>25</v>
      </c>
      <c r="I36" s="1121">
        <v>24</v>
      </c>
      <c r="J36" s="1124">
        <v>17</v>
      </c>
      <c r="K36" s="1123">
        <v>17</v>
      </c>
      <c r="L36" s="1121">
        <v>17</v>
      </c>
      <c r="M36" s="1124">
        <v>25</v>
      </c>
      <c r="N36" s="1172">
        <v>17</v>
      </c>
      <c r="O36" s="1121">
        <v>16</v>
      </c>
      <c r="P36" s="1124">
        <v>22</v>
      </c>
      <c r="Q36" s="1173">
        <v>14</v>
      </c>
      <c r="R36" s="1121">
        <v>16</v>
      </c>
      <c r="S36" s="1124">
        <v>16</v>
      </c>
      <c r="T36" s="1123">
        <v>18</v>
      </c>
      <c r="U36" s="1121">
        <v>11</v>
      </c>
      <c r="V36" s="1124">
        <v>18</v>
      </c>
      <c r="W36" s="1123">
        <v>12</v>
      </c>
      <c r="X36" s="1121">
        <v>19</v>
      </c>
      <c r="Y36" s="1124">
        <v>25</v>
      </c>
      <c r="Z36" s="1123">
        <v>9</v>
      </c>
      <c r="AA36" s="1121">
        <v>14</v>
      </c>
      <c r="AB36" s="1124">
        <v>28</v>
      </c>
      <c r="AC36" s="1123">
        <v>28</v>
      </c>
      <c r="AD36" s="1121">
        <v>28</v>
      </c>
      <c r="AE36" s="1124">
        <v>28</v>
      </c>
      <c r="AF36" s="1123">
        <v>24</v>
      </c>
      <c r="AG36" s="1121">
        <v>15</v>
      </c>
      <c r="AH36" s="1124">
        <v>7</v>
      </c>
      <c r="AI36" s="1174">
        <v>15</v>
      </c>
      <c r="AJ36" s="1175">
        <v>28</v>
      </c>
      <c r="AK36" s="1124">
        <v>33</v>
      </c>
      <c r="AL36" s="1123">
        <v>30</v>
      </c>
      <c r="AM36" s="1398" t="s">
        <v>4853</v>
      </c>
      <c r="AN36" s="1120" t="s">
        <v>4806</v>
      </c>
      <c r="AO36" s="334" t="s">
        <v>4854</v>
      </c>
    </row>
    <row r="37" spans="1:41" ht="20.25" customHeight="1">
      <c r="A37" s="1398"/>
      <c r="B37" s="1139" t="s">
        <v>4807</v>
      </c>
      <c r="C37" s="1140">
        <v>23</v>
      </c>
      <c r="D37" s="1141">
        <v>25</v>
      </c>
      <c r="E37" s="1142">
        <v>18</v>
      </c>
      <c r="F37" s="1140">
        <v>21</v>
      </c>
      <c r="G37" s="1141">
        <v>26</v>
      </c>
      <c r="H37" s="1142">
        <v>18</v>
      </c>
      <c r="I37" s="1140">
        <v>17</v>
      </c>
      <c r="J37" s="1141">
        <v>25</v>
      </c>
      <c r="K37" s="1142">
        <v>26</v>
      </c>
      <c r="L37" s="1140">
        <v>26</v>
      </c>
      <c r="M37" s="1141">
        <v>19</v>
      </c>
      <c r="N37" s="1163">
        <v>20</v>
      </c>
      <c r="O37" s="1140">
        <v>17</v>
      </c>
      <c r="P37" s="1144">
        <v>25</v>
      </c>
      <c r="Q37" s="1142">
        <v>25</v>
      </c>
      <c r="R37" s="1140">
        <v>27</v>
      </c>
      <c r="S37" s="1141">
        <v>26</v>
      </c>
      <c r="T37" s="1142">
        <v>9</v>
      </c>
      <c r="U37" s="1140">
        <v>2</v>
      </c>
      <c r="V37" s="1141">
        <v>19</v>
      </c>
      <c r="W37" s="1142">
        <v>11</v>
      </c>
      <c r="X37" s="1140">
        <v>18</v>
      </c>
      <c r="Y37" s="1141">
        <v>18</v>
      </c>
      <c r="Z37" s="1142">
        <v>23</v>
      </c>
      <c r="AA37" s="1140">
        <v>23</v>
      </c>
      <c r="AB37" s="1141">
        <v>21</v>
      </c>
      <c r="AC37" s="1142">
        <v>29</v>
      </c>
      <c r="AD37" s="1140">
        <v>29</v>
      </c>
      <c r="AE37" s="1141">
        <v>29</v>
      </c>
      <c r="AF37" s="1142">
        <v>14</v>
      </c>
      <c r="AG37" s="1140">
        <v>5</v>
      </c>
      <c r="AH37" s="1141">
        <v>24</v>
      </c>
      <c r="AI37" s="1142">
        <v>21</v>
      </c>
      <c r="AJ37" s="1140">
        <v>33</v>
      </c>
      <c r="AK37" s="1141">
        <v>28</v>
      </c>
      <c r="AL37" s="1142">
        <v>33</v>
      </c>
      <c r="AM37" s="1398"/>
      <c r="AN37" s="1139" t="s">
        <v>4807</v>
      </c>
      <c r="AO37" s="334" t="s">
        <v>4855</v>
      </c>
    </row>
    <row r="38" spans="1:41" ht="20.25" customHeight="1">
      <c r="A38" s="1398"/>
      <c r="B38" s="1145" t="s">
        <v>574</v>
      </c>
      <c r="C38" s="1146">
        <v>25</v>
      </c>
      <c r="D38" s="1147">
        <v>23</v>
      </c>
      <c r="E38" s="1148">
        <v>10</v>
      </c>
      <c r="F38" s="1146">
        <v>13</v>
      </c>
      <c r="G38" s="1147">
        <v>17</v>
      </c>
      <c r="H38" s="1148">
        <v>26</v>
      </c>
      <c r="I38" s="1146">
        <v>25</v>
      </c>
      <c r="J38" s="1147">
        <v>24</v>
      </c>
      <c r="K38" s="1148">
        <v>25</v>
      </c>
      <c r="L38" s="1146">
        <v>24</v>
      </c>
      <c r="M38" s="1147">
        <v>26</v>
      </c>
      <c r="N38" s="1164">
        <v>13</v>
      </c>
      <c r="O38" s="1150">
        <v>12</v>
      </c>
      <c r="P38" s="1147">
        <v>22</v>
      </c>
      <c r="Q38" s="1148">
        <v>22</v>
      </c>
      <c r="R38" s="1146">
        <v>24</v>
      </c>
      <c r="S38" s="1147">
        <v>25</v>
      </c>
      <c r="T38" s="1148">
        <v>19</v>
      </c>
      <c r="U38" s="1146">
        <v>12</v>
      </c>
      <c r="V38" s="1147">
        <v>10</v>
      </c>
      <c r="W38" s="1148">
        <v>4</v>
      </c>
      <c r="X38" s="1146">
        <v>10</v>
      </c>
      <c r="Y38" s="1147">
        <v>20</v>
      </c>
      <c r="Z38" s="1148">
        <v>21</v>
      </c>
      <c r="AA38" s="1146">
        <v>26</v>
      </c>
      <c r="AB38" s="1147">
        <v>28</v>
      </c>
      <c r="AC38" s="1148">
        <v>20</v>
      </c>
      <c r="AD38" s="1146">
        <v>23</v>
      </c>
      <c r="AE38" s="1147">
        <v>21</v>
      </c>
      <c r="AF38" s="1148">
        <v>22</v>
      </c>
      <c r="AG38" s="1146">
        <v>13</v>
      </c>
      <c r="AH38" s="1147">
        <v>15</v>
      </c>
      <c r="AI38" s="1148">
        <v>17</v>
      </c>
      <c r="AJ38" s="1146">
        <v>29</v>
      </c>
      <c r="AK38" s="1147">
        <v>33</v>
      </c>
      <c r="AL38" s="1148">
        <v>28</v>
      </c>
      <c r="AM38" s="1398"/>
      <c r="AN38" s="1145" t="s">
        <v>574</v>
      </c>
      <c r="AO38" s="334" t="s">
        <v>4856</v>
      </c>
    </row>
    <row r="39" spans="1:41" ht="86.25" customHeight="1">
      <c r="A39" s="1109" t="s">
        <v>4857</v>
      </c>
      <c r="B39" s="1110" t="s">
        <v>4788</v>
      </c>
      <c r="C39" s="1176" t="s">
        <v>2463</v>
      </c>
      <c r="D39" s="1177" t="s">
        <v>639</v>
      </c>
      <c r="E39" s="1178" t="s">
        <v>4570</v>
      </c>
      <c r="F39" s="1176" t="s">
        <v>4789</v>
      </c>
      <c r="G39" s="1177" t="s">
        <v>641</v>
      </c>
      <c r="H39" s="1178" t="s">
        <v>4790</v>
      </c>
      <c r="I39" s="1176" t="s">
        <v>4791</v>
      </c>
      <c r="J39" s="1177" t="s">
        <v>557</v>
      </c>
      <c r="K39" s="1178" t="s">
        <v>4792</v>
      </c>
      <c r="L39" s="1176" t="s">
        <v>4601</v>
      </c>
      <c r="M39" s="1177" t="s">
        <v>566</v>
      </c>
      <c r="N39" s="1178" t="s">
        <v>644</v>
      </c>
      <c r="O39" s="1176" t="s">
        <v>645</v>
      </c>
      <c r="P39" s="1177" t="s">
        <v>1581</v>
      </c>
      <c r="Q39" s="1178" t="s">
        <v>4793</v>
      </c>
      <c r="R39" s="1176" t="s">
        <v>4794</v>
      </c>
      <c r="S39" s="1177" t="s">
        <v>648</v>
      </c>
      <c r="T39" s="1178" t="s">
        <v>4795</v>
      </c>
      <c r="U39" s="1176" t="s">
        <v>4796</v>
      </c>
      <c r="V39" s="1177" t="s">
        <v>4797</v>
      </c>
      <c r="W39" s="1178" t="s">
        <v>4798</v>
      </c>
      <c r="X39" s="1176" t="s">
        <v>4619</v>
      </c>
      <c r="Y39" s="1177" t="s">
        <v>581</v>
      </c>
      <c r="Z39" s="1178" t="s">
        <v>651</v>
      </c>
      <c r="AA39" s="1176" t="s">
        <v>597</v>
      </c>
      <c r="AB39" s="1177" t="s">
        <v>4799</v>
      </c>
      <c r="AC39" s="1178" t="s">
        <v>4800</v>
      </c>
      <c r="AD39" s="1176" t="s">
        <v>4801</v>
      </c>
      <c r="AE39" s="1177" t="s">
        <v>4802</v>
      </c>
      <c r="AF39" s="1178" t="s">
        <v>4803</v>
      </c>
      <c r="AG39" s="1176" t="s">
        <v>4804</v>
      </c>
      <c r="AH39" s="1177" t="s">
        <v>658</v>
      </c>
      <c r="AI39" s="1178" t="s">
        <v>4805</v>
      </c>
      <c r="AJ39" s="1176" t="s">
        <v>4806</v>
      </c>
      <c r="AK39" s="1177" t="s">
        <v>4807</v>
      </c>
      <c r="AL39" s="1178" t="s">
        <v>574</v>
      </c>
      <c r="AM39" s="1109" t="s">
        <v>4858</v>
      </c>
      <c r="AN39" s="1110" t="s">
        <v>4788</v>
      </c>
      <c r="AO39" s="1179" t="s">
        <v>4808</v>
      </c>
    </row>
    <row r="40" spans="1:41" s="334" customFormat="1">
      <c r="A40" s="1180" t="s">
        <v>4781</v>
      </c>
      <c r="B40" s="1181" t="s">
        <v>4782</v>
      </c>
      <c r="C40" s="1399" t="s">
        <v>1334</v>
      </c>
      <c r="D40" s="1399"/>
      <c r="E40" s="1399"/>
      <c r="F40" s="1399" t="s">
        <v>4783</v>
      </c>
      <c r="G40" s="1399"/>
      <c r="H40" s="1399"/>
      <c r="I40" s="1399" t="s">
        <v>4101</v>
      </c>
      <c r="J40" s="1399"/>
      <c r="K40" s="1399"/>
      <c r="L40" s="1399" t="s">
        <v>4102</v>
      </c>
      <c r="M40" s="1399"/>
      <c r="N40" s="1399"/>
      <c r="O40" s="1399" t="s">
        <v>4784</v>
      </c>
      <c r="P40" s="1399"/>
      <c r="Q40" s="1399"/>
      <c r="R40" s="1399" t="s">
        <v>4104</v>
      </c>
      <c r="S40" s="1399"/>
      <c r="T40" s="1399"/>
      <c r="U40" s="1399" t="s">
        <v>4105</v>
      </c>
      <c r="V40" s="1399"/>
      <c r="W40" s="1399"/>
      <c r="X40" s="1399" t="s">
        <v>4785</v>
      </c>
      <c r="Y40" s="1399"/>
      <c r="Z40" s="1399"/>
      <c r="AA40" s="1399" t="s">
        <v>4786</v>
      </c>
      <c r="AB40" s="1399"/>
      <c r="AC40" s="1399"/>
      <c r="AD40" s="1399" t="s">
        <v>4108</v>
      </c>
      <c r="AE40" s="1399"/>
      <c r="AF40" s="1399"/>
      <c r="AG40" s="1399" t="s">
        <v>4109</v>
      </c>
      <c r="AH40" s="1399"/>
      <c r="AI40" s="1399"/>
      <c r="AJ40" s="1399" t="s">
        <v>4110</v>
      </c>
      <c r="AK40" s="1399"/>
      <c r="AL40" s="1399"/>
      <c r="AM40" s="1180" t="s">
        <v>4781</v>
      </c>
      <c r="AN40" s="1181" t="s">
        <v>4782</v>
      </c>
      <c r="AO40" s="1182"/>
    </row>
    <row r="42" spans="1:41">
      <c r="A42" s="1183" t="s">
        <v>4859</v>
      </c>
      <c r="AM42" s="1183"/>
    </row>
    <row r="43" spans="1:41">
      <c r="A43" s="1183" t="s">
        <v>4860</v>
      </c>
      <c r="AM43" s="1183"/>
    </row>
    <row r="45" spans="1:41" ht="23.25">
      <c r="A45" s="1184" t="s">
        <v>4861</v>
      </c>
      <c r="G45" s="1184" t="s">
        <v>4862</v>
      </c>
      <c r="S45" s="1184" t="s">
        <v>4863</v>
      </c>
      <c r="AA45" s="1184"/>
      <c r="AH45" s="1184" t="s">
        <v>4864</v>
      </c>
      <c r="AM45" s="1184"/>
    </row>
    <row r="46" spans="1:41">
      <c r="A46" s="1185" t="s">
        <v>4865</v>
      </c>
      <c r="G46" s="1186" t="s">
        <v>4866</v>
      </c>
      <c r="S46" s="1187" t="s">
        <v>4867</v>
      </c>
      <c r="AA46" s="1187"/>
      <c r="AH46" s="669" t="s">
        <v>4868</v>
      </c>
      <c r="AM46" s="1185"/>
    </row>
    <row r="47" spans="1:41">
      <c r="A47" s="1188" t="s">
        <v>4869</v>
      </c>
      <c r="G47" s="1186" t="s">
        <v>4870</v>
      </c>
      <c r="S47" s="1187" t="s">
        <v>4871</v>
      </c>
      <c r="AA47" s="1187"/>
      <c r="AH47" s="334" t="s">
        <v>4872</v>
      </c>
      <c r="AM47" s="1188"/>
    </row>
    <row r="48" spans="1:41">
      <c r="A48" s="1189" t="s">
        <v>4873</v>
      </c>
      <c r="G48" s="1187" t="s">
        <v>4874</v>
      </c>
      <c r="S48" s="1187" t="s">
        <v>4875</v>
      </c>
      <c r="AA48" s="1187"/>
      <c r="AH48" s="669" t="s">
        <v>4876</v>
      </c>
      <c r="AM48" s="1189"/>
    </row>
    <row r="49" spans="1:39">
      <c r="A49" s="1183" t="s">
        <v>4877</v>
      </c>
      <c r="G49" s="1187" t="s">
        <v>4878</v>
      </c>
      <c r="S49" s="1186" t="s">
        <v>4879</v>
      </c>
      <c r="AA49" s="1187"/>
      <c r="AH49" s="334" t="s">
        <v>4880</v>
      </c>
      <c r="AM49" s="1183"/>
    </row>
    <row r="50" spans="1:39">
      <c r="A50" s="1183" t="s">
        <v>4881</v>
      </c>
      <c r="G50" s="1187" t="s">
        <v>4882</v>
      </c>
      <c r="S50" s="1187" t="s">
        <v>4883</v>
      </c>
      <c r="AH50" s="1186" t="s">
        <v>4884</v>
      </c>
    </row>
  </sheetData>
  <mergeCells count="48">
    <mergeCell ref="A36:A38"/>
    <mergeCell ref="AM36:AM38"/>
    <mergeCell ref="C40:E40"/>
    <mergeCell ref="F40:H40"/>
    <mergeCell ref="I40:K40"/>
    <mergeCell ref="L40:N40"/>
    <mergeCell ref="O40:Q40"/>
    <mergeCell ref="R40:T40"/>
    <mergeCell ref="U40:W40"/>
    <mergeCell ref="X40:Z40"/>
    <mergeCell ref="AA40:AC40"/>
    <mergeCell ref="AD40:AF40"/>
    <mergeCell ref="AG40:AI40"/>
    <mergeCell ref="AJ40:AL40"/>
    <mergeCell ref="A27:A29"/>
    <mergeCell ref="AM27:AM29"/>
    <mergeCell ref="A30:A32"/>
    <mergeCell ref="AM30:AM32"/>
    <mergeCell ref="A33:A35"/>
    <mergeCell ref="AM33:AM35"/>
    <mergeCell ref="A18:A20"/>
    <mergeCell ref="AM18:AM20"/>
    <mergeCell ref="A21:A23"/>
    <mergeCell ref="AM21:AM23"/>
    <mergeCell ref="A24:A26"/>
    <mergeCell ref="AM24:AM26"/>
    <mergeCell ref="A9:A11"/>
    <mergeCell ref="AM9:AM11"/>
    <mergeCell ref="A12:A14"/>
    <mergeCell ref="AM12:AM14"/>
    <mergeCell ref="A15:A17"/>
    <mergeCell ref="AM15:AM17"/>
    <mergeCell ref="AG1:AI1"/>
    <mergeCell ref="AJ1:AL1"/>
    <mergeCell ref="A3:A5"/>
    <mergeCell ref="AM3:AM5"/>
    <mergeCell ref="A6:A8"/>
    <mergeCell ref="AM6:AM8"/>
    <mergeCell ref="R1:T1"/>
    <mergeCell ref="U1:W1"/>
    <mergeCell ref="X1:Z1"/>
    <mergeCell ref="AA1:AC1"/>
    <mergeCell ref="AD1:AF1"/>
    <mergeCell ref="C1:E1"/>
    <mergeCell ref="F1:H1"/>
    <mergeCell ref="I1:K1"/>
    <mergeCell ref="L1:N1"/>
    <mergeCell ref="O1:Q1"/>
  </mergeCells>
  <printOptions gridLines="1"/>
  <pageMargins left="0.15763888888888899" right="0.15763888888888899" top="0.74791666666666701" bottom="0.74791666666666701" header="0.511811023622047" footer="0.511811023622047"/>
  <pageSetup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45"/>
  <sheetViews>
    <sheetView topLeftCell="A16" zoomScaleNormal="100" workbookViewId="0">
      <selection activeCell="B35" sqref="B35"/>
    </sheetView>
  </sheetViews>
  <sheetFormatPr defaultColWidth="7.140625" defaultRowHeight="15"/>
  <cols>
    <col min="2" max="2" width="22.7109375" customWidth="1"/>
    <col min="3" max="3" width="14" customWidth="1"/>
    <col min="4" max="4" width="15.5703125" customWidth="1"/>
    <col min="5" max="5" width="19.140625" customWidth="1"/>
    <col min="6" max="6" width="22.7109375" style="194" customWidth="1"/>
    <col min="8" max="8" width="16" customWidth="1"/>
    <col min="9" max="9" width="9.85546875" customWidth="1"/>
    <col min="14" max="14" width="19.140625" customWidth="1"/>
  </cols>
  <sheetData>
    <row r="1" spans="1:18">
      <c r="A1" s="1190"/>
      <c r="B1" s="1190" t="s">
        <v>4885</v>
      </c>
      <c r="C1" s="1190" t="s">
        <v>4886</v>
      </c>
      <c r="D1" s="1191" t="s">
        <v>4887</v>
      </c>
      <c r="E1" s="1190" t="s">
        <v>4888</v>
      </c>
      <c r="F1" s="1190" t="s">
        <v>4889</v>
      </c>
      <c r="G1" s="1192"/>
      <c r="H1" s="1192"/>
      <c r="I1" s="1192"/>
      <c r="J1" s="1192"/>
      <c r="M1" s="1400" t="s">
        <v>4890</v>
      </c>
      <c r="N1" s="1400"/>
      <c r="O1" s="1400"/>
      <c r="P1" s="1400"/>
      <c r="Q1" s="1400"/>
      <c r="R1" s="19"/>
    </row>
    <row r="2" spans="1:18">
      <c r="A2" s="1194">
        <v>1</v>
      </c>
      <c r="B2" s="1195" t="s">
        <v>2061</v>
      </c>
      <c r="C2" s="1195" t="s">
        <v>557</v>
      </c>
      <c r="D2" s="1196">
        <v>0.25</v>
      </c>
      <c r="E2" s="1197">
        <f>I11</f>
        <v>0.25</v>
      </c>
      <c r="F2" s="1198">
        <v>1</v>
      </c>
      <c r="G2" s="1192"/>
      <c r="H2" s="1192"/>
      <c r="I2" s="1192"/>
      <c r="J2" s="1192"/>
      <c r="M2" s="1199"/>
      <c r="N2" s="1192" t="s">
        <v>158</v>
      </c>
      <c r="O2" s="1200" t="str">
        <f>Basics!C8</f>
        <v>Cn</v>
      </c>
      <c r="P2" s="1192">
        <f>MATCH(O2,RsTbl,0)</f>
        <v>4</v>
      </c>
      <c r="Q2" s="1201"/>
      <c r="R2" s="19"/>
    </row>
    <row r="3" spans="1:18">
      <c r="A3" s="1194">
        <v>2</v>
      </c>
      <c r="B3" s="1195" t="s">
        <v>4891</v>
      </c>
      <c r="C3" s="1195" t="s">
        <v>4892</v>
      </c>
      <c r="D3" s="1196">
        <f t="shared" ref="D3:D32" si="0">MOD(D2+0.0333333333333333,24)</f>
        <v>0.28333333333333333</v>
      </c>
      <c r="E3" s="1197">
        <f t="shared" ref="E3:E16" si="1">E2+$I$14/15</f>
        <v>0.28333333333333333</v>
      </c>
      <c r="F3" s="1198">
        <v>2</v>
      </c>
      <c r="G3" s="1192"/>
      <c r="H3" s="1192"/>
      <c r="I3" s="1192"/>
      <c r="J3" s="1192"/>
      <c r="M3" s="1199"/>
      <c r="N3" s="1200" t="s">
        <v>159</v>
      </c>
      <c r="O3" s="32" t="str">
        <f>Basics!C9</f>
        <v>Ta</v>
      </c>
      <c r="P3" s="1192">
        <f>MATCH(O3,RsTbl,0)</f>
        <v>2</v>
      </c>
      <c r="Q3" s="1201"/>
      <c r="R3" s="19"/>
    </row>
    <row r="4" spans="1:18">
      <c r="A4" s="1194">
        <v>3</v>
      </c>
      <c r="B4" s="1195" t="s">
        <v>282</v>
      </c>
      <c r="C4" s="1195" t="s">
        <v>581</v>
      </c>
      <c r="D4" s="1196">
        <f t="shared" si="0"/>
        <v>0.31666666666666665</v>
      </c>
      <c r="E4" s="1197">
        <f t="shared" si="1"/>
        <v>0.31666666666666665</v>
      </c>
      <c r="F4" s="1198"/>
      <c r="G4" s="1192"/>
      <c r="H4" s="1192"/>
      <c r="I4" s="1192"/>
      <c r="J4" s="1192"/>
      <c r="M4" s="1199"/>
      <c r="N4" t="s">
        <v>319</v>
      </c>
      <c r="O4" s="32" t="str">
        <f>Basics!C7</f>
        <v>Le</v>
      </c>
      <c r="P4" s="1192">
        <f>MATCH(O4,RsTbl,0)</f>
        <v>5</v>
      </c>
      <c r="Q4" s="1201"/>
      <c r="R4" s="19"/>
    </row>
    <row r="5" spans="1:18">
      <c r="A5" s="1194">
        <v>4</v>
      </c>
      <c r="B5" s="1195" t="s">
        <v>4316</v>
      </c>
      <c r="C5" s="1195" t="s">
        <v>645</v>
      </c>
      <c r="D5" s="1196">
        <f t="shared" si="0"/>
        <v>0.35</v>
      </c>
      <c r="E5" s="1197">
        <f t="shared" si="1"/>
        <v>0.35</v>
      </c>
      <c r="F5" s="1198">
        <v>4</v>
      </c>
      <c r="G5" s="1192"/>
      <c r="H5" s="1192"/>
      <c r="I5" s="1192"/>
      <c r="J5" s="1192"/>
      <c r="M5" s="1199"/>
      <c r="N5" s="1192" t="s">
        <v>4893</v>
      </c>
      <c r="O5" s="1202" t="s">
        <v>693</v>
      </c>
      <c r="Q5" s="1201"/>
    </row>
    <row r="6" spans="1:18">
      <c r="A6" s="1194">
        <v>5</v>
      </c>
      <c r="B6" s="1195" t="s">
        <v>4894</v>
      </c>
      <c r="C6" s="1195" t="s">
        <v>4895</v>
      </c>
      <c r="D6" s="1196">
        <f t="shared" si="0"/>
        <v>0.3833333333333333</v>
      </c>
      <c r="E6" s="1197">
        <f t="shared" si="1"/>
        <v>0.3833333333333333</v>
      </c>
      <c r="F6" s="1198"/>
      <c r="G6" s="1192"/>
      <c r="H6" s="1192"/>
      <c r="I6" s="1192"/>
      <c r="J6" s="1192"/>
      <c r="M6" s="1199"/>
      <c r="N6" s="1192" t="s">
        <v>4896</v>
      </c>
      <c r="O6" s="1203" t="s">
        <v>701</v>
      </c>
      <c r="Q6" s="1201"/>
    </row>
    <row r="7" spans="1:18">
      <c r="A7" s="1194">
        <v>6</v>
      </c>
      <c r="B7" s="1195" t="s">
        <v>4897</v>
      </c>
      <c r="C7" s="1195" t="s">
        <v>4898</v>
      </c>
      <c r="D7" s="1196">
        <f t="shared" si="0"/>
        <v>0.41666666666666663</v>
      </c>
      <c r="E7" s="1197">
        <f t="shared" si="1"/>
        <v>0.41666666666666663</v>
      </c>
      <c r="F7" s="1198"/>
      <c r="G7" s="1192"/>
      <c r="H7" s="1192"/>
      <c r="I7" s="1192"/>
      <c r="J7" s="1192"/>
      <c r="M7" s="1192"/>
      <c r="N7" s="1192" t="s">
        <v>4899</v>
      </c>
      <c r="O7" s="32" t="s">
        <v>703</v>
      </c>
      <c r="Q7" s="1192"/>
    </row>
    <row r="8" spans="1:18">
      <c r="A8" s="1194">
        <v>7</v>
      </c>
      <c r="B8" s="1195" t="s">
        <v>4900</v>
      </c>
      <c r="C8" s="1195" t="s">
        <v>4901</v>
      </c>
      <c r="D8" s="1196">
        <f t="shared" si="0"/>
        <v>0.44999999999999996</v>
      </c>
      <c r="E8" s="1197">
        <f t="shared" si="1"/>
        <v>0.44999999999999996</v>
      </c>
      <c r="F8" s="1198"/>
      <c r="G8" s="1192"/>
      <c r="H8" s="1204">
        <f ca="1">NOW()</f>
        <v>45090.610315972219</v>
      </c>
      <c r="I8" s="1192"/>
      <c r="J8" s="1192"/>
      <c r="M8" s="1192"/>
      <c r="N8" s="1192"/>
      <c r="O8" s="1192"/>
      <c r="P8" s="1192"/>
    </row>
    <row r="9" spans="1:18">
      <c r="A9" s="1194">
        <v>8</v>
      </c>
      <c r="B9" s="1195" t="s">
        <v>4902</v>
      </c>
      <c r="C9" s="1195" t="s">
        <v>655</v>
      </c>
      <c r="D9" s="1196">
        <f t="shared" si="0"/>
        <v>0.48333333333333328</v>
      </c>
      <c r="E9" s="1197">
        <f t="shared" si="1"/>
        <v>0.48333333333333328</v>
      </c>
      <c r="F9" s="1198"/>
      <c r="G9" s="1192"/>
      <c r="H9" s="1192"/>
      <c r="I9" s="1192"/>
      <c r="J9" s="1192"/>
      <c r="O9" s="1200" t="s">
        <v>158</v>
      </c>
      <c r="P9" s="1200" t="s">
        <v>4120</v>
      </c>
      <c r="Q9" s="1192"/>
      <c r="R9" s="1192"/>
    </row>
    <row r="10" spans="1:18">
      <c r="A10" s="1194">
        <v>9</v>
      </c>
      <c r="B10" s="1195" t="s">
        <v>4903</v>
      </c>
      <c r="C10" s="1195" t="s">
        <v>641</v>
      </c>
      <c r="D10" s="1196">
        <f t="shared" si="0"/>
        <v>0.51666666666666661</v>
      </c>
      <c r="E10" s="1197">
        <f t="shared" si="1"/>
        <v>0.51666666666666661</v>
      </c>
      <c r="F10" s="1198"/>
      <c r="G10" s="1192"/>
      <c r="H10" s="1200"/>
      <c r="I10" s="1192" t="s">
        <v>4904</v>
      </c>
      <c r="J10" s="1192" t="s">
        <v>4905</v>
      </c>
      <c r="M10" s="1192">
        <f>P2</f>
        <v>4</v>
      </c>
      <c r="N10" s="1205">
        <f>I11</f>
        <v>0.25</v>
      </c>
      <c r="O10" s="1192" t="str">
        <f t="shared" ref="O10:O21" si="2">INDEX(RsTbl,M10)</f>
        <v>Cn</v>
      </c>
      <c r="P10" s="1192" t="str">
        <f t="shared" ref="P10:P21" si="3">INDEX(RsTbl,MOD(M10+7,12)+1)</f>
        <v>Pi</v>
      </c>
      <c r="Q10" s="1192"/>
      <c r="R10" s="1192"/>
    </row>
    <row r="11" spans="1:18">
      <c r="A11" s="1194">
        <v>10</v>
      </c>
      <c r="B11" s="1195" t="s">
        <v>4906</v>
      </c>
      <c r="C11" s="1195" t="s">
        <v>1709</v>
      </c>
      <c r="D11" s="1196">
        <f t="shared" si="0"/>
        <v>0.54999999999999993</v>
      </c>
      <c r="E11" s="1197">
        <f t="shared" si="1"/>
        <v>0.54999999999999993</v>
      </c>
      <c r="F11" s="1198">
        <v>10</v>
      </c>
      <c r="G11" s="1192"/>
      <c r="H11" s="1200" t="s">
        <v>4094</v>
      </c>
      <c r="I11" s="1206">
        <v>0.25</v>
      </c>
      <c r="J11" s="1192"/>
      <c r="M11" s="1192">
        <f t="shared" ref="M11:M21" si="4">MOD(M10+12-2,12)+1</f>
        <v>3</v>
      </c>
      <c r="N11" s="1205">
        <f t="shared" ref="N11:N21" si="5">N10+Hora</f>
        <v>0.29166666666666669</v>
      </c>
      <c r="O11" s="1192" t="str">
        <f t="shared" si="2"/>
        <v>Ge</v>
      </c>
      <c r="P11" s="1192" t="str">
        <f t="shared" si="3"/>
        <v>Aq</v>
      </c>
    </row>
    <row r="12" spans="1:18" ht="15.75">
      <c r="A12" s="1194">
        <v>11</v>
      </c>
      <c r="B12" s="1207" t="s">
        <v>4907</v>
      </c>
      <c r="C12" s="1195" t="s">
        <v>4269</v>
      </c>
      <c r="D12" s="1196">
        <f t="shared" si="0"/>
        <v>0.58333333333333326</v>
      </c>
      <c r="E12" s="1197">
        <f t="shared" si="1"/>
        <v>0.58333333333333326</v>
      </c>
      <c r="F12" s="1208">
        <v>11</v>
      </c>
      <c r="G12" s="1192"/>
      <c r="H12" s="1200" t="s">
        <v>4908</v>
      </c>
      <c r="I12" s="1206">
        <v>0.75</v>
      </c>
      <c r="J12" s="1192"/>
      <c r="M12" s="1192">
        <f t="shared" si="4"/>
        <v>2</v>
      </c>
      <c r="N12" s="1205">
        <f t="shared" si="5"/>
        <v>0.33333333333333337</v>
      </c>
      <c r="O12" s="1192" t="str">
        <f t="shared" si="2"/>
        <v>Ta</v>
      </c>
      <c r="P12" s="1192" t="str">
        <f t="shared" si="3"/>
        <v>Cp</v>
      </c>
    </row>
    <row r="13" spans="1:18">
      <c r="A13" s="1194">
        <v>12</v>
      </c>
      <c r="B13" s="1195" t="s">
        <v>4909</v>
      </c>
      <c r="C13" s="1195" t="s">
        <v>597</v>
      </c>
      <c r="D13" s="1196">
        <f t="shared" si="0"/>
        <v>0.61666666666666659</v>
      </c>
      <c r="E13" s="1197">
        <f t="shared" si="1"/>
        <v>0.61666666666666659</v>
      </c>
      <c r="F13" s="1198">
        <v>12</v>
      </c>
      <c r="G13" s="1192"/>
      <c r="H13" s="1192"/>
      <c r="I13" s="1192"/>
      <c r="J13" s="1192"/>
      <c r="M13" s="1192">
        <f t="shared" si="4"/>
        <v>1</v>
      </c>
      <c r="N13" s="1205">
        <f t="shared" si="5"/>
        <v>0.37500000000000006</v>
      </c>
      <c r="O13" s="1192" t="str">
        <f t="shared" si="2"/>
        <v>Ar</v>
      </c>
      <c r="P13" s="1192" t="str">
        <f t="shared" si="3"/>
        <v>Sg</v>
      </c>
    </row>
    <row r="14" spans="1:18">
      <c r="A14" s="1194">
        <v>13</v>
      </c>
      <c r="B14" s="1195" t="s">
        <v>4910</v>
      </c>
      <c r="C14" s="1195" t="s">
        <v>4911</v>
      </c>
      <c r="D14" s="1196">
        <f t="shared" si="0"/>
        <v>0.64999999999999991</v>
      </c>
      <c r="E14" s="1197">
        <f t="shared" si="1"/>
        <v>0.64999999999999991</v>
      </c>
      <c r="F14" s="1198"/>
      <c r="G14" s="1192"/>
      <c r="H14" s="1200" t="s">
        <v>4912</v>
      </c>
      <c r="I14" s="1205">
        <f>I12-I11</f>
        <v>0.5</v>
      </c>
      <c r="J14" s="1192" t="s">
        <v>126</v>
      </c>
      <c r="M14" s="1192">
        <f t="shared" si="4"/>
        <v>12</v>
      </c>
      <c r="N14" s="1205">
        <f t="shared" si="5"/>
        <v>0.41666666666666674</v>
      </c>
      <c r="O14" s="1192" t="str">
        <f t="shared" si="2"/>
        <v>Pi</v>
      </c>
      <c r="P14" s="1192" t="str">
        <f t="shared" si="3"/>
        <v>Sc</v>
      </c>
    </row>
    <row r="15" spans="1:18">
      <c r="A15" s="1194">
        <v>14</v>
      </c>
      <c r="B15" s="1195" t="s">
        <v>4913</v>
      </c>
      <c r="C15" s="1195" t="s">
        <v>4914</v>
      </c>
      <c r="D15" s="1196">
        <f t="shared" si="0"/>
        <v>0.68333333333333324</v>
      </c>
      <c r="E15" s="1197">
        <f t="shared" si="1"/>
        <v>0.68333333333333324</v>
      </c>
      <c r="F15" s="1198"/>
      <c r="G15" s="1192"/>
      <c r="H15" s="1200" t="s">
        <v>4915</v>
      </c>
      <c r="I15" s="1205">
        <f>1-I14</f>
        <v>0.5</v>
      </c>
      <c r="J15" s="1192" t="s">
        <v>126</v>
      </c>
      <c r="M15" s="1192">
        <f t="shared" si="4"/>
        <v>11</v>
      </c>
      <c r="N15" s="1205">
        <f t="shared" si="5"/>
        <v>0.45833333333333343</v>
      </c>
      <c r="O15" s="1192" t="str">
        <f t="shared" si="2"/>
        <v>Aq</v>
      </c>
      <c r="P15" s="1192" t="str">
        <f t="shared" si="3"/>
        <v>Li</v>
      </c>
    </row>
    <row r="16" spans="1:18">
      <c r="A16" s="1194">
        <v>15</v>
      </c>
      <c r="B16" s="1195" t="s">
        <v>4916</v>
      </c>
      <c r="C16" s="1195" t="s">
        <v>4917</v>
      </c>
      <c r="D16" s="1196">
        <f t="shared" si="0"/>
        <v>0.71666666666666656</v>
      </c>
      <c r="E16" s="1197">
        <f t="shared" si="1"/>
        <v>0.71666666666666656</v>
      </c>
      <c r="F16" s="1198">
        <v>15</v>
      </c>
      <c r="G16" s="1192"/>
      <c r="H16" s="1192" t="s">
        <v>4918</v>
      </c>
      <c r="I16" s="1205">
        <v>4.1666666666666699E-2</v>
      </c>
      <c r="J16" s="1192"/>
      <c r="M16" s="1192">
        <f t="shared" si="4"/>
        <v>10</v>
      </c>
      <c r="N16" s="1205">
        <f t="shared" si="5"/>
        <v>0.50000000000000011</v>
      </c>
      <c r="O16" s="1192" t="str">
        <f t="shared" si="2"/>
        <v>Cp</v>
      </c>
      <c r="P16" s="1192" t="str">
        <f t="shared" si="3"/>
        <v>Vi</v>
      </c>
    </row>
    <row r="17" spans="1:17">
      <c r="A17" s="1209">
        <v>1</v>
      </c>
      <c r="B17" s="1210" t="s">
        <v>4919</v>
      </c>
      <c r="C17" s="1210" t="s">
        <v>557</v>
      </c>
      <c r="D17" s="1211">
        <f t="shared" si="0"/>
        <v>0.74999999999999989</v>
      </c>
      <c r="E17" s="1212">
        <f>I12</f>
        <v>0.75</v>
      </c>
      <c r="F17" s="1213">
        <v>1</v>
      </c>
      <c r="G17" s="1192"/>
      <c r="H17" s="1192"/>
      <c r="I17" s="1192"/>
      <c r="J17" s="1192"/>
      <c r="M17" s="1192">
        <f t="shared" si="4"/>
        <v>9</v>
      </c>
      <c r="N17" s="1205">
        <f t="shared" si="5"/>
        <v>0.54166666666666685</v>
      </c>
      <c r="O17" s="1192" t="str">
        <f t="shared" si="2"/>
        <v>Sg</v>
      </c>
      <c r="P17" s="1203" t="str">
        <f t="shared" si="3"/>
        <v>Le</v>
      </c>
    </row>
    <row r="18" spans="1:17">
      <c r="A18" s="1209">
        <v>2</v>
      </c>
      <c r="B18" s="1210" t="s">
        <v>4920</v>
      </c>
      <c r="C18" s="1210" t="s">
        <v>4921</v>
      </c>
      <c r="D18" s="1211">
        <f t="shared" si="0"/>
        <v>0.78333333333333321</v>
      </c>
      <c r="E18" s="1212">
        <f>E17+$I$15/15</f>
        <v>0.78333333333333333</v>
      </c>
      <c r="F18" s="1213">
        <v>2</v>
      </c>
      <c r="G18" s="1192"/>
      <c r="H18" s="1192"/>
      <c r="I18" s="1192"/>
      <c r="J18" s="1192"/>
      <c r="M18" s="1192">
        <f t="shared" si="4"/>
        <v>8</v>
      </c>
      <c r="N18" s="1205">
        <f t="shared" si="5"/>
        <v>0.58333333333333359</v>
      </c>
      <c r="O18" s="1192" t="str">
        <f t="shared" si="2"/>
        <v>Sc</v>
      </c>
      <c r="P18" s="1192" t="str">
        <f t="shared" si="3"/>
        <v>Cn</v>
      </c>
    </row>
    <row r="19" spans="1:17">
      <c r="A19" s="1209">
        <v>3</v>
      </c>
      <c r="B19" s="1210" t="s">
        <v>4922</v>
      </c>
      <c r="C19" s="1210" t="s">
        <v>4923</v>
      </c>
      <c r="D19" s="1211">
        <f t="shared" si="0"/>
        <v>0.81666666666666654</v>
      </c>
      <c r="E19" s="1212">
        <f>E18+$I$15/15</f>
        <v>0.81666666666666665</v>
      </c>
      <c r="F19" s="1213"/>
      <c r="G19" s="1192"/>
      <c r="H19" s="1192"/>
      <c r="I19" s="1192"/>
      <c r="J19" s="1192"/>
      <c r="M19" s="1192">
        <f t="shared" si="4"/>
        <v>7</v>
      </c>
      <c r="N19" s="1205">
        <f t="shared" si="5"/>
        <v>0.62500000000000033</v>
      </c>
      <c r="O19" s="1192" t="str">
        <f t="shared" si="2"/>
        <v>Li</v>
      </c>
      <c r="P19" s="1192" t="str">
        <f t="shared" si="3"/>
        <v>Ge</v>
      </c>
    </row>
    <row r="20" spans="1:17">
      <c r="A20" s="1209">
        <v>4</v>
      </c>
      <c r="B20" s="1210" t="s">
        <v>4924</v>
      </c>
      <c r="C20" s="1210" t="s">
        <v>574</v>
      </c>
      <c r="D20" s="1211">
        <f t="shared" si="0"/>
        <v>0.84999999999999987</v>
      </c>
      <c r="E20" s="1212">
        <f>E19+$I$15/15</f>
        <v>0.85</v>
      </c>
      <c r="F20" s="1213"/>
      <c r="G20" s="1192"/>
      <c r="H20" s="1192"/>
      <c r="I20" s="1192"/>
      <c r="J20" s="1192"/>
      <c r="M20" s="1192">
        <f t="shared" si="4"/>
        <v>6</v>
      </c>
      <c r="N20" s="1214">
        <f t="shared" si="5"/>
        <v>0.66666666666666707</v>
      </c>
      <c r="O20" s="1192" t="str">
        <f t="shared" si="2"/>
        <v>Vi</v>
      </c>
      <c r="P20" s="1202" t="str">
        <f t="shared" si="3"/>
        <v>Ta</v>
      </c>
    </row>
    <row r="21" spans="1:17">
      <c r="A21" s="1209">
        <v>5</v>
      </c>
      <c r="B21" s="1210" t="s">
        <v>4925</v>
      </c>
      <c r="C21" s="1210" t="s">
        <v>4926</v>
      </c>
      <c r="D21" s="1211">
        <f t="shared" si="0"/>
        <v>0.88333333333333319</v>
      </c>
      <c r="E21" s="1212">
        <f>E20+$I$15/15</f>
        <v>0.8833333333333333</v>
      </c>
      <c r="F21" s="1213"/>
      <c r="G21" s="1192"/>
      <c r="H21" s="1192"/>
      <c r="I21" s="1192"/>
      <c r="J21" s="1192"/>
      <c r="M21" s="1192">
        <f t="shared" si="4"/>
        <v>5</v>
      </c>
      <c r="N21" s="1205">
        <f t="shared" si="5"/>
        <v>0.70833333333333381</v>
      </c>
      <c r="O21" s="1192" t="str">
        <f t="shared" si="2"/>
        <v>Le</v>
      </c>
      <c r="P21" s="1192" t="str">
        <f t="shared" si="3"/>
        <v>Ar</v>
      </c>
    </row>
    <row r="22" spans="1:17">
      <c r="A22" s="1209">
        <v>6</v>
      </c>
      <c r="B22" s="1210" t="s">
        <v>4927</v>
      </c>
      <c r="C22" s="1210" t="s">
        <v>639</v>
      </c>
      <c r="D22" s="1211">
        <f t="shared" si="0"/>
        <v>0.91666666666666652</v>
      </c>
      <c r="E22" s="1212">
        <f>E21+$I$15/15</f>
        <v>0.91666666666666663</v>
      </c>
      <c r="F22" s="1213">
        <v>6</v>
      </c>
      <c r="G22" s="1192"/>
      <c r="H22" s="1192"/>
      <c r="I22" s="1192"/>
      <c r="J22" s="1192"/>
      <c r="M22" s="1192"/>
      <c r="N22" s="1205" t="s">
        <v>4928</v>
      </c>
      <c r="O22" s="1200" t="s">
        <v>159</v>
      </c>
      <c r="P22" s="32" t="s">
        <v>4120</v>
      </c>
      <c r="Q22" t="s">
        <v>4115</v>
      </c>
    </row>
    <row r="23" spans="1:17">
      <c r="A23" s="1209">
        <v>7</v>
      </c>
      <c r="B23" s="1210" t="s">
        <v>4929</v>
      </c>
      <c r="C23" s="1210" t="s">
        <v>640</v>
      </c>
      <c r="D23" s="1211">
        <f t="shared" si="0"/>
        <v>0.94999999999999984</v>
      </c>
      <c r="E23" s="1212">
        <f>MOD(E22+$I$15/15,24)</f>
        <v>0.95</v>
      </c>
      <c r="F23" s="1213">
        <v>7</v>
      </c>
      <c r="G23" s="1192"/>
      <c r="H23" s="1192"/>
      <c r="I23" s="1192"/>
      <c r="J23" s="1192"/>
      <c r="M23" s="1192">
        <f>P3</f>
        <v>2</v>
      </c>
      <c r="N23" s="1205">
        <f>I12</f>
        <v>0.75</v>
      </c>
      <c r="O23" s="1192" t="str">
        <f t="shared" ref="O23:O34" si="6">INDEX(RsTbl,M23)</f>
        <v>Ta</v>
      </c>
      <c r="P23" s="1192" t="str">
        <f t="shared" ref="P23:P34" si="7">INDEX(RsTbl,MOD(M23+7,12)+1)</f>
        <v>Cp</v>
      </c>
      <c r="Q23" s="1192" t="str">
        <f t="shared" ref="Q23:Q34" si="8">INDEX(RsTbl,MOD(M23+12+2,12)+1)</f>
        <v>Le</v>
      </c>
    </row>
    <row r="24" spans="1:17">
      <c r="A24" s="1209">
        <v>8</v>
      </c>
      <c r="B24" s="1210" t="s">
        <v>4930</v>
      </c>
      <c r="C24" s="1210" t="s">
        <v>641</v>
      </c>
      <c r="D24" s="1211">
        <f t="shared" si="0"/>
        <v>0.98333333333333317</v>
      </c>
      <c r="E24" s="1212">
        <f t="shared" ref="E24:E32" si="9">E23+$I$15/15</f>
        <v>0.98333333333333328</v>
      </c>
      <c r="F24" s="1213"/>
      <c r="G24" s="1192"/>
      <c r="H24" s="1192"/>
      <c r="I24" s="1192"/>
      <c r="J24" s="1192"/>
      <c r="M24" s="1192">
        <f t="shared" ref="M24:M34" si="10">MOD(M23+12,12)+1</f>
        <v>3</v>
      </c>
      <c r="N24" s="1205">
        <f t="shared" ref="N24:N34" si="11">N23+Hora</f>
        <v>0.79166666666666674</v>
      </c>
      <c r="O24" s="1192" t="str">
        <f t="shared" si="6"/>
        <v>Ge</v>
      </c>
      <c r="P24" s="1192" t="str">
        <f t="shared" si="7"/>
        <v>Aq</v>
      </c>
      <c r="Q24" s="1192" t="str">
        <f t="shared" si="8"/>
        <v>Vi</v>
      </c>
    </row>
    <row r="25" spans="1:17">
      <c r="A25" s="1209">
        <v>9</v>
      </c>
      <c r="B25" s="1210" t="s">
        <v>4931</v>
      </c>
      <c r="C25" s="1210" t="s">
        <v>4932</v>
      </c>
      <c r="D25" s="1211">
        <f t="shared" si="0"/>
        <v>1.0166666666666664</v>
      </c>
      <c r="E25" s="1212">
        <f t="shared" si="9"/>
        <v>1.0166666666666666</v>
      </c>
      <c r="F25" s="1213"/>
      <c r="G25" s="1192"/>
      <c r="H25" s="1192"/>
      <c r="I25" s="1192"/>
      <c r="J25" s="1192"/>
      <c r="M25" s="1192">
        <f t="shared" si="10"/>
        <v>4</v>
      </c>
      <c r="N25" s="1205">
        <f t="shared" si="11"/>
        <v>0.83333333333333348</v>
      </c>
      <c r="O25" s="1192" t="str">
        <f t="shared" si="6"/>
        <v>Cn</v>
      </c>
      <c r="P25" s="1192" t="str">
        <f t="shared" si="7"/>
        <v>Pi</v>
      </c>
      <c r="Q25" s="1192" t="str">
        <f t="shared" si="8"/>
        <v>Li</v>
      </c>
    </row>
    <row r="26" spans="1:17">
      <c r="A26" s="1209">
        <v>10</v>
      </c>
      <c r="B26" s="1210" t="s">
        <v>4933</v>
      </c>
      <c r="C26" s="1210" t="s">
        <v>643</v>
      </c>
      <c r="D26" s="1211">
        <f t="shared" si="0"/>
        <v>1.0499999999999996</v>
      </c>
      <c r="E26" s="1212">
        <f t="shared" si="9"/>
        <v>1.05</v>
      </c>
      <c r="F26" s="1213"/>
      <c r="G26" s="1192"/>
      <c r="H26" s="1192"/>
      <c r="I26" s="1192"/>
      <c r="J26" s="1192"/>
      <c r="M26" s="1192">
        <f t="shared" si="10"/>
        <v>5</v>
      </c>
      <c r="N26" s="1205">
        <f t="shared" si="11"/>
        <v>0.87500000000000022</v>
      </c>
      <c r="O26" s="1192" t="str">
        <f t="shared" si="6"/>
        <v>Le</v>
      </c>
      <c r="P26" s="1192" t="str">
        <f t="shared" si="7"/>
        <v>Ar</v>
      </c>
      <c r="Q26" s="1192" t="str">
        <f t="shared" si="8"/>
        <v>Sc</v>
      </c>
    </row>
    <row r="27" spans="1:17">
      <c r="A27" s="1209">
        <v>11</v>
      </c>
      <c r="B27" s="1210" t="s">
        <v>4934</v>
      </c>
      <c r="C27" s="1210" t="s">
        <v>566</v>
      </c>
      <c r="D27" s="1211">
        <f t="shared" si="0"/>
        <v>1.0833333333333328</v>
      </c>
      <c r="E27" s="1212">
        <f t="shared" si="9"/>
        <v>1.0833333333333335</v>
      </c>
      <c r="F27" s="1213"/>
      <c r="G27" s="1192"/>
      <c r="H27" s="1192"/>
      <c r="I27" s="1192"/>
      <c r="J27" s="1192"/>
      <c r="M27" s="1192">
        <f t="shared" si="10"/>
        <v>6</v>
      </c>
      <c r="N27" s="1205">
        <f t="shared" si="11"/>
        <v>0.91666666666666696</v>
      </c>
      <c r="O27" s="1192" t="str">
        <f t="shared" si="6"/>
        <v>Vi</v>
      </c>
      <c r="P27" s="1202" t="str">
        <f t="shared" si="7"/>
        <v>Ta</v>
      </c>
      <c r="Q27" s="1192" t="str">
        <f t="shared" si="8"/>
        <v>Sg</v>
      </c>
    </row>
    <row r="28" spans="1:17">
      <c r="A28" s="1209">
        <v>12</v>
      </c>
      <c r="B28" s="1210" t="s">
        <v>2017</v>
      </c>
      <c r="C28" s="1210" t="s">
        <v>2771</v>
      </c>
      <c r="D28" s="1211">
        <f t="shared" si="0"/>
        <v>1.116666666666666</v>
      </c>
      <c r="E28" s="1212">
        <f t="shared" si="9"/>
        <v>1.1166666666666669</v>
      </c>
      <c r="F28" s="1213"/>
      <c r="G28" s="1192"/>
      <c r="H28" s="1192"/>
      <c r="I28" s="1192"/>
      <c r="J28" s="1192"/>
      <c r="M28" s="1192">
        <f t="shared" si="10"/>
        <v>7</v>
      </c>
      <c r="N28" s="1205">
        <f t="shared" si="11"/>
        <v>0.9583333333333337</v>
      </c>
      <c r="O28" s="1192" t="str">
        <f t="shared" si="6"/>
        <v>Li</v>
      </c>
      <c r="P28" s="1192" t="str">
        <f t="shared" si="7"/>
        <v>Ge</v>
      </c>
      <c r="Q28" s="1192" t="str">
        <f t="shared" si="8"/>
        <v>Cp</v>
      </c>
    </row>
    <row r="29" spans="1:17">
      <c r="A29" s="1209">
        <v>13</v>
      </c>
      <c r="B29" s="1210" t="s">
        <v>4935</v>
      </c>
      <c r="C29" s="1210" t="s">
        <v>648</v>
      </c>
      <c r="D29" s="1211">
        <f t="shared" si="0"/>
        <v>1.1499999999999992</v>
      </c>
      <c r="E29" s="1212">
        <f t="shared" si="9"/>
        <v>1.1500000000000004</v>
      </c>
      <c r="F29" s="1213"/>
      <c r="G29" s="1192"/>
      <c r="H29" s="1192"/>
      <c r="I29" s="1192"/>
      <c r="J29" s="1192"/>
      <c r="M29" s="1192">
        <f t="shared" si="10"/>
        <v>8</v>
      </c>
      <c r="N29" s="1205">
        <f t="shared" si="11"/>
        <v>1.0000000000000004</v>
      </c>
      <c r="O29" s="1192" t="str">
        <f t="shared" si="6"/>
        <v>Sc</v>
      </c>
      <c r="P29" s="1192" t="str">
        <f t="shared" si="7"/>
        <v>Cn</v>
      </c>
      <c r="Q29" s="1192" t="str">
        <f t="shared" si="8"/>
        <v>Aq</v>
      </c>
    </row>
    <row r="30" spans="1:17">
      <c r="A30" s="1209">
        <v>14</v>
      </c>
      <c r="B30" s="1210" t="s">
        <v>4936</v>
      </c>
      <c r="C30" s="1210" t="s">
        <v>649</v>
      </c>
      <c r="D30" s="1211">
        <f t="shared" si="0"/>
        <v>1.1833333333333325</v>
      </c>
      <c r="E30" s="1212">
        <f t="shared" si="9"/>
        <v>1.1833333333333338</v>
      </c>
      <c r="F30" s="1213"/>
      <c r="G30" s="1192"/>
      <c r="H30" s="1192"/>
      <c r="I30" s="1192"/>
      <c r="J30" s="1192"/>
      <c r="M30" s="1192">
        <f t="shared" si="10"/>
        <v>9</v>
      </c>
      <c r="N30" s="1205">
        <f t="shared" si="11"/>
        <v>1.0416666666666672</v>
      </c>
      <c r="O30" s="1192" t="str">
        <f t="shared" si="6"/>
        <v>Sg</v>
      </c>
      <c r="P30" s="1203" t="str">
        <f t="shared" si="7"/>
        <v>Le</v>
      </c>
      <c r="Q30" s="1192" t="str">
        <f t="shared" si="8"/>
        <v>Pi</v>
      </c>
    </row>
    <row r="31" spans="1:17">
      <c r="A31" s="1209">
        <v>15</v>
      </c>
      <c r="B31" s="1210" t="s">
        <v>4937</v>
      </c>
      <c r="C31" s="1210" t="s">
        <v>4938</v>
      </c>
      <c r="D31" s="1211">
        <f t="shared" si="0"/>
        <v>1.2166666666666657</v>
      </c>
      <c r="E31" s="1212">
        <f t="shared" si="9"/>
        <v>1.2166666666666672</v>
      </c>
      <c r="F31" s="1213"/>
      <c r="G31" s="1192"/>
      <c r="H31" s="1192"/>
      <c r="I31" s="1192"/>
      <c r="J31" s="1192"/>
      <c r="M31" s="1192">
        <f t="shared" si="10"/>
        <v>10</v>
      </c>
      <c r="N31" s="1205">
        <f t="shared" si="11"/>
        <v>1.0833333333333339</v>
      </c>
      <c r="O31" s="1192" t="str">
        <f t="shared" si="6"/>
        <v>Cp</v>
      </c>
      <c r="P31" s="1192" t="str">
        <f t="shared" si="7"/>
        <v>Vi</v>
      </c>
      <c r="Q31" s="1192" t="str">
        <f t="shared" si="8"/>
        <v>Ar</v>
      </c>
    </row>
    <row r="32" spans="1:17">
      <c r="A32" s="1195">
        <v>1</v>
      </c>
      <c r="B32" s="1195" t="s">
        <v>2061</v>
      </c>
      <c r="C32" s="1195" t="s">
        <v>557</v>
      </c>
      <c r="D32" s="1196">
        <f t="shared" si="0"/>
        <v>1.2499999999999989</v>
      </c>
      <c r="E32" s="1197">
        <f t="shared" si="9"/>
        <v>1.2500000000000007</v>
      </c>
      <c r="F32" s="1198"/>
      <c r="G32" s="1192"/>
      <c r="H32" s="1192"/>
      <c r="I32" s="1192"/>
      <c r="J32" s="1192"/>
      <c r="M32" s="1192">
        <f t="shared" si="10"/>
        <v>11</v>
      </c>
      <c r="N32" s="1205">
        <f t="shared" si="11"/>
        <v>1.1250000000000007</v>
      </c>
      <c r="O32" s="1192" t="str">
        <f t="shared" si="6"/>
        <v>Aq</v>
      </c>
      <c r="P32" s="1192" t="str">
        <f t="shared" si="7"/>
        <v>Li</v>
      </c>
      <c r="Q32" s="1192" t="str">
        <f t="shared" si="8"/>
        <v>Ta</v>
      </c>
    </row>
    <row r="33" spans="1:17">
      <c r="A33" s="1199"/>
      <c r="B33" s="1199"/>
      <c r="C33" s="1199"/>
      <c r="D33" s="1215"/>
      <c r="E33" s="1201"/>
      <c r="F33" s="1193"/>
      <c r="G33" s="1192"/>
      <c r="H33" s="1192"/>
      <c r="I33" s="1192"/>
      <c r="J33" s="1192"/>
      <c r="M33" s="1192">
        <f t="shared" si="10"/>
        <v>12</v>
      </c>
      <c r="N33" s="1205">
        <f t="shared" si="11"/>
        <v>1.1666666666666674</v>
      </c>
      <c r="O33" s="1192" t="str">
        <f t="shared" si="6"/>
        <v>Pi</v>
      </c>
      <c r="P33" s="1192" t="str">
        <f t="shared" si="7"/>
        <v>Sc</v>
      </c>
      <c r="Q33" s="1192" t="str">
        <f t="shared" si="8"/>
        <v>Ge</v>
      </c>
    </row>
    <row r="34" spans="1:17">
      <c r="B34" t="s">
        <v>4939</v>
      </c>
      <c r="G34" s="1192"/>
      <c r="H34" s="1192"/>
      <c r="I34" s="1192"/>
      <c r="J34" s="1192"/>
      <c r="M34" s="1192">
        <f t="shared" si="10"/>
        <v>1</v>
      </c>
      <c r="N34" s="1205">
        <f t="shared" si="11"/>
        <v>1.2083333333333341</v>
      </c>
      <c r="O34" s="1192" t="str">
        <f t="shared" si="6"/>
        <v>Ar</v>
      </c>
      <c r="P34" s="1192" t="str">
        <f t="shared" si="7"/>
        <v>Sg</v>
      </c>
      <c r="Q34" s="1192" t="str">
        <f t="shared" si="8"/>
        <v>Cn</v>
      </c>
    </row>
    <row r="35" spans="1:17">
      <c r="G35" s="1192"/>
      <c r="H35" s="1192"/>
      <c r="I35" s="1192"/>
      <c r="J35" s="1192"/>
    </row>
    <row r="36" spans="1:17">
      <c r="G36" s="1192"/>
      <c r="H36" s="1192"/>
      <c r="I36" s="1192"/>
      <c r="J36" s="1192"/>
    </row>
    <row r="37" spans="1:17">
      <c r="G37" s="1192"/>
      <c r="H37" s="1192"/>
      <c r="I37" s="1192"/>
      <c r="J37" s="1192"/>
    </row>
    <row r="38" spans="1:17">
      <c r="G38" s="1192"/>
      <c r="H38" s="1192"/>
      <c r="I38" s="1192"/>
      <c r="J38" s="1192"/>
    </row>
    <row r="39" spans="1:17">
      <c r="G39" s="1192"/>
      <c r="H39" s="1192"/>
      <c r="I39" s="1192"/>
      <c r="J39" s="1192"/>
    </row>
    <row r="40" spans="1:17">
      <c r="G40" s="1192"/>
      <c r="H40" s="1192"/>
      <c r="I40" s="1192"/>
      <c r="J40" s="1192"/>
    </row>
    <row r="41" spans="1:17">
      <c r="G41" s="1192"/>
      <c r="I41" s="1192"/>
      <c r="J41" s="1192"/>
    </row>
    <row r="42" spans="1:17">
      <c r="G42" s="1192"/>
      <c r="H42" s="1192"/>
      <c r="I42" s="1192"/>
      <c r="J42" s="1192"/>
    </row>
    <row r="43" spans="1:17">
      <c r="G43" s="1192"/>
      <c r="H43" s="1192"/>
      <c r="I43" s="1192"/>
      <c r="J43" s="1192"/>
    </row>
    <row r="44" spans="1:17">
      <c r="H44" s="1192"/>
      <c r="I44" s="1192"/>
      <c r="J44" s="1192"/>
    </row>
    <row r="45" spans="1:17">
      <c r="H45" s="1192"/>
      <c r="I45" s="1192"/>
      <c r="J45" s="1192"/>
    </row>
  </sheetData>
  <mergeCells count="1">
    <mergeCell ref="M1:Q1"/>
  </mergeCells>
  <pageMargins left="0.74791666666666701" right="0.74791666666666701" top="0.98402777777777795" bottom="0.98402777777777795" header="0.511811023622047" footer="0.511811023622047"/>
  <pageSetup paperSize="9" orientation="portrait" horizontalDpi="300" verticalDpi="300"/>
  <legacy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22"/>
  <sheetViews>
    <sheetView topLeftCell="A4" zoomScaleNormal="100" workbookViewId="0">
      <selection activeCell="K17" sqref="K17"/>
    </sheetView>
  </sheetViews>
  <sheetFormatPr defaultColWidth="9.140625" defaultRowHeight="15"/>
  <cols>
    <col min="1" max="1" width="16.7109375" style="1216" customWidth="1"/>
    <col min="2" max="2" width="13.85546875" style="1216" customWidth="1"/>
    <col min="3" max="3" width="24.42578125" style="1216" customWidth="1"/>
    <col min="4" max="4" width="24" style="1216" customWidth="1"/>
    <col min="5" max="5" width="24.140625" style="1216" customWidth="1"/>
    <col min="6" max="6" width="13.85546875" style="1216" customWidth="1"/>
    <col min="7" max="10" width="12.5703125" style="1216" customWidth="1"/>
    <col min="11" max="1024" width="9.140625" style="1216"/>
  </cols>
  <sheetData>
    <row r="1" spans="1:11">
      <c r="B1" s="1217">
        <v>365.25636300399998</v>
      </c>
      <c r="C1" s="1218">
        <v>365.25636300399998</v>
      </c>
      <c r="D1" s="1216">
        <v>365.24218999999999</v>
      </c>
      <c r="E1" s="1216" t="s">
        <v>4940</v>
      </c>
      <c r="F1" s="1217">
        <f>365+G1</f>
        <v>365.25868055555554</v>
      </c>
      <c r="G1" s="1219">
        <v>0.25868055555555503</v>
      </c>
    </row>
    <row r="2" spans="1:11">
      <c r="A2" s="1220" t="s">
        <v>4941</v>
      </c>
      <c r="B2" s="1220" t="s">
        <v>4060</v>
      </c>
      <c r="C2" s="1220" t="s">
        <v>4942</v>
      </c>
      <c r="D2" s="1220" t="s">
        <v>4943</v>
      </c>
      <c r="E2" s="1220" t="s">
        <v>4944</v>
      </c>
    </row>
    <row r="3" spans="1:11">
      <c r="A3" s="1221" t="s">
        <v>4945</v>
      </c>
      <c r="B3" s="1221" t="s">
        <v>896</v>
      </c>
      <c r="C3" s="1222">
        <v>36629.7178935185</v>
      </c>
      <c r="D3" s="1222">
        <f t="shared" ref="D3:E11" si="0">(D$2-$C$2)*$C$1+$C3</f>
        <v>41743.306975574502</v>
      </c>
      <c r="E3" s="1222">
        <f t="shared" si="0"/>
        <v>41378.0506125705</v>
      </c>
    </row>
    <row r="4" spans="1:11">
      <c r="A4" s="1221" t="s">
        <v>4946</v>
      </c>
      <c r="B4" s="1221" t="s">
        <v>908</v>
      </c>
      <c r="C4" s="1222">
        <v>36660.587546296301</v>
      </c>
      <c r="D4" s="1222">
        <f t="shared" si="0"/>
        <v>41774.176628352303</v>
      </c>
      <c r="E4" s="1222">
        <f t="shared" si="0"/>
        <v>41408.920265348301</v>
      </c>
    </row>
    <row r="5" spans="1:11">
      <c r="A5" s="1221" t="s">
        <v>4947</v>
      </c>
      <c r="B5" s="1221" t="s">
        <v>920</v>
      </c>
      <c r="C5" s="1222">
        <v>36691.863263888903</v>
      </c>
      <c r="D5" s="1222">
        <f t="shared" si="0"/>
        <v>41805.452345944905</v>
      </c>
      <c r="E5" s="1222">
        <f t="shared" si="0"/>
        <v>41440.195982940902</v>
      </c>
    </row>
    <row r="6" spans="1:11">
      <c r="A6" s="1221" t="s">
        <v>4948</v>
      </c>
      <c r="B6" s="1221" t="s">
        <v>557</v>
      </c>
      <c r="C6" s="1222">
        <v>36698.849513888897</v>
      </c>
      <c r="D6" s="1222">
        <f t="shared" si="0"/>
        <v>41812.438595944899</v>
      </c>
      <c r="E6" s="1222">
        <f t="shared" si="0"/>
        <v>41447.182232940897</v>
      </c>
    </row>
    <row r="7" spans="1:11">
      <c r="A7" s="1221" t="s">
        <v>4949</v>
      </c>
      <c r="B7" s="1221" t="s">
        <v>931</v>
      </c>
      <c r="C7" s="1222">
        <v>36723.317696759303</v>
      </c>
      <c r="D7" s="1222">
        <f t="shared" si="0"/>
        <v>41836.906778815304</v>
      </c>
      <c r="E7" s="1222">
        <f t="shared" si="0"/>
        <v>41471.650415811302</v>
      </c>
    </row>
    <row r="8" spans="1:11">
      <c r="A8" s="1221" t="s">
        <v>4950</v>
      </c>
      <c r="B8" s="1221" t="s">
        <v>943</v>
      </c>
      <c r="C8" s="1222">
        <v>36754.669502314799</v>
      </c>
      <c r="D8" s="1222">
        <f t="shared" si="0"/>
        <v>41868.2585843708</v>
      </c>
      <c r="E8" s="1222">
        <f t="shared" si="0"/>
        <v>41503.002221366798</v>
      </c>
    </row>
    <row r="9" spans="1:11">
      <c r="A9" s="1221" t="s">
        <v>4951</v>
      </c>
      <c r="B9" s="1221" t="s">
        <v>961</v>
      </c>
      <c r="C9" s="1222">
        <v>36816.166099536997</v>
      </c>
      <c r="D9" s="1222">
        <f t="shared" si="0"/>
        <v>41929.755181592998</v>
      </c>
      <c r="E9" s="1222">
        <f t="shared" si="0"/>
        <v>41564.498818588996</v>
      </c>
    </row>
    <row r="10" spans="1:11">
      <c r="A10" s="1221" t="s">
        <v>4952</v>
      </c>
      <c r="B10" s="1221" t="s">
        <v>4039</v>
      </c>
      <c r="C10" s="1222">
        <v>36875.765416666698</v>
      </c>
      <c r="D10" s="1222">
        <f t="shared" si="0"/>
        <v>41989.3544987227</v>
      </c>
      <c r="E10" s="1222">
        <f t="shared" si="0"/>
        <v>41624.098135718697</v>
      </c>
    </row>
    <row r="11" spans="1:11">
      <c r="A11" s="1221" t="s">
        <v>4953</v>
      </c>
      <c r="B11" s="1221" t="s">
        <v>987</v>
      </c>
      <c r="C11" s="1222">
        <v>36905.212025462999</v>
      </c>
      <c r="D11" s="1222">
        <f t="shared" si="0"/>
        <v>42018.801107519001</v>
      </c>
      <c r="E11" s="1222">
        <f t="shared" si="0"/>
        <v>41653.544744514998</v>
      </c>
      <c r="F11" s="1223"/>
      <c r="G11" s="1341" t="s">
        <v>4954</v>
      </c>
      <c r="H11" s="1341"/>
      <c r="I11" s="1341" t="s">
        <v>4955</v>
      </c>
      <c r="J11" s="1341"/>
    </row>
    <row r="12" spans="1:11" ht="42" customHeight="1">
      <c r="F12" s="1223"/>
      <c r="G12" s="1224" t="s">
        <v>4956</v>
      </c>
      <c r="H12" s="1225" t="s">
        <v>4957</v>
      </c>
      <c r="I12" s="1225" t="s">
        <v>4958</v>
      </c>
      <c r="J12" s="1226" t="s">
        <v>4959</v>
      </c>
    </row>
    <row r="13" spans="1:11" ht="42" customHeight="1">
      <c r="C13" s="1216">
        <v>1900</v>
      </c>
      <c r="F13" s="1341" t="s">
        <v>4960</v>
      </c>
      <c r="G13" s="1227" t="s">
        <v>4961</v>
      </c>
      <c r="H13" s="1401" t="s">
        <v>4962</v>
      </c>
      <c r="I13" s="1401"/>
      <c r="J13" s="1228" t="s">
        <v>4963</v>
      </c>
      <c r="K13" s="1341" t="s">
        <v>4964</v>
      </c>
    </row>
    <row r="14" spans="1:11" ht="42" customHeight="1">
      <c r="C14" s="1229">
        <v>104.076990740741</v>
      </c>
      <c r="D14" s="1216">
        <f t="shared" ref="D14:D22" si="1">(C3-C14)/100</f>
        <v>365.25640902777764</v>
      </c>
      <c r="F14" s="1341"/>
      <c r="G14" s="1227" t="s">
        <v>4965</v>
      </c>
      <c r="H14" s="1401"/>
      <c r="I14" s="1401"/>
      <c r="J14" s="1228" t="s">
        <v>4966</v>
      </c>
      <c r="K14" s="1341"/>
    </row>
    <row r="15" spans="1:11" ht="42" customHeight="1">
      <c r="C15" s="1229">
        <v>134.95391203703699</v>
      </c>
      <c r="D15" s="1216">
        <f t="shared" si="1"/>
        <v>365.25633634259265</v>
      </c>
      <c r="F15" s="1223"/>
      <c r="G15" s="1230" t="s">
        <v>4967</v>
      </c>
      <c r="H15" s="1231" t="s">
        <v>974</v>
      </c>
      <c r="I15" s="1231" t="s">
        <v>4968</v>
      </c>
      <c r="J15" s="1232" t="s">
        <v>955</v>
      </c>
    </row>
    <row r="16" spans="1:11">
      <c r="C16" s="1229">
        <v>166.23614583333301</v>
      </c>
      <c r="D16" s="1216">
        <f t="shared" si="1"/>
        <v>365.2562711805557</v>
      </c>
      <c r="F16" s="1223"/>
      <c r="G16" s="1341" t="s">
        <v>4969</v>
      </c>
      <c r="H16" s="1341"/>
      <c r="I16" s="1341" t="s">
        <v>4970</v>
      </c>
      <c r="J16" s="1341"/>
    </row>
    <row r="17" spans="3:11">
      <c r="C17" s="1229">
        <v>173.222592592593</v>
      </c>
      <c r="D17" s="1216">
        <f t="shared" si="1"/>
        <v>365.25626921296299</v>
      </c>
      <c r="K17" s="1223"/>
    </row>
    <row r="18" spans="3:11">
      <c r="C18" s="1229">
        <v>197.694652777778</v>
      </c>
      <c r="D18" s="1216">
        <f t="shared" si="1"/>
        <v>365.25623043981528</v>
      </c>
      <c r="K18" s="1223"/>
    </row>
    <row r="19" spans="3:11">
      <c r="C19" s="1229">
        <v>229.04651620370399</v>
      </c>
      <c r="D19" s="1216">
        <f t="shared" si="1"/>
        <v>365.25622986111091</v>
      </c>
    </row>
    <row r="20" spans="3:11">
      <c r="C20" s="1229">
        <v>290.53219907407401</v>
      </c>
      <c r="D20" s="1216">
        <f t="shared" si="1"/>
        <v>365.25633900462924</v>
      </c>
    </row>
    <row r="21" spans="3:11">
      <c r="C21" s="1229">
        <v>350.11737268518499</v>
      </c>
      <c r="D21" s="1216">
        <f t="shared" si="1"/>
        <v>365.25648043981511</v>
      </c>
      <c r="K21" s="1223"/>
    </row>
    <row r="22" spans="3:11">
      <c r="C22" s="1229">
        <v>379.55939814814798</v>
      </c>
      <c r="D22" s="1216">
        <f t="shared" si="1"/>
        <v>365.25652627314849</v>
      </c>
      <c r="K22" s="1223"/>
    </row>
  </sheetData>
  <mergeCells count="7">
    <mergeCell ref="G16:H16"/>
    <mergeCell ref="I16:J16"/>
    <mergeCell ref="G11:H11"/>
    <mergeCell ref="I11:J11"/>
    <mergeCell ref="F13:F14"/>
    <mergeCell ref="H13:I14"/>
    <mergeCell ref="K13:K14"/>
  </mergeCells>
  <pageMargins left="0.7" right="0.7" top="0.75" bottom="0.75" header="0.511811023622047" footer="0.511811023622047"/>
  <pageSetup paperSize="9" orientation="portrait" horizontalDpi="300" verticalDpi="300"/>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78"/>
  <sheetViews>
    <sheetView topLeftCell="A13" zoomScaleNormal="100" workbookViewId="0">
      <selection activeCell="K47" sqref="K47"/>
    </sheetView>
  </sheetViews>
  <sheetFormatPr defaultColWidth="7.140625" defaultRowHeight="15"/>
  <cols>
    <col min="1" max="1" width="15.140625" customWidth="1"/>
    <col min="2" max="2" width="25" customWidth="1"/>
    <col min="3" max="3" width="3.140625" customWidth="1"/>
    <col min="4" max="4" width="13" customWidth="1"/>
    <col min="5" max="5" width="10.5703125" customWidth="1"/>
  </cols>
  <sheetData>
    <row r="1" spans="1:6">
      <c r="A1" t="s">
        <v>4971</v>
      </c>
      <c r="B1" s="1233">
        <f>DoB</f>
        <v>26133.384143518517</v>
      </c>
    </row>
    <row r="2" spans="1:6">
      <c r="B2" s="1233"/>
      <c r="D2" t="s">
        <v>4972</v>
      </c>
      <c r="E2" t="s">
        <v>4973</v>
      </c>
      <c r="F2" t="s">
        <v>4974</v>
      </c>
    </row>
    <row r="3" spans="1:6">
      <c r="A3" t="s">
        <v>4975</v>
      </c>
      <c r="B3" s="1234">
        <f ca="1">NOW()+(D3*365.2425)+E3*30+F3</f>
        <v>45090.610315972219</v>
      </c>
      <c r="C3" s="1235"/>
      <c r="D3" s="1236"/>
      <c r="E3" s="1236"/>
      <c r="F3" s="1236"/>
    </row>
    <row r="4" spans="1:6">
      <c r="A4" t="s">
        <v>4976</v>
      </c>
      <c r="B4" s="30">
        <f ca="1">(B3-B1)/365.2425</f>
        <v>51.903122370626917</v>
      </c>
    </row>
    <row r="5" spans="1:6">
      <c r="B5" s="30"/>
    </row>
    <row r="6" spans="1:6">
      <c r="A6" s="50" t="s">
        <v>4977</v>
      </c>
      <c r="B6" s="1237" t="s">
        <v>876</v>
      </c>
      <c r="C6" s="50" t="s">
        <v>4978</v>
      </c>
      <c r="D6" s="50" t="s">
        <v>876</v>
      </c>
      <c r="E6" s="50" t="s">
        <v>4979</v>
      </c>
    </row>
    <row r="7" spans="1:6">
      <c r="A7" t="s">
        <v>4980</v>
      </c>
      <c r="B7" s="30">
        <f>SunDeg</f>
        <v>92.399202777777774</v>
      </c>
      <c r="C7" t="str">
        <f t="shared" ref="C7:C16" si="0">INDEX(RsInfo,INT(B7/30)+2,1)</f>
        <v>Cn</v>
      </c>
      <c r="D7" s="1238">
        <f t="shared" ref="D7:D16" si="1">MOD(B7,30)</f>
        <v>2.3992027777777736</v>
      </c>
      <c r="E7" s="59">
        <f t="shared" ref="E7:E16" si="2">MOD(D7*60,60)</f>
        <v>23.952166666666415</v>
      </c>
    </row>
    <row r="8" spans="1:6">
      <c r="A8" t="s">
        <v>4981</v>
      </c>
      <c r="B8" s="30">
        <f ca="1">MOD(Age*360+SunDeg,360)</f>
        <v>57.523256203468918</v>
      </c>
      <c r="C8" t="str">
        <f t="shared" ca="1" si="0"/>
        <v>Ta</v>
      </c>
      <c r="D8" s="1238">
        <f t="shared" ca="1" si="1"/>
        <v>27.523256203468918</v>
      </c>
      <c r="E8" s="59">
        <f t="shared" ca="1" si="2"/>
        <v>31.395372208135086</v>
      </c>
    </row>
    <row r="9" spans="1:6">
      <c r="A9" t="s">
        <v>168</v>
      </c>
      <c r="B9" s="30">
        <f ca="1">MOD(Age*3.333+SunDeg,360)</f>
        <v>265.39230963907733</v>
      </c>
      <c r="C9" t="str">
        <f t="shared" ca="1" si="0"/>
        <v>Sg</v>
      </c>
      <c r="D9" s="1238">
        <f t="shared" ca="1" si="1"/>
        <v>25.392309639077325</v>
      </c>
      <c r="E9" s="59">
        <f t="shared" ca="1" si="2"/>
        <v>23.538578344639518</v>
      </c>
    </row>
    <row r="10" spans="1:6">
      <c r="A10" t="s">
        <v>4982</v>
      </c>
      <c r="B10" s="30">
        <f ca="1">MOD(Age*3+SunDeg,360)</f>
        <v>248.1085698896585</v>
      </c>
      <c r="C10" t="str">
        <f t="shared" ca="1" si="0"/>
        <v>Sg</v>
      </c>
      <c r="D10" s="1238">
        <f t="shared" ca="1" si="1"/>
        <v>8.1085698896584972</v>
      </c>
      <c r="E10" s="59">
        <f t="shared" ca="1" si="2"/>
        <v>6.5141933795098339</v>
      </c>
    </row>
    <row r="11" spans="1:6">
      <c r="A11" s="334">
        <v>7</v>
      </c>
      <c r="B11" s="30">
        <f t="shared" ref="B11:B16" ca="1" si="3">MOD(Age*(30/A11)+SunDeg,360)</f>
        <v>314.84115579475025</v>
      </c>
      <c r="C11" t="str">
        <f t="shared" ca="1" si="0"/>
        <v>Aq</v>
      </c>
      <c r="D11" s="1238">
        <f t="shared" ca="1" si="1"/>
        <v>14.84115579475025</v>
      </c>
      <c r="E11" s="59">
        <f t="shared" ca="1" si="2"/>
        <v>50.469347685015009</v>
      </c>
    </row>
    <row r="12" spans="1:6">
      <c r="A12" s="334">
        <v>20</v>
      </c>
      <c r="B12" s="30">
        <f t="shared" ca="1" si="3"/>
        <v>170.25388633371813</v>
      </c>
      <c r="C12" t="str">
        <f t="shared" ca="1" si="0"/>
        <v>Vi</v>
      </c>
      <c r="D12" s="1238">
        <f t="shared" ca="1" si="1"/>
        <v>20.253886333718128</v>
      </c>
      <c r="E12" s="59">
        <f t="shared" ca="1" si="2"/>
        <v>15.233180023087698</v>
      </c>
    </row>
    <row r="13" spans="1:6">
      <c r="A13" s="334">
        <v>24</v>
      </c>
      <c r="B13" s="30">
        <f t="shared" ca="1" si="3"/>
        <v>157.27810574106144</v>
      </c>
      <c r="C13" t="str">
        <f t="shared" ca="1" si="0"/>
        <v>Vi</v>
      </c>
      <c r="D13" s="1238">
        <f t="shared" ca="1" si="1"/>
        <v>7.278105741061438</v>
      </c>
      <c r="E13" s="59">
        <f t="shared" ca="1" si="2"/>
        <v>16.686344463686282</v>
      </c>
    </row>
    <row r="14" spans="1:6">
      <c r="A14" s="334">
        <v>1</v>
      </c>
      <c r="B14" s="30">
        <f t="shared" ca="1" si="3"/>
        <v>209.49287389658548</v>
      </c>
      <c r="C14" t="str">
        <f t="shared" ca="1" si="0"/>
        <v>Li</v>
      </c>
      <c r="D14" s="1238">
        <f t="shared" ca="1" si="1"/>
        <v>29.492873896585479</v>
      </c>
      <c r="E14" s="59">
        <f t="shared" ca="1" si="2"/>
        <v>29.572433795128745</v>
      </c>
    </row>
    <row r="15" spans="1:6">
      <c r="A15" s="334">
        <v>30</v>
      </c>
      <c r="B15" s="30">
        <f t="shared" ca="1" si="3"/>
        <v>144.30232514840469</v>
      </c>
      <c r="C15" t="str">
        <f t="shared" ca="1" si="0"/>
        <v>Le</v>
      </c>
      <c r="D15" s="1238">
        <f t="shared" ca="1" si="1"/>
        <v>24.302325148404691</v>
      </c>
      <c r="E15" s="59">
        <f t="shared" ca="1" si="2"/>
        <v>18.139508904281456</v>
      </c>
    </row>
    <row r="16" spans="1:6">
      <c r="A16" s="334">
        <v>12</v>
      </c>
      <c r="B16" s="30">
        <f t="shared" ca="1" si="3"/>
        <v>222.15700870434506</v>
      </c>
      <c r="C16" t="str">
        <f t="shared" ca="1" si="0"/>
        <v>Sc</v>
      </c>
      <c r="D16" s="1238">
        <f t="shared" ca="1" si="1"/>
        <v>12.15700870434506</v>
      </c>
      <c r="E16" s="59">
        <f t="shared" ca="1" si="2"/>
        <v>9.4205222607035921</v>
      </c>
    </row>
    <row r="17" spans="1:5">
      <c r="B17" s="30"/>
      <c r="D17" s="1238"/>
      <c r="E17" s="59"/>
    </row>
    <row r="18" spans="1:5">
      <c r="A18" t="s">
        <v>386</v>
      </c>
      <c r="B18" t="s">
        <v>4983</v>
      </c>
    </row>
    <row r="19" spans="1:5">
      <c r="A19" s="46" t="str">
        <f>Basics!A7</f>
        <v>Lagna</v>
      </c>
      <c r="B19" s="1239" t="str">
        <f>Basics!B7</f>
        <v>16</v>
      </c>
      <c r="C19" s="46" t="str">
        <f>Basics!C7</f>
        <v>Le</v>
      </c>
      <c r="D19" s="37">
        <f>Basics!D7</f>
        <v>42.691000000000003</v>
      </c>
    </row>
    <row r="20" spans="1:5">
      <c r="A20" s="46" t="str">
        <f>Basics!A8</f>
        <v>Sun</v>
      </c>
      <c r="B20" s="1239" t="str">
        <f>Basics!B8</f>
        <v xml:space="preserve"> 2</v>
      </c>
      <c r="C20" s="46" t="str">
        <f>Basics!C8</f>
        <v>Cn</v>
      </c>
      <c r="D20" s="37">
        <f>Basics!D8</f>
        <v>23.952166666666667</v>
      </c>
    </row>
    <row r="21" spans="1:5">
      <c r="A21" s="46" t="str">
        <f>Basics!A9</f>
        <v>Moon</v>
      </c>
      <c r="B21" s="46" t="str">
        <f>Basics!B9</f>
        <v>23</v>
      </c>
      <c r="C21" s="46" t="str">
        <f>Basics!C9</f>
        <v>Ta</v>
      </c>
      <c r="D21" s="37">
        <f>Basics!D9</f>
        <v>0.95666666666666667</v>
      </c>
    </row>
    <row r="22" spans="1:5">
      <c r="A22" s="46" t="str">
        <f>Basics!A10</f>
        <v>Mars</v>
      </c>
      <c r="B22" s="46" t="str">
        <f>Basics!B10</f>
        <v>28</v>
      </c>
      <c r="C22" s="46" t="str">
        <f>Basics!C10</f>
        <v>Cp</v>
      </c>
      <c r="D22" s="37">
        <f>Basics!D10</f>
        <v>6.5198333333333336</v>
      </c>
    </row>
    <row r="23" spans="1:5">
      <c r="A23" s="46" t="str">
        <f>Basics!A11</f>
        <v>Mercury</v>
      </c>
      <c r="B23" s="46" t="str">
        <f>Basics!B11</f>
        <v>27</v>
      </c>
      <c r="C23" s="46" t="str">
        <f>Basics!C11</f>
        <v>Cn</v>
      </c>
      <c r="D23" s="37">
        <f>Basics!D11</f>
        <v>7.7871666666666668</v>
      </c>
    </row>
    <row r="24" spans="1:5">
      <c r="A24" s="46" t="str">
        <f>Basics!A12</f>
        <v>Jupiter</v>
      </c>
      <c r="B24" s="46" t="str">
        <f>Basics!B12</f>
        <v xml:space="preserve"> 3</v>
      </c>
      <c r="C24" s="46" t="str">
        <f>Basics!C12</f>
        <v>Sc</v>
      </c>
      <c r="D24" s="37">
        <f>Basics!D12</f>
        <v>11.830500000000001</v>
      </c>
    </row>
    <row r="25" spans="1:5">
      <c r="A25" s="46" t="str">
        <f>Basics!A13</f>
        <v>Venus</v>
      </c>
      <c r="B25" s="46" t="str">
        <f>Basics!B13</f>
        <v>21</v>
      </c>
      <c r="C25" s="46" t="str">
        <f>Basics!C13</f>
        <v>Ge</v>
      </c>
      <c r="D25" s="37">
        <f>Basics!D13</f>
        <v>32.436166666666665</v>
      </c>
    </row>
    <row r="26" spans="1:5">
      <c r="A26" s="46" t="str">
        <f>Basics!A14</f>
        <v>Saturn</v>
      </c>
      <c r="B26" s="46" t="str">
        <f>Basics!B14</f>
        <v xml:space="preserve"> 9</v>
      </c>
      <c r="C26" s="46" t="str">
        <f>Basics!C14</f>
        <v>Ta</v>
      </c>
      <c r="D26" s="37">
        <f>Basics!D14</f>
        <v>53.112666666666669</v>
      </c>
    </row>
    <row r="27" spans="1:5">
      <c r="A27" s="46" t="str">
        <f>Basics!A15</f>
        <v>Rahu</v>
      </c>
      <c r="B27" s="46" t="str">
        <f>Basics!B15</f>
        <v>21</v>
      </c>
      <c r="C27" s="46" t="str">
        <f>Basics!C15</f>
        <v>Cp</v>
      </c>
      <c r="D27" s="37">
        <f>Basics!D15</f>
        <v>58.034333333333336</v>
      </c>
    </row>
    <row r="28" spans="1:5">
      <c r="A28" s="46" t="str">
        <f>Basics!A16</f>
        <v>Ketu</v>
      </c>
      <c r="B28" s="46" t="str">
        <f>Basics!B16</f>
        <v>21</v>
      </c>
      <c r="C28" s="46" t="str">
        <f>Basics!C16</f>
        <v>Cn</v>
      </c>
      <c r="D28" s="37">
        <f>Basics!D16</f>
        <v>58.034333333333336</v>
      </c>
    </row>
    <row r="29" spans="1:5">
      <c r="A29" s="46" t="str">
        <f>Basics!A17</f>
        <v>Maandi</v>
      </c>
      <c r="B29" s="46" t="str">
        <f>Basics!B17</f>
        <v xml:space="preserve"> 8</v>
      </c>
      <c r="C29" s="46" t="str">
        <f>Basics!C17</f>
        <v>Sc</v>
      </c>
      <c r="D29" s="37">
        <f>Basics!D17</f>
        <v>13.930166666666667</v>
      </c>
    </row>
    <row r="30" spans="1:5">
      <c r="A30" s="46" t="str">
        <f>Basics!A18</f>
        <v>Gulika</v>
      </c>
      <c r="B30" s="46" t="str">
        <f>Basics!B18</f>
        <v>19</v>
      </c>
      <c r="C30" s="46" t="str">
        <f>Basics!C18</f>
        <v>Sc</v>
      </c>
      <c r="D30" s="37">
        <f>Basics!D18</f>
        <v>6.2461666666666664</v>
      </c>
    </row>
    <row r="31" spans="1:5">
      <c r="A31" s="46" t="str">
        <f>Basics!A19</f>
        <v>Bhava</v>
      </c>
      <c r="B31" s="46" t="str">
        <f>Basics!B19</f>
        <v>19</v>
      </c>
      <c r="C31" s="46" t="str">
        <f>Basics!C19</f>
        <v>Le</v>
      </c>
      <c r="D31" s="37">
        <f>Basics!D19</f>
        <v>52.181666666666665</v>
      </c>
    </row>
    <row r="32" spans="1:5">
      <c r="A32" s="46" t="str">
        <f>Basics!A20</f>
        <v>Hora</v>
      </c>
      <c r="B32" s="46" t="str">
        <f>Basics!B20</f>
        <v xml:space="preserve"> 7</v>
      </c>
      <c r="C32" s="46" t="str">
        <f>Basics!C20</f>
        <v>Li</v>
      </c>
      <c r="D32" s="37">
        <f>Basics!D20</f>
        <v>20.411333333333332</v>
      </c>
    </row>
    <row r="33" spans="1:4">
      <c r="A33" s="46" t="str">
        <f>Basics!A21</f>
        <v>Ghati</v>
      </c>
      <c r="B33" s="46" t="str">
        <f>Basics!B21</f>
        <v>29</v>
      </c>
      <c r="C33" s="46" t="str">
        <f>Basics!C21</f>
        <v>Aq</v>
      </c>
      <c r="D33" s="37">
        <f>Basics!D21</f>
        <v>45.099833333333336</v>
      </c>
    </row>
    <row r="34" spans="1:4">
      <c r="A34" s="46" t="str">
        <f>Basics!A22</f>
        <v>Vighati</v>
      </c>
      <c r="B34" s="46" t="str">
        <f>Basics!B22</f>
        <v>21</v>
      </c>
      <c r="C34" s="46" t="str">
        <f>Basics!C22</f>
        <v>Aq</v>
      </c>
      <c r="D34" s="37">
        <f>Basics!D22</f>
        <v>48.542999999999999</v>
      </c>
    </row>
    <row r="35" spans="1:4">
      <c r="A35" s="46" t="str">
        <f>Basics!A23</f>
        <v>Varnada</v>
      </c>
      <c r="B35" s="46" t="str">
        <f>Basics!B23</f>
        <v>16</v>
      </c>
      <c r="C35" s="46" t="str">
        <f>Basics!C23</f>
        <v>Pi</v>
      </c>
      <c r="D35" s="37">
        <f>Basics!D23</f>
        <v>42.691000000000003</v>
      </c>
    </row>
    <row r="36" spans="1:4">
      <c r="A36" s="46" t="str">
        <f>Basics!A24</f>
        <v>Sree</v>
      </c>
      <c r="B36" s="46" t="str">
        <f>Basics!B24</f>
        <v xml:space="preserve"> 8</v>
      </c>
      <c r="C36" s="46" t="str">
        <f>Basics!C24</f>
        <v>Le</v>
      </c>
      <c r="D36" s="37">
        <f>Basics!D24</f>
        <v>8.5190000000000001</v>
      </c>
    </row>
    <row r="37" spans="1:4">
      <c r="A37" s="46" t="str">
        <f>Basics!A25</f>
        <v>Pranapada</v>
      </c>
      <c r="B37" s="46" t="str">
        <f>Basics!B25</f>
        <v>21</v>
      </c>
      <c r="C37" s="46" t="str">
        <f>Basics!C25</f>
        <v>Aq</v>
      </c>
      <c r="D37" s="37">
        <f>Basics!D25</f>
        <v>48.542999999999999</v>
      </c>
    </row>
    <row r="38" spans="1:4">
      <c r="A38" s="46" t="str">
        <f>Basics!A26</f>
        <v>Indu</v>
      </c>
      <c r="B38" s="46" t="str">
        <f>Basics!B26</f>
        <v>23</v>
      </c>
      <c r="C38" s="46" t="str">
        <f>Basics!C26</f>
        <v>Sc</v>
      </c>
      <c r="D38" s="37">
        <f>Basics!D26</f>
        <v>0.95666666666666667</v>
      </c>
    </row>
    <row r="39" spans="1:4">
      <c r="A39" s="46" t="str">
        <f>Basics!A27</f>
        <v>Bhrigu</v>
      </c>
      <c r="B39" s="46" t="str">
        <f>Basics!B27</f>
        <v>22</v>
      </c>
      <c r="C39" s="46" t="str">
        <f>Basics!C27</f>
        <v>Pi</v>
      </c>
      <c r="D39" s="37">
        <f>Basics!D27</f>
        <v>29.4955</v>
      </c>
    </row>
    <row r="40" spans="1:4">
      <c r="A40" s="46" t="str">
        <f>Basics!A28</f>
        <v>Dhooma</v>
      </c>
      <c r="B40" s="46" t="str">
        <f>Basics!B28</f>
        <v>15</v>
      </c>
      <c r="C40" s="46" t="str">
        <f>Basics!C28</f>
        <v>Sc</v>
      </c>
      <c r="D40" s="37">
        <f>Basics!D28</f>
        <v>43.952166666666663</v>
      </c>
    </row>
    <row r="41" spans="1:4">
      <c r="A41" s="46" t="str">
        <f>Basics!A29</f>
        <v>Vyatipata</v>
      </c>
      <c r="B41" s="46" t="str">
        <f>Basics!B29</f>
        <v>14</v>
      </c>
      <c r="C41" s="46" t="str">
        <f>Basics!C29</f>
        <v>Le</v>
      </c>
      <c r="D41" s="37">
        <f>Basics!D29</f>
        <v>16.047833333333333</v>
      </c>
    </row>
    <row r="42" spans="1:4">
      <c r="A42" s="46" t="str">
        <f>Basics!A30</f>
        <v>Parivesha</v>
      </c>
      <c r="B42" s="46" t="str">
        <f>Basics!B30</f>
        <v>14</v>
      </c>
      <c r="C42" s="46" t="str">
        <f>Basics!C30</f>
        <v>Aq</v>
      </c>
      <c r="D42" s="37">
        <f>Basics!D30</f>
        <v>16.047833333333333</v>
      </c>
    </row>
    <row r="43" spans="1:4">
      <c r="A43" s="1236" t="s">
        <v>4286</v>
      </c>
      <c r="B43" s="1236">
        <v>5</v>
      </c>
      <c r="C43" s="1236" t="s">
        <v>699</v>
      </c>
      <c r="D43" s="1236">
        <v>33</v>
      </c>
    </row>
    <row r="44" spans="1:4">
      <c r="A44" s="1236" t="s">
        <v>4984</v>
      </c>
      <c r="B44" s="1236">
        <v>11</v>
      </c>
      <c r="C44" s="1236" t="s">
        <v>701</v>
      </c>
      <c r="D44" s="1236">
        <v>57</v>
      </c>
    </row>
    <row r="45" spans="1:4">
      <c r="A45" s="1236" t="s">
        <v>4985</v>
      </c>
      <c r="B45" s="1236">
        <v>25</v>
      </c>
      <c r="C45" s="1236" t="s">
        <v>694</v>
      </c>
      <c r="D45" s="1236">
        <v>18</v>
      </c>
    </row>
    <row r="46" spans="1:4">
      <c r="A46" s="1236" t="s">
        <v>282</v>
      </c>
      <c r="B46" s="1236">
        <v>4</v>
      </c>
      <c r="C46" s="1236" t="s">
        <v>706</v>
      </c>
      <c r="D46" s="1236">
        <v>51</v>
      </c>
    </row>
    <row r="47" spans="1:4">
      <c r="A47" s="1236" t="s">
        <v>4299</v>
      </c>
      <c r="B47" s="1236">
        <v>13</v>
      </c>
      <c r="C47" s="1236" t="s">
        <v>703</v>
      </c>
      <c r="D47" s="1236">
        <v>0</v>
      </c>
    </row>
    <row r="48" spans="1:4">
      <c r="A48" s="1236" t="s">
        <v>4302</v>
      </c>
      <c r="B48" s="1236">
        <v>27</v>
      </c>
      <c r="C48" s="1236" t="s">
        <v>711</v>
      </c>
      <c r="D48" s="1236">
        <v>45</v>
      </c>
    </row>
    <row r="49" spans="1:4">
      <c r="A49" s="1236" t="s">
        <v>4305</v>
      </c>
      <c r="B49" s="1236">
        <v>14</v>
      </c>
      <c r="C49" s="1236" t="s">
        <v>695</v>
      </c>
      <c r="D49" s="1236">
        <v>34</v>
      </c>
    </row>
    <row r="50" spans="1:4">
      <c r="A50" s="1236" t="s">
        <v>4986</v>
      </c>
      <c r="B50" s="1236">
        <v>10</v>
      </c>
      <c r="C50" s="1236" t="s">
        <v>706</v>
      </c>
      <c r="D50" s="1236">
        <v>33</v>
      </c>
    </row>
    <row r="51" spans="1:4">
      <c r="A51" s="1236" t="s">
        <v>4313</v>
      </c>
      <c r="B51" s="1236">
        <v>25</v>
      </c>
      <c r="C51" s="1236" t="s">
        <v>689</v>
      </c>
      <c r="D51" s="1236">
        <v>18</v>
      </c>
    </row>
    <row r="52" spans="1:4">
      <c r="A52" s="1236" t="s">
        <v>4987</v>
      </c>
      <c r="B52" s="1236">
        <v>0</v>
      </c>
      <c r="C52" s="1236" t="s">
        <v>701</v>
      </c>
      <c r="D52" s="1236">
        <v>3</v>
      </c>
    </row>
    <row r="53" spans="1:4">
      <c r="A53" s="1236" t="s">
        <v>4319</v>
      </c>
      <c r="B53" s="1236">
        <v>0</v>
      </c>
      <c r="C53" s="1236" t="s">
        <v>701</v>
      </c>
      <c r="D53" s="1236">
        <v>3</v>
      </c>
    </row>
    <row r="54" spans="1:4">
      <c r="A54" s="1236" t="s">
        <v>4988</v>
      </c>
      <c r="B54" s="1236">
        <v>16</v>
      </c>
      <c r="C54" s="1236" t="s">
        <v>699</v>
      </c>
      <c r="D54" s="1236">
        <v>13</v>
      </c>
    </row>
    <row r="55" spans="1:4">
      <c r="A55" s="1236" t="s">
        <v>4324</v>
      </c>
      <c r="B55" s="1236">
        <v>5</v>
      </c>
      <c r="C55" s="1236" t="s">
        <v>703</v>
      </c>
      <c r="D55" s="1236">
        <v>4</v>
      </c>
    </row>
    <row r="56" spans="1:4">
      <c r="A56" s="1236" t="s">
        <v>4136</v>
      </c>
      <c r="B56" s="1236">
        <v>6</v>
      </c>
      <c r="C56" s="1236" t="s">
        <v>711</v>
      </c>
      <c r="D56" s="1236">
        <v>56</v>
      </c>
    </row>
    <row r="57" spans="1:4">
      <c r="A57" s="1236" t="s">
        <v>256</v>
      </c>
      <c r="B57" s="1236">
        <v>7</v>
      </c>
      <c r="C57" s="1236" t="s">
        <v>699</v>
      </c>
      <c r="D57" s="1236">
        <v>59</v>
      </c>
    </row>
    <row r="58" spans="1:4">
      <c r="A58" s="1236" t="s">
        <v>4331</v>
      </c>
      <c r="B58" s="1236">
        <v>21</v>
      </c>
      <c r="C58" s="1236" t="s">
        <v>711</v>
      </c>
      <c r="D58" s="1236">
        <v>43</v>
      </c>
    </row>
    <row r="59" spans="1:4">
      <c r="A59" s="1236" t="s">
        <v>910</v>
      </c>
      <c r="B59" s="1236">
        <v>14</v>
      </c>
      <c r="C59" s="1236" t="s">
        <v>695</v>
      </c>
      <c r="D59" s="1236">
        <v>34</v>
      </c>
    </row>
    <row r="60" spans="1:4">
      <c r="A60" s="1236" t="s">
        <v>4336</v>
      </c>
      <c r="B60" s="1236">
        <v>18</v>
      </c>
      <c r="C60" s="1236" t="s">
        <v>709</v>
      </c>
      <c r="D60" s="1236">
        <v>51</v>
      </c>
    </row>
    <row r="61" spans="1:4">
      <c r="A61" s="1236" t="s">
        <v>4339</v>
      </c>
      <c r="B61" s="1236">
        <v>0</v>
      </c>
      <c r="C61" s="1236" t="s">
        <v>711</v>
      </c>
      <c r="D61" s="1236">
        <v>0</v>
      </c>
    </row>
    <row r="62" spans="1:4">
      <c r="A62" s="1236" t="s">
        <v>1320</v>
      </c>
      <c r="B62" s="1236">
        <v>21</v>
      </c>
      <c r="C62" s="1236" t="s">
        <v>689</v>
      </c>
      <c r="D62" s="1236">
        <v>43</v>
      </c>
    </row>
    <row r="63" spans="1:4">
      <c r="A63" s="1236" t="s">
        <v>4344</v>
      </c>
      <c r="B63" s="1236">
        <v>10</v>
      </c>
      <c r="C63" s="1236" t="s">
        <v>689</v>
      </c>
      <c r="D63" s="1236">
        <v>23</v>
      </c>
    </row>
    <row r="64" spans="1:4">
      <c r="A64" s="1236" t="s">
        <v>1376</v>
      </c>
      <c r="B64" s="1236">
        <v>14</v>
      </c>
      <c r="C64" s="1236" t="s">
        <v>701</v>
      </c>
      <c r="D64" s="1236">
        <v>11</v>
      </c>
    </row>
    <row r="65" spans="1:4">
      <c r="A65" s="1236" t="s">
        <v>4349</v>
      </c>
      <c r="B65" s="1236">
        <v>13</v>
      </c>
      <c r="C65" s="1236" t="s">
        <v>689</v>
      </c>
      <c r="D65" s="1236">
        <v>4</v>
      </c>
    </row>
    <row r="66" spans="1:4">
      <c r="A66" s="1236" t="s">
        <v>4352</v>
      </c>
      <c r="B66" s="1236">
        <v>17</v>
      </c>
      <c r="C66" s="1236" t="s">
        <v>706</v>
      </c>
      <c r="D66" s="1236">
        <v>29</v>
      </c>
    </row>
    <row r="67" spans="1:4">
      <c r="A67" s="1236" t="s">
        <v>4355</v>
      </c>
      <c r="B67" s="1236">
        <v>26</v>
      </c>
      <c r="C67" s="1236" t="s">
        <v>701</v>
      </c>
      <c r="D67" s="1236">
        <v>36</v>
      </c>
    </row>
    <row r="68" spans="1:4">
      <c r="A68" s="1236" t="s">
        <v>4359</v>
      </c>
      <c r="B68" s="1236">
        <v>6</v>
      </c>
      <c r="C68" s="1236" t="s">
        <v>699</v>
      </c>
      <c r="D68" s="1236">
        <v>45</v>
      </c>
    </row>
    <row r="69" spans="1:4">
      <c r="A69" s="1236" t="s">
        <v>4362</v>
      </c>
      <c r="B69" s="1236">
        <v>18</v>
      </c>
      <c r="C69" s="1236" t="s">
        <v>694</v>
      </c>
      <c r="D69" s="1236">
        <v>15</v>
      </c>
    </row>
    <row r="70" spans="1:4">
      <c r="A70" s="1236" t="s">
        <v>4365</v>
      </c>
      <c r="B70" s="1236">
        <v>10</v>
      </c>
      <c r="C70" s="1236" t="s">
        <v>703</v>
      </c>
      <c r="D70" s="1236">
        <v>46</v>
      </c>
    </row>
    <row r="71" spans="1:4">
      <c r="A71" s="1236" t="s">
        <v>4368</v>
      </c>
      <c r="B71" s="1236">
        <v>7</v>
      </c>
      <c r="C71" s="1236" t="s">
        <v>699</v>
      </c>
      <c r="D71" s="1236">
        <v>3</v>
      </c>
    </row>
    <row r="72" spans="1:4">
      <c r="A72" s="1236" t="s">
        <v>4371</v>
      </c>
      <c r="B72" s="1236">
        <v>28</v>
      </c>
      <c r="C72" s="1236" t="s">
        <v>710</v>
      </c>
      <c r="D72" s="1236">
        <v>2</v>
      </c>
    </row>
    <row r="73" spans="1:4">
      <c r="A73" s="1236" t="s">
        <v>4374</v>
      </c>
      <c r="B73" s="1236">
        <v>19</v>
      </c>
      <c r="C73" s="1236" t="s">
        <v>708</v>
      </c>
      <c r="D73" s="1236">
        <v>44</v>
      </c>
    </row>
    <row r="74" spans="1:4">
      <c r="A74" s="1236" t="s">
        <v>4376</v>
      </c>
      <c r="B74" s="1236">
        <v>19</v>
      </c>
      <c r="C74" s="1236" t="s">
        <v>708</v>
      </c>
      <c r="D74" s="1236">
        <v>44</v>
      </c>
    </row>
    <row r="75" spans="1:4">
      <c r="A75" s="1236" t="s">
        <v>4378</v>
      </c>
      <c r="B75" s="1236">
        <v>18</v>
      </c>
      <c r="C75" s="1236" t="s">
        <v>703</v>
      </c>
      <c r="D75" s="1236">
        <v>27</v>
      </c>
    </row>
    <row r="76" spans="1:4">
      <c r="A76" s="1236" t="s">
        <v>4381</v>
      </c>
      <c r="B76" s="1236">
        <v>9</v>
      </c>
      <c r="C76" s="1236" t="s">
        <v>699</v>
      </c>
      <c r="D76" s="1236">
        <v>0</v>
      </c>
    </row>
    <row r="77" spans="1:4">
      <c r="A77" s="1236" t="s">
        <v>4384</v>
      </c>
      <c r="B77" s="1236">
        <v>1</v>
      </c>
      <c r="C77" s="1236" t="s">
        <v>689</v>
      </c>
      <c r="D77" s="1236">
        <v>12</v>
      </c>
    </row>
    <row r="78" spans="1:4">
      <c r="A78" s="1236" t="s">
        <v>4387</v>
      </c>
      <c r="B78" s="1236">
        <v>27</v>
      </c>
      <c r="C78" s="1236" t="s">
        <v>699</v>
      </c>
      <c r="D78" s="1236">
        <v>12</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J86"/>
  <sheetViews>
    <sheetView topLeftCell="A66" zoomScaleNormal="100" workbookViewId="0">
      <selection activeCell="A62" sqref="A62"/>
    </sheetView>
  </sheetViews>
  <sheetFormatPr defaultColWidth="9.140625" defaultRowHeight="15"/>
  <cols>
    <col min="1" max="1" width="2.28515625" style="1240" customWidth="1"/>
    <col min="2" max="2" width="19.42578125" style="1240" customWidth="1"/>
    <col min="3" max="3" width="12.42578125" style="1240" customWidth="1"/>
    <col min="4" max="4" width="13" style="1240" customWidth="1"/>
    <col min="5" max="5" width="11.42578125" style="1240" customWidth="1"/>
    <col min="6" max="6" width="9.85546875" style="1241" customWidth="1"/>
    <col min="7" max="7" width="13.42578125" style="1240" customWidth="1"/>
    <col min="8" max="8" width="13" style="1240" customWidth="1"/>
    <col min="9" max="9" width="17" style="1240" customWidth="1"/>
    <col min="10" max="10" width="15.28515625" style="1240" customWidth="1"/>
    <col min="11" max="11" width="83.28515625" style="1240" customWidth="1"/>
    <col min="12" max="1024" width="9.140625" style="1240"/>
  </cols>
  <sheetData>
    <row r="1" spans="1:12">
      <c r="B1" s="1402" t="s">
        <v>4989</v>
      </c>
      <c r="C1" s="1402"/>
      <c r="D1" s="1402"/>
      <c r="E1" s="1402"/>
    </row>
    <row r="3" spans="1:12" ht="30">
      <c r="B3" s="1240" t="s">
        <v>4990</v>
      </c>
      <c r="I3" s="1240">
        <v>1</v>
      </c>
      <c r="J3" s="1240" t="s">
        <v>4991</v>
      </c>
      <c r="K3" s="582" t="s">
        <v>4992</v>
      </c>
    </row>
    <row r="4" spans="1:12">
      <c r="G4" s="1240" t="s">
        <v>548</v>
      </c>
      <c r="H4" s="1240" t="s">
        <v>400</v>
      </c>
      <c r="I4" s="1240">
        <v>2</v>
      </c>
      <c r="J4" s="1240" t="s">
        <v>4993</v>
      </c>
      <c r="K4" s="582" t="s">
        <v>4994</v>
      </c>
    </row>
    <row r="5" spans="1:12" ht="30">
      <c r="B5" s="1240" t="s">
        <v>4995</v>
      </c>
      <c r="C5" s="1242">
        <v>26133</v>
      </c>
      <c r="D5" s="1242" t="s">
        <v>4996</v>
      </c>
      <c r="E5" s="1242">
        <v>31612</v>
      </c>
      <c r="G5" s="1243">
        <f t="shared" ref="G5:G22" si="0">H5/Year</f>
        <v>15.00048434596086</v>
      </c>
      <c r="H5" s="1240">
        <f t="shared" ref="H5:H22" si="1">E5-C5</f>
        <v>5479</v>
      </c>
      <c r="I5" s="1240">
        <v>3</v>
      </c>
      <c r="J5" s="1240" t="s">
        <v>4997</v>
      </c>
      <c r="K5" s="582" t="s">
        <v>4998</v>
      </c>
    </row>
    <row r="6" spans="1:12">
      <c r="B6" s="1240" t="s">
        <v>4999</v>
      </c>
      <c r="C6" s="1242">
        <v>31612</v>
      </c>
      <c r="D6" s="1242" t="s">
        <v>5000</v>
      </c>
      <c r="E6" s="1242">
        <v>32708</v>
      </c>
      <c r="G6" s="1243">
        <f t="shared" si="0"/>
        <v>3.000644432044735</v>
      </c>
      <c r="H6" s="1240">
        <f t="shared" si="1"/>
        <v>1096</v>
      </c>
      <c r="I6" s="1240">
        <v>4</v>
      </c>
      <c r="J6" s="1240" t="s">
        <v>5001</v>
      </c>
      <c r="K6" s="582" t="s">
        <v>5002</v>
      </c>
    </row>
    <row r="7" spans="1:12">
      <c r="B7" s="1240" t="s">
        <v>5003</v>
      </c>
      <c r="C7" s="1242">
        <v>32708</v>
      </c>
      <c r="D7" s="1242" t="s">
        <v>5000</v>
      </c>
      <c r="E7" s="1242">
        <v>34534</v>
      </c>
      <c r="G7" s="1243">
        <f t="shared" si="0"/>
        <v>4.9992488438993483</v>
      </c>
      <c r="H7" s="1240">
        <f t="shared" si="1"/>
        <v>1826</v>
      </c>
      <c r="I7" s="1240">
        <v>5</v>
      </c>
      <c r="J7" s="1240" t="s">
        <v>5004</v>
      </c>
      <c r="K7" s="582" t="s">
        <v>5005</v>
      </c>
    </row>
    <row r="8" spans="1:12" ht="30">
      <c r="B8" s="1240" t="s">
        <v>5006</v>
      </c>
      <c r="C8" s="1242">
        <v>34534</v>
      </c>
      <c r="D8" s="1242" t="s">
        <v>4996</v>
      </c>
      <c r="E8" s="1242">
        <v>35630</v>
      </c>
      <c r="G8" s="1243">
        <f t="shared" si="0"/>
        <v>3.000644432044735</v>
      </c>
      <c r="H8" s="1240">
        <f t="shared" si="1"/>
        <v>1096</v>
      </c>
      <c r="I8" s="1240">
        <v>6</v>
      </c>
      <c r="J8" s="1240" t="s">
        <v>5007</v>
      </c>
      <c r="K8" s="582" t="s">
        <v>5008</v>
      </c>
    </row>
    <row r="9" spans="1:12">
      <c r="A9" s="1240" t="s">
        <v>394</v>
      </c>
      <c r="B9" s="1240" t="s">
        <v>5009</v>
      </c>
      <c r="C9" s="1242">
        <v>35630</v>
      </c>
      <c r="D9" s="1242" t="s">
        <v>5000</v>
      </c>
      <c r="E9" s="1242">
        <v>41839</v>
      </c>
      <c r="G9" s="1243">
        <f t="shared" si="0"/>
        <v>16.999088757815475</v>
      </c>
      <c r="H9" s="1240">
        <f t="shared" si="1"/>
        <v>6209</v>
      </c>
      <c r="I9" s="1240">
        <v>7</v>
      </c>
      <c r="J9" s="1240" t="s">
        <v>5010</v>
      </c>
      <c r="K9" s="582" t="s">
        <v>5011</v>
      </c>
    </row>
    <row r="10" spans="1:12" ht="30">
      <c r="B10" s="1240" t="s">
        <v>5012</v>
      </c>
      <c r="C10" s="1242">
        <v>41839</v>
      </c>
      <c r="D10" s="1242" t="s">
        <v>5000</v>
      </c>
      <c r="E10" s="1242">
        <v>47683</v>
      </c>
      <c r="G10" s="1243">
        <f t="shared" si="0"/>
        <v>15.999786551888167</v>
      </c>
      <c r="H10" s="1240">
        <f t="shared" si="1"/>
        <v>5844</v>
      </c>
      <c r="I10" s="1240">
        <v>8</v>
      </c>
      <c r="J10" s="1240" t="s">
        <v>5013</v>
      </c>
      <c r="K10" s="582" t="s">
        <v>5014</v>
      </c>
    </row>
    <row r="11" spans="1:12">
      <c r="B11" s="1240" t="s">
        <v>5015</v>
      </c>
      <c r="C11" s="1242">
        <v>47683</v>
      </c>
      <c r="D11" s="1242" t="s">
        <v>4996</v>
      </c>
      <c r="E11" s="1242">
        <v>48414</v>
      </c>
      <c r="G11" s="1243">
        <f t="shared" si="0"/>
        <v>2.0013422261174281</v>
      </c>
      <c r="H11" s="1240">
        <f t="shared" si="1"/>
        <v>731</v>
      </c>
    </row>
    <row r="12" spans="1:12">
      <c r="B12" s="1240" t="s">
        <v>5016</v>
      </c>
      <c r="C12" s="1242">
        <v>48414</v>
      </c>
      <c r="D12" s="1242" t="s">
        <v>5000</v>
      </c>
      <c r="E12" s="1242">
        <v>52066</v>
      </c>
      <c r="G12" s="1243">
        <f t="shared" si="0"/>
        <v>9.9984976877986966</v>
      </c>
      <c r="H12" s="1240">
        <f t="shared" si="1"/>
        <v>3652</v>
      </c>
      <c r="J12" s="1240" t="s">
        <v>5017</v>
      </c>
      <c r="K12" s="1240" t="s">
        <v>5018</v>
      </c>
    </row>
    <row r="13" spans="1:12">
      <c r="B13" s="1240" t="s">
        <v>5019</v>
      </c>
      <c r="C13" s="1242">
        <v>52066</v>
      </c>
      <c r="D13" s="1242" t="s">
        <v>5000</v>
      </c>
      <c r="E13" s="1242">
        <v>57545</v>
      </c>
      <c r="G13" s="1243">
        <f t="shared" si="0"/>
        <v>15.00048434596086</v>
      </c>
      <c r="H13" s="1240">
        <f t="shared" si="1"/>
        <v>5479</v>
      </c>
    </row>
    <row r="14" spans="1:12">
      <c r="B14" s="1240" t="s">
        <v>4995</v>
      </c>
      <c r="C14" s="1242">
        <v>57545</v>
      </c>
      <c r="D14" s="1242" t="s">
        <v>4996</v>
      </c>
      <c r="E14" s="1242">
        <v>58275</v>
      </c>
      <c r="G14" s="1243">
        <f t="shared" si="0"/>
        <v>1.9986044118546136</v>
      </c>
      <c r="H14" s="1240">
        <f t="shared" si="1"/>
        <v>730</v>
      </c>
      <c r="J14" s="1244" t="s">
        <v>4991</v>
      </c>
    </row>
    <row r="15" spans="1:12">
      <c r="B15" s="1240" t="s">
        <v>4999</v>
      </c>
      <c r="C15" s="1242">
        <v>58275</v>
      </c>
      <c r="D15" s="1242" t="s">
        <v>5000</v>
      </c>
      <c r="E15" s="1242">
        <v>59736</v>
      </c>
      <c r="G15" s="1243">
        <f t="shared" si="0"/>
        <v>3.9999466379720419</v>
      </c>
      <c r="H15" s="1240">
        <f t="shared" si="1"/>
        <v>1461</v>
      </c>
      <c r="K15" s="1240" t="s">
        <v>5020</v>
      </c>
    </row>
    <row r="16" spans="1:12">
      <c r="B16" s="1240" t="s">
        <v>5003</v>
      </c>
      <c r="C16" s="1242">
        <v>59736</v>
      </c>
      <c r="D16" s="1242" t="s">
        <v>5000</v>
      </c>
      <c r="E16" s="1242">
        <v>60102</v>
      </c>
      <c r="G16" s="1243">
        <f t="shared" si="0"/>
        <v>1.0020400201901214</v>
      </c>
      <c r="H16" s="1240">
        <f t="shared" si="1"/>
        <v>366</v>
      </c>
      <c r="J16" s="1240" t="s">
        <v>158</v>
      </c>
      <c r="K16" s="1240" t="s">
        <v>5021</v>
      </c>
      <c r="L16" s="1240" t="s">
        <v>5022</v>
      </c>
    </row>
    <row r="17" spans="1:11">
      <c r="B17" s="1240" t="s">
        <v>5006</v>
      </c>
      <c r="C17" s="1242">
        <v>60102</v>
      </c>
      <c r="D17" s="1242" t="s">
        <v>4996</v>
      </c>
      <c r="E17" s="1242">
        <v>61563</v>
      </c>
      <c r="G17" s="1243">
        <f t="shared" si="0"/>
        <v>3.9999466379720419</v>
      </c>
      <c r="H17" s="1240">
        <f t="shared" si="1"/>
        <v>1461</v>
      </c>
      <c r="J17" s="1240" t="s">
        <v>159</v>
      </c>
      <c r="K17" s="1240" t="s">
        <v>5023</v>
      </c>
    </row>
    <row r="18" spans="1:11">
      <c r="B18" s="1240" t="s">
        <v>5009</v>
      </c>
      <c r="C18" s="1242">
        <v>61563</v>
      </c>
      <c r="D18" s="1242" t="s">
        <v>5000</v>
      </c>
      <c r="E18" s="1242">
        <v>61928</v>
      </c>
      <c r="G18" s="1243">
        <f t="shared" si="0"/>
        <v>0.99930220592730679</v>
      </c>
      <c r="H18" s="1240">
        <f t="shared" si="1"/>
        <v>365</v>
      </c>
      <c r="J18" s="1240" t="s">
        <v>163</v>
      </c>
    </row>
    <row r="19" spans="1:11">
      <c r="B19" s="1240" t="s">
        <v>5012</v>
      </c>
      <c r="C19" s="1242">
        <v>61928</v>
      </c>
      <c r="D19" s="1242" t="s">
        <v>5000</v>
      </c>
      <c r="E19" s="1242">
        <v>63389</v>
      </c>
      <c r="G19" s="1243">
        <f t="shared" si="0"/>
        <v>3.9999466379720419</v>
      </c>
      <c r="H19" s="1240">
        <f t="shared" si="1"/>
        <v>1461</v>
      </c>
    </row>
    <row r="20" spans="1:11">
      <c r="B20" s="1240" t="s">
        <v>5015</v>
      </c>
      <c r="C20" s="1242">
        <v>63389</v>
      </c>
      <c r="D20" s="1242" t="s">
        <v>4996</v>
      </c>
      <c r="E20" s="1242">
        <v>66311</v>
      </c>
      <c r="G20" s="1243">
        <f t="shared" si="0"/>
        <v>7.9998932759440837</v>
      </c>
      <c r="H20" s="1240">
        <f t="shared" si="1"/>
        <v>2922</v>
      </c>
    </row>
    <row r="21" spans="1:11">
      <c r="B21" s="1240" t="s">
        <v>5016</v>
      </c>
      <c r="C21" s="1242">
        <v>66311</v>
      </c>
      <c r="D21" s="1242" t="s">
        <v>5000</v>
      </c>
      <c r="E21" s="1242">
        <v>69598</v>
      </c>
      <c r="G21" s="1243">
        <f t="shared" si="0"/>
        <v>8.9991954818713911</v>
      </c>
      <c r="H21" s="1240">
        <f t="shared" si="1"/>
        <v>3287</v>
      </c>
    </row>
    <row r="22" spans="1:11">
      <c r="B22" s="1240" t="s">
        <v>5019</v>
      </c>
      <c r="C22" s="1242">
        <v>69598</v>
      </c>
      <c r="D22" s="1242" t="s">
        <v>5000</v>
      </c>
      <c r="E22" s="1242">
        <v>69964</v>
      </c>
      <c r="G22" s="1243">
        <f t="shared" si="0"/>
        <v>1.0020400201901214</v>
      </c>
      <c r="H22" s="1240">
        <f t="shared" si="1"/>
        <v>366</v>
      </c>
      <c r="I22" s="1240" t="s">
        <v>5024</v>
      </c>
    </row>
    <row r="23" spans="1:11">
      <c r="I23" s="1240" t="s">
        <v>5025</v>
      </c>
    </row>
    <row r="24" spans="1:11">
      <c r="H24" s="1240">
        <f>SUM(H5:H13)</f>
        <v>31412</v>
      </c>
    </row>
    <row r="25" spans="1:11">
      <c r="C25" s="1243"/>
      <c r="H25" s="1240">
        <f>SUM(H14:H22)</f>
        <v>12419</v>
      </c>
      <c r="I25" s="1245"/>
      <c r="J25" s="1240" t="str">
        <f>LEFT(C11,6)</f>
        <v>47683</v>
      </c>
    </row>
    <row r="26" spans="1:11">
      <c r="I26" s="1246"/>
    </row>
    <row r="27" spans="1:11">
      <c r="A27" s="1247"/>
      <c r="B27" s="1248" t="s">
        <v>664</v>
      </c>
      <c r="C27" s="1249" t="s">
        <v>730</v>
      </c>
      <c r="D27" s="1248" t="s">
        <v>805</v>
      </c>
      <c r="E27" s="1248"/>
      <c r="F27" s="1250" t="s">
        <v>400</v>
      </c>
      <c r="G27" s="1249"/>
      <c r="H27" s="1249"/>
      <c r="I27" s="1246"/>
    </row>
    <row r="28" spans="1:11">
      <c r="A28" s="1251"/>
      <c r="B28" s="1240" t="str">
        <f>VLOOKUP("&gt;",A5:E22,2,0)</f>
        <v xml:space="preserve"> Rah:</v>
      </c>
      <c r="C28" s="1242">
        <f>VLOOKUP("&gt;",A5:I22,3,0)</f>
        <v>35630</v>
      </c>
      <c r="D28" s="1252"/>
      <c r="E28" s="1242"/>
      <c r="F28" s="1241">
        <f>VLOOKUP("&gt;",A5:I22,8,0)</f>
        <v>6209</v>
      </c>
      <c r="I28" s="1246"/>
    </row>
    <row r="29" spans="1:11">
      <c r="A29" s="1251"/>
      <c r="F29" s="1241">
        <f>F28/H24</f>
        <v>0.19766331338342036</v>
      </c>
      <c r="I29" s="1246"/>
    </row>
    <row r="30" spans="1:11">
      <c r="A30" s="1251"/>
      <c r="B30" s="1240" t="str">
        <f t="shared" ref="B30:B38" si="2">B5</f>
        <v xml:space="preserve"> Merc:</v>
      </c>
      <c r="C30" s="1242">
        <f>C28</f>
        <v>35630</v>
      </c>
      <c r="D30" s="1242">
        <f t="shared" ref="D30:D38" si="3">C30+F30</f>
        <v>36712.997294027758</v>
      </c>
      <c r="E30" s="1253">
        <f>VLOOKUP(B30,B5:I22,7,0)</f>
        <v>5479</v>
      </c>
      <c r="F30" s="1254">
        <f t="shared" ref="F30:F38" si="4">E30*$F$29</f>
        <v>1082.9972940277601</v>
      </c>
      <c r="I30" s="1246"/>
    </row>
    <row r="31" spans="1:11">
      <c r="A31" s="1251"/>
      <c r="B31" s="1240" t="str">
        <f t="shared" si="2"/>
        <v xml:space="preserve"> Ket:</v>
      </c>
      <c r="C31" s="1242">
        <f t="shared" ref="C31:C38" si="5">D30</f>
        <v>36712.997294027758</v>
      </c>
      <c r="D31" s="1242">
        <f t="shared" si="3"/>
        <v>36929.636285495988</v>
      </c>
      <c r="E31" s="1253">
        <f t="shared" ref="E31:E38" si="6">VLOOKUP(B31,B6:H23,7,0)</f>
        <v>1096</v>
      </c>
      <c r="F31" s="1254">
        <f t="shared" si="4"/>
        <v>216.63899146822871</v>
      </c>
      <c r="I31" s="1246"/>
    </row>
    <row r="32" spans="1:11">
      <c r="A32" s="1251"/>
      <c r="B32" s="1240" t="str">
        <f t="shared" si="2"/>
        <v xml:space="preserve"> Sun:</v>
      </c>
      <c r="C32" s="1242">
        <f t="shared" si="5"/>
        <v>36929.636285495988</v>
      </c>
      <c r="D32" s="1242">
        <f t="shared" si="3"/>
        <v>37290.569495734111</v>
      </c>
      <c r="E32" s="1253">
        <f t="shared" si="6"/>
        <v>1826</v>
      </c>
      <c r="F32" s="1254">
        <f t="shared" si="4"/>
        <v>360.93321023812558</v>
      </c>
      <c r="I32" s="1246"/>
    </row>
    <row r="33" spans="1:9">
      <c r="A33" s="1251"/>
      <c r="B33" s="1240" t="str">
        <f t="shared" si="2"/>
        <v xml:space="preserve"> Mars:</v>
      </c>
      <c r="C33" s="1242">
        <f t="shared" si="5"/>
        <v>37290.569495734111</v>
      </c>
      <c r="D33" s="1242">
        <f t="shared" si="3"/>
        <v>37507.208487202341</v>
      </c>
      <c r="E33" s="1253">
        <f t="shared" si="6"/>
        <v>1096</v>
      </c>
      <c r="F33" s="1254">
        <f t="shared" si="4"/>
        <v>216.63899146822871</v>
      </c>
      <c r="I33" s="1246"/>
    </row>
    <row r="34" spans="1:9">
      <c r="A34" s="1251"/>
      <c r="B34" s="1240" t="str">
        <f t="shared" si="2"/>
        <v xml:space="preserve"> Rah:</v>
      </c>
      <c r="C34" s="1242">
        <f t="shared" si="5"/>
        <v>37507.208487202341</v>
      </c>
      <c r="D34" s="1242">
        <f t="shared" si="3"/>
        <v>38734.5</v>
      </c>
      <c r="E34" s="1253">
        <f t="shared" si="6"/>
        <v>6209</v>
      </c>
      <c r="F34" s="1254">
        <f t="shared" si="4"/>
        <v>1227.2915127976571</v>
      </c>
      <c r="I34" s="1246"/>
    </row>
    <row r="35" spans="1:9">
      <c r="A35" s="1251" t="s">
        <v>394</v>
      </c>
      <c r="B35" s="1240" t="str">
        <f t="shared" si="2"/>
        <v xml:space="preserve"> Ven:</v>
      </c>
      <c r="C35" s="1242">
        <f t="shared" si="5"/>
        <v>38734.5</v>
      </c>
      <c r="D35" s="1242">
        <f t="shared" si="3"/>
        <v>39889.644403412705</v>
      </c>
      <c r="E35" s="1253">
        <f t="shared" si="6"/>
        <v>5844</v>
      </c>
      <c r="F35" s="1254">
        <f t="shared" si="4"/>
        <v>1155.1444034127085</v>
      </c>
      <c r="I35" s="1246"/>
    </row>
    <row r="36" spans="1:9">
      <c r="A36" s="1251"/>
      <c r="B36" s="1240" t="str">
        <f t="shared" si="2"/>
        <v xml:space="preserve"> Moon:</v>
      </c>
      <c r="C36" s="1242">
        <f t="shared" si="5"/>
        <v>39889.644403412705</v>
      </c>
      <c r="D36" s="1242">
        <f t="shared" si="3"/>
        <v>40034.136285495988</v>
      </c>
      <c r="E36" s="1253">
        <f t="shared" si="6"/>
        <v>731</v>
      </c>
      <c r="F36" s="1254">
        <f t="shared" si="4"/>
        <v>144.49188208328027</v>
      </c>
      <c r="I36" s="1246"/>
    </row>
    <row r="37" spans="1:9">
      <c r="A37" s="1251"/>
      <c r="B37" s="1240" t="str">
        <f t="shared" si="2"/>
        <v xml:space="preserve"> Sat:</v>
      </c>
      <c r="C37" s="1242">
        <f t="shared" si="5"/>
        <v>40034.136285495988</v>
      </c>
      <c r="D37" s="1242">
        <f t="shared" si="3"/>
        <v>40756.002705972242</v>
      </c>
      <c r="E37" s="1253">
        <f t="shared" si="6"/>
        <v>3652</v>
      </c>
      <c r="F37" s="1254">
        <f t="shared" si="4"/>
        <v>721.86642047625116</v>
      </c>
      <c r="I37" s="1255" t="s">
        <v>5026</v>
      </c>
    </row>
    <row r="38" spans="1:9">
      <c r="A38" s="1251" t="s">
        <v>394</v>
      </c>
      <c r="B38" s="1240" t="str">
        <f t="shared" si="2"/>
        <v xml:space="preserve"> Jup:</v>
      </c>
      <c r="C38" s="1242">
        <f t="shared" si="5"/>
        <v>40756.002705972242</v>
      </c>
      <c r="D38" s="1242">
        <f t="shared" si="3"/>
        <v>41839</v>
      </c>
      <c r="E38" s="1253">
        <f t="shared" si="6"/>
        <v>5479</v>
      </c>
      <c r="F38" s="1254">
        <f t="shared" si="4"/>
        <v>1082.9972940277601</v>
      </c>
      <c r="I38" s="1245"/>
    </row>
    <row r="39" spans="1:9">
      <c r="A39" s="1256"/>
      <c r="B39" s="1257"/>
      <c r="C39" s="1258"/>
      <c r="D39" s="1258"/>
      <c r="E39" s="1259"/>
      <c r="F39" s="1260"/>
      <c r="G39" s="1257"/>
      <c r="H39" s="1257">
        <f>SUM(F30:F38)</f>
        <v>6209</v>
      </c>
      <c r="I39" s="1246"/>
    </row>
    <row r="40" spans="1:9">
      <c r="A40" s="1247"/>
      <c r="B40" s="1249" t="s">
        <v>5027</v>
      </c>
      <c r="C40" s="1261" t="s">
        <v>730</v>
      </c>
      <c r="D40" s="1261" t="s">
        <v>805</v>
      </c>
      <c r="E40" s="1262"/>
      <c r="F40" s="1263" t="s">
        <v>400</v>
      </c>
      <c r="G40" s="1249"/>
      <c r="H40" s="1249"/>
      <c r="I40" s="1246"/>
    </row>
    <row r="41" spans="1:9">
      <c r="A41" s="1251"/>
      <c r="B41" s="1240" t="str">
        <f>VLOOKUP("&gt;",A30:D38,2,0)</f>
        <v xml:space="preserve"> Ven:</v>
      </c>
      <c r="C41" s="1242">
        <f>VLOOKUP("&gt;",A30:D38,3,0)</f>
        <v>38734.5</v>
      </c>
      <c r="D41" s="1242"/>
      <c r="E41" s="1242"/>
      <c r="F41" s="1264">
        <f>VLOOKUP("&gt;",A30:F38,6,0)</f>
        <v>1155.1444034127085</v>
      </c>
      <c r="I41" s="1246"/>
    </row>
    <row r="42" spans="1:9">
      <c r="A42" s="1251"/>
      <c r="C42" s="1253"/>
      <c r="D42" s="1242"/>
      <c r="E42" s="1242"/>
      <c r="F42" s="1254"/>
      <c r="I42" s="1246"/>
    </row>
    <row r="43" spans="1:9">
      <c r="A43" s="1251"/>
      <c r="B43" s="1240" t="str">
        <f>B10</f>
        <v xml:space="preserve"> Ven:</v>
      </c>
      <c r="C43" s="1242">
        <f>C41</f>
        <v>38734.5</v>
      </c>
      <c r="D43" s="1242">
        <f t="shared" ref="D43:D51" si="7">C43+F43</f>
        <v>38949.40716584566</v>
      </c>
      <c r="E43" s="1253">
        <f t="shared" ref="E43:E51" si="8">VLOOKUP(B43,$B$5:$I$22,7,0)</f>
        <v>5844</v>
      </c>
      <c r="F43" s="1254">
        <f t="shared" ref="F43:F51" si="9">E43/$H$24*$F$41</f>
        <v>214.90716584565988</v>
      </c>
      <c r="I43" s="1246"/>
    </row>
    <row r="44" spans="1:9">
      <c r="A44" s="1251"/>
      <c r="B44" s="1240" t="str">
        <f>B5</f>
        <v xml:space="preserve"> Merc:</v>
      </c>
      <c r="C44" s="1242">
        <f t="shared" ref="C44:C51" si="10">D43</f>
        <v>38949.40716584566</v>
      </c>
      <c r="D44" s="1242">
        <f t="shared" si="7"/>
        <v>39150.891827322106</v>
      </c>
      <c r="E44" s="1253">
        <f t="shared" si="8"/>
        <v>5479</v>
      </c>
      <c r="F44" s="1254">
        <f t="shared" si="9"/>
        <v>201.48466147644945</v>
      </c>
      <c r="I44" s="1246"/>
    </row>
    <row r="45" spans="1:9">
      <c r="A45" s="1251"/>
      <c r="B45" s="1240" t="str">
        <f>B6</f>
        <v xml:space="preserve"> Ket:</v>
      </c>
      <c r="C45" s="1242">
        <f t="shared" si="10"/>
        <v>39150.891827322106</v>
      </c>
      <c r="D45" s="1242">
        <f t="shared" si="7"/>
        <v>39191.196114414313</v>
      </c>
      <c r="E45" s="1253">
        <f t="shared" si="8"/>
        <v>1096</v>
      </c>
      <c r="F45" s="1254">
        <f t="shared" si="9"/>
        <v>40.304287092204525</v>
      </c>
      <c r="I45" s="1246"/>
    </row>
    <row r="46" spans="1:9">
      <c r="A46" s="1251"/>
      <c r="B46" s="1240" t="str">
        <f>B7</f>
        <v xml:space="preserve"> Sun:</v>
      </c>
      <c r="C46" s="1242">
        <f t="shared" si="10"/>
        <v>39191.196114414313</v>
      </c>
      <c r="D46" s="1242">
        <f t="shared" si="7"/>
        <v>39258.34541024494</v>
      </c>
      <c r="E46" s="1253">
        <f t="shared" si="8"/>
        <v>1826</v>
      </c>
      <c r="F46" s="1254">
        <f t="shared" si="9"/>
        <v>67.14929583062542</v>
      </c>
      <c r="I46" s="1246"/>
    </row>
    <row r="47" spans="1:9">
      <c r="A47" s="1251"/>
      <c r="B47" s="1240" t="str">
        <f>B8</f>
        <v xml:space="preserve"> Mars:</v>
      </c>
      <c r="C47" s="1242">
        <f t="shared" si="10"/>
        <v>39258.34541024494</v>
      </c>
      <c r="D47" s="1242">
        <f t="shared" si="7"/>
        <v>39298.649697337147</v>
      </c>
      <c r="E47" s="1253">
        <f t="shared" si="8"/>
        <v>1096</v>
      </c>
      <c r="F47" s="1254">
        <f t="shared" si="9"/>
        <v>40.304287092204525</v>
      </c>
      <c r="I47" s="1246"/>
    </row>
    <row r="48" spans="1:9">
      <c r="A48" s="1251"/>
      <c r="B48" s="1240" t="str">
        <f>B10</f>
        <v xml:space="preserve"> Ven:</v>
      </c>
      <c r="C48" s="1242">
        <f t="shared" si="10"/>
        <v>39298.649697337147</v>
      </c>
      <c r="D48" s="1242">
        <f t="shared" si="7"/>
        <v>39513.556863182806</v>
      </c>
      <c r="E48" s="1253">
        <f t="shared" si="8"/>
        <v>5844</v>
      </c>
      <c r="F48" s="1254">
        <f t="shared" si="9"/>
        <v>214.90716584565988</v>
      </c>
      <c r="I48" s="1246"/>
    </row>
    <row r="49" spans="1:9">
      <c r="A49" s="1251"/>
      <c r="B49" s="1240" t="str">
        <f>B11</f>
        <v xml:space="preserve"> Moon:</v>
      </c>
      <c r="C49" s="1242">
        <f t="shared" si="10"/>
        <v>39513.556863182806</v>
      </c>
      <c r="D49" s="1242">
        <f t="shared" si="7"/>
        <v>39540.438645905801</v>
      </c>
      <c r="E49" s="1253">
        <f t="shared" si="8"/>
        <v>731</v>
      </c>
      <c r="F49" s="1254">
        <f t="shared" si="9"/>
        <v>26.881782722994075</v>
      </c>
      <c r="I49" s="1246"/>
    </row>
    <row r="50" spans="1:9">
      <c r="A50" s="1251"/>
      <c r="B50" s="1240" t="str">
        <f>B12</f>
        <v xml:space="preserve"> Sat:</v>
      </c>
      <c r="C50" s="1242">
        <f t="shared" si="10"/>
        <v>39540.438645905801</v>
      </c>
      <c r="D50" s="1242">
        <f t="shared" si="7"/>
        <v>39674.737237567053</v>
      </c>
      <c r="E50" s="1253">
        <f t="shared" si="8"/>
        <v>3652</v>
      </c>
      <c r="F50" s="1254">
        <f t="shared" si="9"/>
        <v>134.29859166125084</v>
      </c>
      <c r="I50" s="1255" t="s">
        <v>5026</v>
      </c>
    </row>
    <row r="51" spans="1:9">
      <c r="A51" s="1251" t="s">
        <v>394</v>
      </c>
      <c r="B51" s="1240" t="str">
        <f>B13</f>
        <v xml:space="preserve"> Jup:</v>
      </c>
      <c r="C51" s="1242">
        <f t="shared" si="10"/>
        <v>39674.737237567053</v>
      </c>
      <c r="D51" s="1242">
        <f t="shared" si="7"/>
        <v>39876.221899043499</v>
      </c>
      <c r="E51" s="1253">
        <f t="shared" si="8"/>
        <v>5479</v>
      </c>
      <c r="F51" s="1254">
        <f t="shared" si="9"/>
        <v>201.48466147644945</v>
      </c>
      <c r="I51" s="1245"/>
    </row>
    <row r="52" spans="1:9">
      <c r="A52" s="1256"/>
      <c r="B52" s="1257"/>
      <c r="C52" s="1257"/>
      <c r="D52" s="1257"/>
      <c r="E52" s="1257"/>
      <c r="F52" s="1260"/>
      <c r="G52" s="1257"/>
      <c r="H52" s="1257">
        <f>SUM(F43:F51)</f>
        <v>1141.7218990434981</v>
      </c>
      <c r="I52" s="1246"/>
    </row>
    <row r="53" spans="1:9">
      <c r="A53" s="1247"/>
      <c r="B53" s="1249" t="s">
        <v>5028</v>
      </c>
      <c r="C53" s="1261"/>
      <c r="D53" s="1261"/>
      <c r="E53" s="1262"/>
      <c r="F53" s="1263"/>
      <c r="G53" s="1249"/>
      <c r="H53" s="1249"/>
      <c r="I53" s="1246"/>
    </row>
    <row r="54" spans="1:9">
      <c r="A54" s="1251"/>
      <c r="B54" s="1240" t="str">
        <f>VLOOKUP("&gt;",A43:D51,2,0)</f>
        <v xml:space="preserve"> Jup:</v>
      </c>
      <c r="C54" s="1265">
        <f>VLOOKUP("&gt;",A43:D51,4,0)</f>
        <v>39876.221899043499</v>
      </c>
      <c r="D54" s="1242" t="e">
        <f>VLOOKUP("&gt;",A43:D51,5,0)</f>
        <v>#REF!</v>
      </c>
      <c r="E54" s="1242"/>
      <c r="I54" s="1246"/>
    </row>
    <row r="55" spans="1:9">
      <c r="A55" s="1251"/>
      <c r="C55" s="1253"/>
      <c r="D55" s="1253"/>
      <c r="E55" s="1242"/>
      <c r="I55" s="1246"/>
    </row>
    <row r="56" spans="1:9">
      <c r="A56" s="1251"/>
      <c r="B56" s="1240" t="str">
        <f t="shared" ref="B56:B64" si="11">B5</f>
        <v xml:space="preserve"> Merc:</v>
      </c>
      <c r="C56" s="1253">
        <f t="shared" ref="C56:C64" si="12">VLOOKUP(B56,$B$5:$I$22,7,0)</f>
        <v>5479</v>
      </c>
      <c r="D56" s="1253">
        <f t="shared" ref="D56:D64" si="13">C56/$H$24*$C$54</f>
        <v>6955.3616383821263</v>
      </c>
      <c r="E56" s="1242" t="e">
        <f>D54</f>
        <v>#REF!</v>
      </c>
      <c r="F56" s="1241" t="e">
        <f t="shared" ref="F56:F64" si="14">E56+D56</f>
        <v>#REF!</v>
      </c>
      <c r="I56" s="1246"/>
    </row>
    <row r="57" spans="1:9">
      <c r="A57" s="1251"/>
      <c r="B57" s="1240" t="str">
        <f t="shared" si="11"/>
        <v xml:space="preserve"> Ket:</v>
      </c>
      <c r="C57" s="1253">
        <f t="shared" si="12"/>
        <v>1096</v>
      </c>
      <c r="D57" s="1253">
        <f t="shared" si="13"/>
        <v>1391.326219322287</v>
      </c>
      <c r="E57" s="1242" t="e">
        <f t="shared" ref="E57:E64" si="15">F56</f>
        <v>#REF!</v>
      </c>
      <c r="F57" s="1241" t="e">
        <f t="shared" si="14"/>
        <v>#REF!</v>
      </c>
      <c r="I57" s="1246"/>
    </row>
    <row r="58" spans="1:9">
      <c r="A58" s="1251"/>
      <c r="B58" s="1240" t="str">
        <f t="shared" si="11"/>
        <v xml:space="preserve"> Sun:</v>
      </c>
      <c r="C58" s="1253">
        <f t="shared" si="12"/>
        <v>1826</v>
      </c>
      <c r="D58" s="1253">
        <f t="shared" si="13"/>
        <v>2318.0307267176058</v>
      </c>
      <c r="E58" s="1242" t="e">
        <f t="shared" si="15"/>
        <v>#REF!</v>
      </c>
      <c r="F58" s="1241" t="e">
        <f t="shared" si="14"/>
        <v>#REF!</v>
      </c>
      <c r="I58" s="1246"/>
    </row>
    <row r="59" spans="1:9">
      <c r="A59" s="1251"/>
      <c r="B59" s="1240" t="str">
        <f t="shared" si="11"/>
        <v xml:space="preserve"> Mars:</v>
      </c>
      <c r="C59" s="1253">
        <f t="shared" si="12"/>
        <v>1096</v>
      </c>
      <c r="D59" s="1253">
        <f t="shared" si="13"/>
        <v>1391.326219322287</v>
      </c>
      <c r="E59" s="1242" t="e">
        <f t="shared" si="15"/>
        <v>#REF!</v>
      </c>
      <c r="F59" s="1241" t="e">
        <f t="shared" si="14"/>
        <v>#REF!</v>
      </c>
      <c r="I59" s="1246"/>
    </row>
    <row r="60" spans="1:9">
      <c r="A60" s="1251"/>
      <c r="B60" s="1240" t="str">
        <f t="shared" si="11"/>
        <v xml:space="preserve"> Rah:</v>
      </c>
      <c r="C60" s="1253">
        <f t="shared" si="12"/>
        <v>6209</v>
      </c>
      <c r="D60" s="1253">
        <f t="shared" si="13"/>
        <v>7882.0661457774449</v>
      </c>
      <c r="E60" s="1242" t="e">
        <f t="shared" si="15"/>
        <v>#REF!</v>
      </c>
      <c r="F60" s="1241" t="e">
        <f t="shared" si="14"/>
        <v>#REF!</v>
      </c>
      <c r="I60" s="1246"/>
    </row>
    <row r="61" spans="1:9">
      <c r="A61" s="1251"/>
      <c r="B61" s="1240" t="str">
        <f t="shared" si="11"/>
        <v xml:space="preserve"> Ven:</v>
      </c>
      <c r="C61" s="1253">
        <f t="shared" si="12"/>
        <v>5844</v>
      </c>
      <c r="D61" s="1253">
        <f t="shared" si="13"/>
        <v>7418.7138920797852</v>
      </c>
      <c r="E61" s="1242" t="e">
        <f t="shared" si="15"/>
        <v>#REF!</v>
      </c>
      <c r="F61" s="1241" t="e">
        <f t="shared" si="14"/>
        <v>#REF!</v>
      </c>
      <c r="I61" s="1246"/>
    </row>
    <row r="62" spans="1:9">
      <c r="A62" s="1251"/>
      <c r="B62" s="1240" t="str">
        <f t="shared" si="11"/>
        <v xml:space="preserve"> Moon:</v>
      </c>
      <c r="C62" s="1253">
        <f t="shared" si="12"/>
        <v>731</v>
      </c>
      <c r="D62" s="1253">
        <f t="shared" si="13"/>
        <v>927.97396562462745</v>
      </c>
      <c r="E62" s="1242" t="e">
        <f t="shared" si="15"/>
        <v>#REF!</v>
      </c>
      <c r="F62" s="1241" t="e">
        <f t="shared" si="14"/>
        <v>#REF!</v>
      </c>
      <c r="I62" s="1246"/>
    </row>
    <row r="63" spans="1:9">
      <c r="A63" s="1251"/>
      <c r="B63" s="1240" t="str">
        <f t="shared" si="11"/>
        <v xml:space="preserve"> Sat:</v>
      </c>
      <c r="C63" s="1253">
        <f t="shared" si="12"/>
        <v>3652</v>
      </c>
      <c r="D63" s="1253">
        <f t="shared" si="13"/>
        <v>4636.0614534352117</v>
      </c>
      <c r="E63" s="1242" t="e">
        <f t="shared" si="15"/>
        <v>#REF!</v>
      </c>
      <c r="F63" s="1241" t="e">
        <f t="shared" si="14"/>
        <v>#REF!</v>
      </c>
      <c r="I63" s="1255" t="s">
        <v>5026</v>
      </c>
    </row>
    <row r="64" spans="1:9">
      <c r="A64" s="1251" t="s">
        <v>394</v>
      </c>
      <c r="B64" s="1240" t="str">
        <f t="shared" si="11"/>
        <v xml:space="preserve"> Jup:</v>
      </c>
      <c r="C64" s="1253">
        <f t="shared" si="12"/>
        <v>5479</v>
      </c>
      <c r="D64" s="1253">
        <f t="shared" si="13"/>
        <v>6955.3616383821263</v>
      </c>
      <c r="E64" s="1242" t="e">
        <f t="shared" si="15"/>
        <v>#REF!</v>
      </c>
      <c r="F64" s="1241" t="e">
        <f t="shared" si="14"/>
        <v>#REF!</v>
      </c>
    </row>
    <row r="65" spans="1:15">
      <c r="A65" s="1256"/>
      <c r="B65" s="1257"/>
      <c r="C65" s="1257"/>
      <c r="D65" s="1257"/>
      <c r="E65" s="1257"/>
      <c r="F65" s="1260"/>
      <c r="G65" s="1257"/>
      <c r="H65" s="1257">
        <f>SUM(D56:D64)</f>
        <v>39876.221899043499</v>
      </c>
    </row>
    <row r="68" spans="1:15" ht="30">
      <c r="A68" s="126" t="s">
        <v>243</v>
      </c>
      <c r="B68" s="127" t="s">
        <v>5029</v>
      </c>
      <c r="C68" s="127" t="s">
        <v>5030</v>
      </c>
      <c r="D68" s="127" t="s">
        <v>5031</v>
      </c>
      <c r="E68" s="127" t="s">
        <v>5032</v>
      </c>
      <c r="F68" s="127" t="s">
        <v>5033</v>
      </c>
      <c r="G68" s="127" t="s">
        <v>5034</v>
      </c>
      <c r="H68" s="128" t="s">
        <v>5035</v>
      </c>
      <c r="I68" s="68" t="s">
        <v>5036</v>
      </c>
      <c r="J68" s="68" t="s">
        <v>5037</v>
      </c>
    </row>
    <row r="69" spans="1:15">
      <c r="A69" s="133">
        <v>1</v>
      </c>
      <c r="B69" t="s">
        <v>158</v>
      </c>
      <c r="C69" t="str">
        <f t="shared" ref="C69:C86" si="16">B71</f>
        <v>Mars</v>
      </c>
      <c r="D69" t="str">
        <f t="shared" ref="D69:D86" si="17">B72</f>
        <v>Merc</v>
      </c>
      <c r="E69" t="str">
        <f t="shared" ref="E69:E86" si="18">B73</f>
        <v>Jup</v>
      </c>
      <c r="F69" t="str">
        <f t="shared" ref="F69:F86" si="19">B74</f>
        <v>Ven</v>
      </c>
      <c r="G69" t="str">
        <f t="shared" ref="G69:G86" si="20">B76</f>
        <v>Rah</v>
      </c>
      <c r="H69" s="132" t="str">
        <f t="shared" ref="H69:H86" si="21">B77</f>
        <v>Ketu</v>
      </c>
      <c r="I69" t="str">
        <f t="shared" ref="I69:I86" si="22">D69&amp;"+"&amp;H69</f>
        <v>Merc+Ketu</v>
      </c>
      <c r="J69" t="str">
        <f t="shared" ref="J69:J86" si="23">E69&amp;"+"&amp;G69</f>
        <v>Jup+Rah</v>
      </c>
      <c r="M69" s="126">
        <v>1</v>
      </c>
      <c r="N69" s="128" t="s">
        <v>158</v>
      </c>
    </row>
    <row r="70" spans="1:15">
      <c r="A70" s="133">
        <v>2</v>
      </c>
      <c r="B70" t="s">
        <v>159</v>
      </c>
      <c r="C70" t="str">
        <f t="shared" si="16"/>
        <v>Merc</v>
      </c>
      <c r="D70" t="str">
        <f t="shared" si="17"/>
        <v>Jup</v>
      </c>
      <c r="E70" t="str">
        <f t="shared" si="18"/>
        <v>Ven</v>
      </c>
      <c r="F70" t="str">
        <f t="shared" si="19"/>
        <v>Sat</v>
      </c>
      <c r="G70" t="str">
        <f t="shared" si="20"/>
        <v>Ketu</v>
      </c>
      <c r="H70" s="132" t="str">
        <f t="shared" si="21"/>
        <v>Sun</v>
      </c>
      <c r="I70" t="str">
        <f t="shared" si="22"/>
        <v>Jup+Sun</v>
      </c>
      <c r="J70" t="str">
        <f t="shared" si="23"/>
        <v>Ven+Ketu</v>
      </c>
      <c r="M70" s="133">
        <v>2</v>
      </c>
      <c r="N70" s="132" t="s">
        <v>159</v>
      </c>
    </row>
    <row r="71" spans="1:15">
      <c r="A71" s="133">
        <v>3</v>
      </c>
      <c r="B71" t="s">
        <v>160</v>
      </c>
      <c r="C71" t="str">
        <f t="shared" si="16"/>
        <v>Jup</v>
      </c>
      <c r="D71" t="str">
        <f t="shared" si="17"/>
        <v>Ven</v>
      </c>
      <c r="E71" t="str">
        <f t="shared" si="18"/>
        <v>Sat</v>
      </c>
      <c r="F71" t="str">
        <f t="shared" si="19"/>
        <v>Rah</v>
      </c>
      <c r="G71" t="str">
        <f t="shared" si="20"/>
        <v>Sun</v>
      </c>
      <c r="H71" s="132" t="str">
        <f t="shared" si="21"/>
        <v>Moon</v>
      </c>
      <c r="I71" t="str">
        <f t="shared" si="22"/>
        <v>Ven+Moon</v>
      </c>
      <c r="J71" t="str">
        <f t="shared" si="23"/>
        <v>Sat+Sun</v>
      </c>
      <c r="M71" s="141">
        <v>3</v>
      </c>
      <c r="N71" s="143" t="s">
        <v>5038</v>
      </c>
      <c r="O71" s="1240" t="s">
        <v>5039</v>
      </c>
    </row>
    <row r="72" spans="1:15">
      <c r="A72" s="133">
        <v>4</v>
      </c>
      <c r="B72" t="s">
        <v>800</v>
      </c>
      <c r="C72" t="str">
        <f t="shared" si="16"/>
        <v>Ven</v>
      </c>
      <c r="D72" t="str">
        <f t="shared" si="17"/>
        <v>Sat</v>
      </c>
      <c r="E72" t="str">
        <f t="shared" si="18"/>
        <v>Rah</v>
      </c>
      <c r="F72" t="str">
        <f t="shared" si="19"/>
        <v>Ketu</v>
      </c>
      <c r="G72" t="str">
        <f t="shared" si="20"/>
        <v>Moon</v>
      </c>
      <c r="H72" s="132" t="str">
        <f t="shared" si="21"/>
        <v>Mars</v>
      </c>
      <c r="I72" t="str">
        <f t="shared" si="22"/>
        <v>Sat+Mars</v>
      </c>
      <c r="J72" t="str">
        <f t="shared" si="23"/>
        <v>Rah+Moon</v>
      </c>
      <c r="L72" s="1240" t="s">
        <v>5040</v>
      </c>
      <c r="M72" s="126">
        <v>4</v>
      </c>
      <c r="N72" s="128" t="s">
        <v>5041</v>
      </c>
    </row>
    <row r="73" spans="1:15">
      <c r="A73" s="133">
        <v>5</v>
      </c>
      <c r="B73" t="s">
        <v>801</v>
      </c>
      <c r="C73" t="str">
        <f t="shared" si="16"/>
        <v>Sat</v>
      </c>
      <c r="D73" t="str">
        <f t="shared" si="17"/>
        <v>Rah</v>
      </c>
      <c r="E73" t="str">
        <f t="shared" si="18"/>
        <v>Ketu</v>
      </c>
      <c r="F73" t="str">
        <f t="shared" si="19"/>
        <v>Sun</v>
      </c>
      <c r="G73" t="str">
        <f t="shared" si="20"/>
        <v>Mars</v>
      </c>
      <c r="H73" s="132" t="str">
        <f t="shared" si="21"/>
        <v>Merc</v>
      </c>
      <c r="I73" t="str">
        <f t="shared" si="22"/>
        <v>Rah+Merc</v>
      </c>
      <c r="J73" t="str">
        <f t="shared" si="23"/>
        <v>Ketu+Mars</v>
      </c>
      <c r="M73" s="133">
        <v>5</v>
      </c>
      <c r="N73" s="132" t="s">
        <v>800</v>
      </c>
    </row>
    <row r="74" spans="1:15">
      <c r="A74" s="133">
        <v>6</v>
      </c>
      <c r="B74" t="s">
        <v>802</v>
      </c>
      <c r="C74" t="str">
        <f t="shared" si="16"/>
        <v>Rah</v>
      </c>
      <c r="D74" t="str">
        <f t="shared" si="17"/>
        <v>Ketu</v>
      </c>
      <c r="E74" t="str">
        <f t="shared" si="18"/>
        <v>Sun</v>
      </c>
      <c r="F74" t="str">
        <f t="shared" si="19"/>
        <v>Moon</v>
      </c>
      <c r="G74" t="str">
        <f t="shared" si="20"/>
        <v>Merc</v>
      </c>
      <c r="H74" s="132" t="str">
        <f t="shared" si="21"/>
        <v>Jup</v>
      </c>
      <c r="I74" t="str">
        <f t="shared" si="22"/>
        <v>Ketu+Jup</v>
      </c>
      <c r="J74" t="str">
        <f t="shared" si="23"/>
        <v>Sun+Merc</v>
      </c>
      <c r="M74" s="141">
        <v>6</v>
      </c>
      <c r="N74" s="143" t="s">
        <v>5042</v>
      </c>
      <c r="O74" s="1240" t="s">
        <v>5043</v>
      </c>
    </row>
    <row r="75" spans="1:15">
      <c r="A75" s="133">
        <v>7</v>
      </c>
      <c r="B75" t="s">
        <v>462</v>
      </c>
      <c r="C75" t="str">
        <f t="shared" si="16"/>
        <v>Ketu</v>
      </c>
      <c r="D75" t="str">
        <f t="shared" si="17"/>
        <v>Sun</v>
      </c>
      <c r="E75" t="str">
        <f t="shared" si="18"/>
        <v>Moon</v>
      </c>
      <c r="F75" t="str">
        <f t="shared" si="19"/>
        <v>Mars</v>
      </c>
      <c r="G75" t="str">
        <f t="shared" si="20"/>
        <v>Jup</v>
      </c>
      <c r="H75" s="132" t="str">
        <f t="shared" si="21"/>
        <v>Ven</v>
      </c>
      <c r="I75" t="str">
        <f t="shared" si="22"/>
        <v>Sun+Ven</v>
      </c>
      <c r="J75" t="str">
        <f t="shared" si="23"/>
        <v>Moon+Jup</v>
      </c>
      <c r="L75" s="1240" t="s">
        <v>5044</v>
      </c>
      <c r="M75" s="126">
        <v>7</v>
      </c>
      <c r="N75" s="128" t="s">
        <v>166</v>
      </c>
    </row>
    <row r="76" spans="1:15">
      <c r="A76" s="133">
        <v>8</v>
      </c>
      <c r="B76" t="s">
        <v>5041</v>
      </c>
      <c r="C76" t="str">
        <f t="shared" si="16"/>
        <v>Sun</v>
      </c>
      <c r="D76" t="str">
        <f t="shared" si="17"/>
        <v>Moon</v>
      </c>
      <c r="E76" t="str">
        <f t="shared" si="18"/>
        <v>Mars</v>
      </c>
      <c r="F76" t="str">
        <f t="shared" si="19"/>
        <v>Merc</v>
      </c>
      <c r="G76" t="str">
        <f t="shared" si="20"/>
        <v>Ven</v>
      </c>
      <c r="H76" s="132" t="str">
        <f t="shared" si="21"/>
        <v>Sat</v>
      </c>
      <c r="I76" t="str">
        <f t="shared" si="22"/>
        <v>Moon+Sat</v>
      </c>
      <c r="J76" t="str">
        <f t="shared" si="23"/>
        <v>Mars+Ven</v>
      </c>
      <c r="M76" s="133">
        <v>8</v>
      </c>
      <c r="N76" s="132" t="s">
        <v>164</v>
      </c>
      <c r="O76" s="1240" t="s">
        <v>5045</v>
      </c>
    </row>
    <row r="77" spans="1:15">
      <c r="A77" s="141">
        <v>9</v>
      </c>
      <c r="B77" s="142" t="s">
        <v>166</v>
      </c>
      <c r="C77" s="142" t="str">
        <f t="shared" si="16"/>
        <v>Moon</v>
      </c>
      <c r="D77" s="142" t="str">
        <f t="shared" si="17"/>
        <v>Mars</v>
      </c>
      <c r="E77" s="142" t="str">
        <f t="shared" si="18"/>
        <v>Merc</v>
      </c>
      <c r="F77" s="142" t="str">
        <f t="shared" si="19"/>
        <v>Jup</v>
      </c>
      <c r="G77" s="142" t="str">
        <f t="shared" si="20"/>
        <v>Sat</v>
      </c>
      <c r="H77" s="143" t="str">
        <f t="shared" si="21"/>
        <v>Rah</v>
      </c>
      <c r="I77" t="str">
        <f t="shared" si="22"/>
        <v>Mars+Rah</v>
      </c>
      <c r="J77" t="str">
        <f t="shared" si="23"/>
        <v>Merc+Sat</v>
      </c>
      <c r="M77" s="141">
        <v>9</v>
      </c>
      <c r="N77" s="143" t="s">
        <v>160</v>
      </c>
    </row>
    <row r="78" spans="1:15">
      <c r="A78" s="1240">
        <v>10</v>
      </c>
      <c r="B78" s="1240" t="s">
        <v>158</v>
      </c>
      <c r="C78" s="1240" t="str">
        <f t="shared" si="16"/>
        <v>Mars</v>
      </c>
      <c r="D78" s="1240" t="str">
        <f t="shared" si="17"/>
        <v>Merc</v>
      </c>
      <c r="E78" t="str">
        <f t="shared" si="18"/>
        <v>Jup</v>
      </c>
      <c r="F78" t="str">
        <f t="shared" si="19"/>
        <v>Ven</v>
      </c>
      <c r="G78" s="1240" t="str">
        <f t="shared" si="20"/>
        <v>Rah</v>
      </c>
      <c r="H78" s="1240" t="str">
        <f t="shared" si="21"/>
        <v>Ketu</v>
      </c>
      <c r="I78" t="str">
        <f t="shared" si="22"/>
        <v>Merc+Ketu</v>
      </c>
      <c r="J78" t="str">
        <f t="shared" si="23"/>
        <v>Jup+Rah</v>
      </c>
    </row>
    <row r="79" spans="1:15">
      <c r="A79" s="1240">
        <v>11</v>
      </c>
      <c r="B79" s="1240" t="s">
        <v>159</v>
      </c>
      <c r="C79" s="1240" t="str">
        <f t="shared" si="16"/>
        <v>Merc</v>
      </c>
      <c r="D79" s="1240" t="str">
        <f t="shared" si="17"/>
        <v>Jup</v>
      </c>
      <c r="E79" t="str">
        <f t="shared" si="18"/>
        <v>Ven</v>
      </c>
      <c r="F79" t="str">
        <f t="shared" si="19"/>
        <v>Sat</v>
      </c>
      <c r="G79" s="1240" t="str">
        <f t="shared" si="20"/>
        <v>Ketu</v>
      </c>
      <c r="H79" s="1240">
        <f t="shared" si="21"/>
        <v>0</v>
      </c>
      <c r="I79" t="str">
        <f t="shared" si="22"/>
        <v>Jup+0</v>
      </c>
      <c r="J79" t="str">
        <f t="shared" si="23"/>
        <v>Ven+Ketu</v>
      </c>
    </row>
    <row r="80" spans="1:15">
      <c r="A80" s="1240">
        <v>12</v>
      </c>
      <c r="B80" s="1240" t="s">
        <v>160</v>
      </c>
      <c r="C80" s="1240" t="str">
        <f t="shared" si="16"/>
        <v>Jup</v>
      </c>
      <c r="D80" s="1240" t="str">
        <f t="shared" si="17"/>
        <v>Ven</v>
      </c>
      <c r="E80" t="str">
        <f t="shared" si="18"/>
        <v>Sat</v>
      </c>
      <c r="F80" t="str">
        <f t="shared" si="19"/>
        <v>Rah</v>
      </c>
      <c r="G80" s="1240">
        <f t="shared" si="20"/>
        <v>0</v>
      </c>
      <c r="H80" s="1240">
        <f t="shared" si="21"/>
        <v>0</v>
      </c>
      <c r="I80" t="str">
        <f t="shared" si="22"/>
        <v>Ven+0</v>
      </c>
      <c r="J80" t="str">
        <f t="shared" si="23"/>
        <v>Sat+0</v>
      </c>
    </row>
    <row r="81" spans="1:10">
      <c r="A81" s="1240">
        <v>13</v>
      </c>
      <c r="B81" s="1240" t="s">
        <v>800</v>
      </c>
      <c r="C81" s="1240" t="str">
        <f t="shared" si="16"/>
        <v>Ven</v>
      </c>
      <c r="D81" s="1240" t="str">
        <f t="shared" si="17"/>
        <v>Sat</v>
      </c>
      <c r="E81" t="str">
        <f t="shared" si="18"/>
        <v>Rah</v>
      </c>
      <c r="F81" t="str">
        <f t="shared" si="19"/>
        <v>Ketu</v>
      </c>
      <c r="G81" s="1240">
        <f t="shared" si="20"/>
        <v>0</v>
      </c>
      <c r="H81" s="1240">
        <f t="shared" si="21"/>
        <v>0</v>
      </c>
      <c r="I81" t="str">
        <f t="shared" si="22"/>
        <v>Sat+0</v>
      </c>
      <c r="J81" t="str">
        <f t="shared" si="23"/>
        <v>Rah+0</v>
      </c>
    </row>
    <row r="82" spans="1:10">
      <c r="A82" s="1240">
        <v>14</v>
      </c>
      <c r="B82" s="1240" t="s">
        <v>801</v>
      </c>
      <c r="C82" s="1240" t="str">
        <f t="shared" si="16"/>
        <v>Sat</v>
      </c>
      <c r="D82" s="1240" t="str">
        <f t="shared" si="17"/>
        <v>Rah</v>
      </c>
      <c r="E82" t="str">
        <f t="shared" si="18"/>
        <v>Ketu</v>
      </c>
      <c r="F82">
        <f t="shared" si="19"/>
        <v>0</v>
      </c>
      <c r="G82" s="1240">
        <f t="shared" si="20"/>
        <v>0</v>
      </c>
      <c r="H82" s="1240">
        <f t="shared" si="21"/>
        <v>0</v>
      </c>
      <c r="I82" t="str">
        <f t="shared" si="22"/>
        <v>Rah+0</v>
      </c>
      <c r="J82" t="str">
        <f t="shared" si="23"/>
        <v>Ketu+0</v>
      </c>
    </row>
    <row r="83" spans="1:10">
      <c r="A83" s="1240">
        <v>15</v>
      </c>
      <c r="B83" s="1240" t="s">
        <v>802</v>
      </c>
      <c r="C83" s="1240" t="str">
        <f t="shared" si="16"/>
        <v>Rah</v>
      </c>
      <c r="D83" s="1240" t="str">
        <f t="shared" si="17"/>
        <v>Ketu</v>
      </c>
      <c r="E83">
        <f t="shared" si="18"/>
        <v>0</v>
      </c>
      <c r="F83">
        <f t="shared" si="19"/>
        <v>0</v>
      </c>
      <c r="G83" s="1240">
        <f t="shared" si="20"/>
        <v>0</v>
      </c>
      <c r="H83" s="1240">
        <f t="shared" si="21"/>
        <v>0</v>
      </c>
      <c r="I83" t="str">
        <f t="shared" si="22"/>
        <v>Ketu+0</v>
      </c>
      <c r="J83" t="str">
        <f t="shared" si="23"/>
        <v>0+0</v>
      </c>
    </row>
    <row r="84" spans="1:10">
      <c r="A84" s="1240">
        <v>16</v>
      </c>
      <c r="B84" s="1240" t="s">
        <v>462</v>
      </c>
      <c r="C84" s="1240" t="str">
        <f t="shared" si="16"/>
        <v>Ketu</v>
      </c>
      <c r="D84" s="1240">
        <f t="shared" si="17"/>
        <v>0</v>
      </c>
      <c r="E84">
        <f t="shared" si="18"/>
        <v>0</v>
      </c>
      <c r="F84">
        <f t="shared" si="19"/>
        <v>0</v>
      </c>
      <c r="G84" s="1240">
        <f t="shared" si="20"/>
        <v>0</v>
      </c>
      <c r="H84" s="1240">
        <f t="shared" si="21"/>
        <v>0</v>
      </c>
      <c r="I84" t="str">
        <f t="shared" si="22"/>
        <v>0+0</v>
      </c>
      <c r="J84" t="str">
        <f t="shared" si="23"/>
        <v>0+0</v>
      </c>
    </row>
    <row r="85" spans="1:10">
      <c r="A85" s="1240">
        <v>17</v>
      </c>
      <c r="B85" s="1240" t="s">
        <v>5041</v>
      </c>
      <c r="C85" s="1240">
        <f t="shared" si="16"/>
        <v>0</v>
      </c>
      <c r="D85" s="1240">
        <f t="shared" si="17"/>
        <v>0</v>
      </c>
      <c r="E85">
        <f t="shared" si="18"/>
        <v>0</v>
      </c>
      <c r="F85">
        <f t="shared" si="19"/>
        <v>0</v>
      </c>
      <c r="G85" s="1240">
        <f t="shared" si="20"/>
        <v>0</v>
      </c>
      <c r="H85" s="1240">
        <f t="shared" si="21"/>
        <v>0</v>
      </c>
      <c r="I85" t="str">
        <f t="shared" si="22"/>
        <v>0+0</v>
      </c>
      <c r="J85" t="str">
        <f t="shared" si="23"/>
        <v>0+0</v>
      </c>
    </row>
    <row r="86" spans="1:10">
      <c r="A86" s="1240">
        <v>18</v>
      </c>
      <c r="B86" s="1240" t="s">
        <v>166</v>
      </c>
      <c r="C86" s="1240">
        <f t="shared" si="16"/>
        <v>0</v>
      </c>
      <c r="D86" s="1240">
        <f t="shared" si="17"/>
        <v>0</v>
      </c>
      <c r="E86">
        <f t="shared" si="18"/>
        <v>0</v>
      </c>
      <c r="F86">
        <f t="shared" si="19"/>
        <v>0</v>
      </c>
      <c r="G86" s="1240">
        <f t="shared" si="20"/>
        <v>0</v>
      </c>
      <c r="H86" s="1240">
        <f t="shared" si="21"/>
        <v>0</v>
      </c>
      <c r="I86" t="str">
        <f t="shared" si="22"/>
        <v>0+0</v>
      </c>
      <c r="J86" t="str">
        <f t="shared" si="23"/>
        <v>0+0</v>
      </c>
    </row>
  </sheetData>
  <mergeCells count="1">
    <mergeCell ref="B1:E1"/>
  </mergeCells>
  <pageMargins left="0.78749999999999998" right="0.78749999999999998" top="1.0249999999999999" bottom="1.0249999999999999" header="0.78749999999999998" footer="0.78749999999999998"/>
  <pageSetup paperSize="9" orientation="portrait" horizontalDpi="300" verticalDpi="300"/>
  <headerFooter>
    <oddHeader>&amp;C&amp;"Arial,Regular"&amp;10&amp;A</oddHeader>
    <oddFooter>&amp;C&amp;"Arial,Regular"&amp;10Page &amp;P</oddFooter>
  </headerFooter>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J10"/>
  <sheetViews>
    <sheetView topLeftCell="A7" zoomScaleNormal="100" workbookViewId="0">
      <selection activeCell="A8" sqref="A8"/>
    </sheetView>
  </sheetViews>
  <sheetFormatPr defaultColWidth="9.140625" defaultRowHeight="18"/>
  <cols>
    <col min="1" max="1" width="2" style="1240" customWidth="1"/>
    <col min="2" max="3" width="9.140625" style="1240"/>
    <col min="4" max="4" width="74.5703125" style="1266" customWidth="1"/>
    <col min="5" max="5" width="53.28515625" style="1240" customWidth="1"/>
    <col min="6" max="6" width="33" style="1240" customWidth="1"/>
    <col min="7" max="1024" width="9.140625" style="1240"/>
  </cols>
  <sheetData>
    <row r="1" spans="1:5">
      <c r="A1" s="1240" t="s">
        <v>243</v>
      </c>
      <c r="B1" s="1267" t="s">
        <v>5046</v>
      </c>
      <c r="C1" s="1240" t="s">
        <v>2143</v>
      </c>
      <c r="D1" s="1266" t="s">
        <v>5047</v>
      </c>
      <c r="E1" s="1240" t="s">
        <v>880</v>
      </c>
    </row>
    <row r="2" spans="1:5" ht="72">
      <c r="A2" s="1240">
        <v>1</v>
      </c>
      <c r="B2" s="1267" t="s">
        <v>5048</v>
      </c>
      <c r="C2" s="1240" t="s">
        <v>5049</v>
      </c>
      <c r="D2" s="1268" t="s">
        <v>5050</v>
      </c>
      <c r="E2" s="1269" t="s">
        <v>5051</v>
      </c>
    </row>
    <row r="3" spans="1:5" ht="72">
      <c r="A3" s="1240">
        <v>2</v>
      </c>
      <c r="B3" s="1267" t="s">
        <v>5052</v>
      </c>
      <c r="C3" s="1240" t="s">
        <v>5053</v>
      </c>
      <c r="D3" s="1268" t="s">
        <v>5054</v>
      </c>
      <c r="E3" s="1270" t="s">
        <v>5055</v>
      </c>
    </row>
    <row r="4" spans="1:5" ht="72">
      <c r="A4" s="1240">
        <v>3</v>
      </c>
      <c r="B4" s="1267" t="s">
        <v>5056</v>
      </c>
      <c r="C4" s="1240" t="s">
        <v>1669</v>
      </c>
      <c r="D4" s="1268" t="s">
        <v>5057</v>
      </c>
      <c r="E4" s="1267" t="s">
        <v>5058</v>
      </c>
    </row>
    <row r="5" spans="1:5" ht="72">
      <c r="A5" s="1240">
        <v>4</v>
      </c>
      <c r="B5" s="1267" t="s">
        <v>5059</v>
      </c>
      <c r="C5" s="1240" t="s">
        <v>5060</v>
      </c>
      <c r="D5" s="1268" t="s">
        <v>5061</v>
      </c>
      <c r="E5" s="1267" t="s">
        <v>5062</v>
      </c>
    </row>
    <row r="6" spans="1:5" ht="108">
      <c r="A6" s="1240">
        <v>5</v>
      </c>
      <c r="B6" s="1267" t="s">
        <v>5063</v>
      </c>
      <c r="C6" s="1240" t="s">
        <v>5064</v>
      </c>
      <c r="D6" s="1268" t="s">
        <v>5065</v>
      </c>
      <c r="E6" s="1267" t="s">
        <v>5066</v>
      </c>
    </row>
    <row r="7" spans="1:5" ht="54">
      <c r="A7" s="1240">
        <v>6</v>
      </c>
      <c r="D7" s="1268" t="s">
        <v>5067</v>
      </c>
    </row>
    <row r="8" spans="1:5">
      <c r="D8" s="1266" t="s">
        <v>5068</v>
      </c>
    </row>
    <row r="9" spans="1:5">
      <c r="D9" s="1266" t="s">
        <v>5069</v>
      </c>
    </row>
    <row r="10" spans="1:5">
      <c r="D10" s="1266" t="s">
        <v>5070</v>
      </c>
    </row>
  </sheetData>
  <pageMargins left="0.7" right="0.7" top="0.75" bottom="0.75" header="0.511811023622047" footer="0.511811023622047"/>
  <pageSetup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J46"/>
  <sheetViews>
    <sheetView topLeftCell="C1" zoomScaleNormal="100" workbookViewId="0">
      <pane ySplit="3" topLeftCell="A23" activePane="bottomLeft" state="frozen"/>
      <selection activeCell="C1" sqref="C1"/>
      <selection pane="bottomLeft" activeCell="P24" sqref="P24"/>
    </sheetView>
  </sheetViews>
  <sheetFormatPr defaultColWidth="9.140625" defaultRowHeight="15"/>
  <cols>
    <col min="1" max="1" width="12.28515625" style="1271" customWidth="1"/>
    <col min="2" max="2" width="8.7109375" style="1271" customWidth="1"/>
    <col min="3" max="3" width="11.85546875" style="1271" customWidth="1"/>
    <col min="4" max="4" width="11.140625" style="1271" customWidth="1"/>
    <col min="5" max="5" width="10.7109375" style="1271" customWidth="1"/>
    <col min="6" max="6" width="11.28515625" style="1271" customWidth="1"/>
    <col min="7" max="7" width="7.7109375" style="1271" customWidth="1"/>
    <col min="8" max="8" width="3" style="1271" customWidth="1"/>
    <col min="9" max="9" width="8.7109375" style="1271" customWidth="1"/>
    <col min="10" max="14" width="6.28515625" style="1271" customWidth="1"/>
    <col min="15" max="15" width="11.28515625" style="1271" customWidth="1"/>
    <col min="16" max="17" width="8.7109375" style="1271" customWidth="1"/>
    <col min="18" max="21" width="6.28515625" style="1271" customWidth="1"/>
    <col min="22" max="22" width="4.42578125" style="1271" customWidth="1"/>
    <col min="23" max="23" width="6.28515625" style="1271" customWidth="1"/>
    <col min="24" max="24" width="8.7109375" style="1271" customWidth="1"/>
    <col min="25" max="29" width="6.28515625" style="1271" customWidth="1"/>
    <col min="30" max="1024" width="9.140625" style="1271"/>
  </cols>
  <sheetData>
    <row r="1" spans="1:29">
      <c r="A1" s="1271" t="s">
        <v>4094</v>
      </c>
      <c r="B1" s="1272">
        <v>0.247094907407407</v>
      </c>
      <c r="C1" s="1271" t="s">
        <v>4908</v>
      </c>
      <c r="D1" s="1272">
        <v>0.77440972222222204</v>
      </c>
      <c r="E1" s="1271" t="s">
        <v>5071</v>
      </c>
      <c r="F1" s="1272">
        <f>(D1-B1)/5</f>
        <v>0.10546296296296301</v>
      </c>
      <c r="G1" s="1273" t="s">
        <v>5072</v>
      </c>
      <c r="I1" s="1272">
        <f>(1-(D1-B1))/5</f>
        <v>9.4537037037037003E-2</v>
      </c>
    </row>
    <row r="2" spans="1:29">
      <c r="A2" s="1274"/>
      <c r="B2" s="1275"/>
      <c r="C2" s="1403" t="s">
        <v>5073</v>
      </c>
      <c r="D2" s="1403"/>
      <c r="E2" s="1403"/>
      <c r="F2" s="1403"/>
      <c r="G2" s="1403"/>
      <c r="I2" s="1403" t="s">
        <v>5074</v>
      </c>
      <c r="J2" s="1403"/>
      <c r="K2" s="1403"/>
      <c r="L2" s="1403"/>
      <c r="M2" s="1403"/>
      <c r="N2" s="1275"/>
      <c r="P2" s="1276"/>
      <c r="Q2" s="1403" t="s">
        <v>5075</v>
      </c>
      <c r="R2" s="1403"/>
      <c r="S2" s="1403"/>
      <c r="T2" s="1403"/>
      <c r="U2" s="1403"/>
      <c r="V2" s="1275"/>
      <c r="W2" s="1403" t="s">
        <v>5076</v>
      </c>
      <c r="X2" s="1403"/>
      <c r="Y2" s="1403"/>
      <c r="Z2" s="1403"/>
      <c r="AA2" s="1403"/>
      <c r="AB2" s="1275"/>
      <c r="AC2" s="1275"/>
    </row>
    <row r="3" spans="1:29">
      <c r="A3" s="1277" t="s">
        <v>5077</v>
      </c>
      <c r="B3" s="1271" t="s">
        <v>5078</v>
      </c>
      <c r="C3" s="1278">
        <f>$B$1</f>
        <v>0.247094907407407</v>
      </c>
      <c r="D3" s="1278">
        <f>C3+$F$1</f>
        <v>0.35255787037037001</v>
      </c>
      <c r="E3" s="1278">
        <f>D3+$F$1</f>
        <v>0.45802083333333299</v>
      </c>
      <c r="F3" s="1278">
        <f>E3+$F$1</f>
        <v>0.56348379629629597</v>
      </c>
      <c r="G3" s="1278">
        <f>F3+$F$1</f>
        <v>0.66894675925925895</v>
      </c>
      <c r="I3" s="1278">
        <f>G3+$F$1</f>
        <v>0.77440972222222193</v>
      </c>
      <c r="J3" s="1278">
        <f>I3+$I$1</f>
        <v>0.86894675925925891</v>
      </c>
      <c r="K3" s="1278">
        <f>J3+$I$1</f>
        <v>0.96348379629629588</v>
      </c>
      <c r="L3" s="1278">
        <f>K3+$I$1</f>
        <v>1.058020833333333</v>
      </c>
      <c r="M3" s="1278">
        <f>L3+$I$1</f>
        <v>1.1525578703703701</v>
      </c>
      <c r="N3" s="1278"/>
      <c r="O3" s="1279" t="s">
        <v>5079</v>
      </c>
      <c r="P3" s="1278" t="s">
        <v>5078</v>
      </c>
      <c r="Q3" s="1278">
        <f>$B$1</f>
        <v>0.247094907407407</v>
      </c>
      <c r="R3" s="1278">
        <f>Q3+$F$1</f>
        <v>0.35255787037037001</v>
      </c>
      <c r="S3" s="1278">
        <f>R3+$F$1</f>
        <v>0.45802083333333299</v>
      </c>
      <c r="T3" s="1278">
        <f>S3+$F$1</f>
        <v>0.56348379629629597</v>
      </c>
      <c r="U3" s="1278">
        <f>T3+$F$1</f>
        <v>0.66894675925925895</v>
      </c>
      <c r="W3" s="1278">
        <f>U3+$F$1</f>
        <v>0.77440972222222193</v>
      </c>
      <c r="X3" s="1278">
        <f>W3+$I$1</f>
        <v>0.86894675925925891</v>
      </c>
      <c r="Y3" s="1278">
        <f>X3+$I$1</f>
        <v>0.96348379629629588</v>
      </c>
      <c r="Z3" s="1278">
        <f>Y3+$I$1</f>
        <v>1.058020833333333</v>
      </c>
      <c r="AA3" s="1278">
        <f>Z3+$I$1</f>
        <v>1.1525578703703701</v>
      </c>
    </row>
    <row r="4" spans="1:29" ht="15" customHeight="1">
      <c r="A4" s="1404" t="s">
        <v>5080</v>
      </c>
      <c r="B4" s="1280" t="s">
        <v>5081</v>
      </c>
      <c r="C4" s="1281" t="s">
        <v>5082</v>
      </c>
      <c r="D4" s="1281" t="s">
        <v>5083</v>
      </c>
      <c r="E4" s="1281" t="s">
        <v>5084</v>
      </c>
      <c r="F4" s="1281" t="s">
        <v>5085</v>
      </c>
      <c r="G4" s="1282" t="s">
        <v>4342</v>
      </c>
      <c r="I4" s="1283" t="s">
        <v>4342</v>
      </c>
      <c r="J4" s="1281" t="s">
        <v>5084</v>
      </c>
      <c r="K4" s="1281" t="s">
        <v>5082</v>
      </c>
      <c r="L4" s="1281" t="s">
        <v>5085</v>
      </c>
      <c r="M4" s="1282" t="s">
        <v>5083</v>
      </c>
      <c r="O4" s="1404" t="s">
        <v>5080</v>
      </c>
      <c r="P4" s="1284" t="s">
        <v>1497</v>
      </c>
      <c r="Q4" s="1281" t="s">
        <v>5082</v>
      </c>
      <c r="R4" s="1281" t="s">
        <v>5083</v>
      </c>
      <c r="S4" s="1281" t="s">
        <v>4342</v>
      </c>
      <c r="T4" s="1281" t="s">
        <v>5085</v>
      </c>
      <c r="U4" s="1282" t="s">
        <v>5084</v>
      </c>
      <c r="V4" s="1405"/>
      <c r="W4" s="1283" t="s">
        <v>5083</v>
      </c>
      <c r="X4" s="1281" t="s">
        <v>5082</v>
      </c>
      <c r="Y4" s="1281" t="s">
        <v>5084</v>
      </c>
      <c r="Z4" s="1281" t="s">
        <v>5085</v>
      </c>
      <c r="AA4" s="1282" t="s">
        <v>4342</v>
      </c>
    </row>
    <row r="5" spans="1:29">
      <c r="A5" s="1404"/>
      <c r="B5" s="1279" t="s">
        <v>1701</v>
      </c>
      <c r="C5" s="1271" t="s">
        <v>5083</v>
      </c>
      <c r="D5" s="1271" t="s">
        <v>5084</v>
      </c>
      <c r="E5" s="1271" t="s">
        <v>5085</v>
      </c>
      <c r="F5" s="1271" t="s">
        <v>4342</v>
      </c>
      <c r="G5" s="1285" t="s">
        <v>5082</v>
      </c>
      <c r="I5" s="1286" t="s">
        <v>5083</v>
      </c>
      <c r="J5" s="1271" t="s">
        <v>4342</v>
      </c>
      <c r="K5" s="1271" t="s">
        <v>5084</v>
      </c>
      <c r="L5" s="1271" t="s">
        <v>5082</v>
      </c>
      <c r="M5" s="1285" t="s">
        <v>5085</v>
      </c>
      <c r="O5" s="1404"/>
      <c r="P5" s="1287" t="s">
        <v>5081</v>
      </c>
      <c r="Q5" s="1271" t="s">
        <v>4342</v>
      </c>
      <c r="R5" s="1271" t="s">
        <v>5082</v>
      </c>
      <c r="S5" s="1271" t="s">
        <v>5085</v>
      </c>
      <c r="T5" s="1271" t="s">
        <v>5084</v>
      </c>
      <c r="U5" s="1285" t="s">
        <v>5083</v>
      </c>
      <c r="V5" s="1405"/>
      <c r="W5" s="1286" t="s">
        <v>4342</v>
      </c>
      <c r="X5" s="1271" t="s">
        <v>5085</v>
      </c>
      <c r="Y5" s="1271" t="s">
        <v>5082</v>
      </c>
      <c r="Z5" s="1271" t="s">
        <v>5083</v>
      </c>
      <c r="AA5" s="1285" t="s">
        <v>5084</v>
      </c>
    </row>
    <row r="6" spans="1:29">
      <c r="A6" s="1404"/>
      <c r="B6" s="1279" t="s">
        <v>1612</v>
      </c>
      <c r="C6" s="1271" t="s">
        <v>5084</v>
      </c>
      <c r="D6" s="1271" t="s">
        <v>5085</v>
      </c>
      <c r="E6" s="1271" t="s">
        <v>4342</v>
      </c>
      <c r="F6" s="1271" t="s">
        <v>5082</v>
      </c>
      <c r="G6" s="1285" t="s">
        <v>5083</v>
      </c>
      <c r="I6" s="1286" t="s">
        <v>5085</v>
      </c>
      <c r="J6" s="1271" t="s">
        <v>5083</v>
      </c>
      <c r="K6" s="1271" t="s">
        <v>4342</v>
      </c>
      <c r="L6" s="1271" t="s">
        <v>5084</v>
      </c>
      <c r="M6" s="1285" t="s">
        <v>5082</v>
      </c>
      <c r="O6" s="1404"/>
      <c r="P6" s="1287" t="s">
        <v>1701</v>
      </c>
      <c r="Q6" s="1271" t="s">
        <v>5085</v>
      </c>
      <c r="R6" s="1271" t="s">
        <v>4342</v>
      </c>
      <c r="S6" s="1271" t="s">
        <v>5084</v>
      </c>
      <c r="T6" s="1271" t="s">
        <v>5083</v>
      </c>
      <c r="U6" s="1285" t="s">
        <v>5082</v>
      </c>
      <c r="V6" s="1405"/>
      <c r="W6" s="1286" t="s">
        <v>5084</v>
      </c>
      <c r="X6" s="1271" t="s">
        <v>5083</v>
      </c>
      <c r="Y6" s="1271" t="s">
        <v>5085</v>
      </c>
      <c r="Z6" s="1271" t="s">
        <v>4342</v>
      </c>
      <c r="AA6" s="1285" t="s">
        <v>5082</v>
      </c>
    </row>
    <row r="7" spans="1:29">
      <c r="A7" s="1404"/>
      <c r="B7" s="1279" t="s">
        <v>1497</v>
      </c>
      <c r="C7" s="1271" t="s">
        <v>5085</v>
      </c>
      <c r="D7" s="1271" t="s">
        <v>4342</v>
      </c>
      <c r="E7" s="1271" t="s">
        <v>5082</v>
      </c>
      <c r="F7" s="1271" t="s">
        <v>5083</v>
      </c>
      <c r="G7" s="1285" t="s">
        <v>5084</v>
      </c>
      <c r="I7" s="1286" t="s">
        <v>5082</v>
      </c>
      <c r="J7" s="1271" t="s">
        <v>5085</v>
      </c>
      <c r="K7" s="1271" t="s">
        <v>5083</v>
      </c>
      <c r="L7" s="1271" t="s">
        <v>4342</v>
      </c>
      <c r="M7" s="1285" t="s">
        <v>5084</v>
      </c>
      <c r="O7" s="1404"/>
      <c r="P7" s="1287" t="s">
        <v>1357</v>
      </c>
      <c r="Q7" s="1271" t="s">
        <v>5084</v>
      </c>
      <c r="R7" s="1271" t="s">
        <v>5085</v>
      </c>
      <c r="S7" s="1271" t="s">
        <v>5083</v>
      </c>
      <c r="T7" s="1271" t="s">
        <v>5082</v>
      </c>
      <c r="U7" s="1285" t="s">
        <v>4342</v>
      </c>
      <c r="V7" s="1405"/>
      <c r="W7" s="1286" t="s">
        <v>5082</v>
      </c>
      <c r="X7" s="1271" t="s">
        <v>4342</v>
      </c>
      <c r="Y7" s="1271" t="s">
        <v>5083</v>
      </c>
      <c r="Z7" s="1271" t="s">
        <v>5084</v>
      </c>
      <c r="AA7" s="1285" t="s">
        <v>5085</v>
      </c>
    </row>
    <row r="8" spans="1:29">
      <c r="A8" s="1404"/>
      <c r="B8" s="1288" t="s">
        <v>1357</v>
      </c>
      <c r="C8" s="1289" t="s">
        <v>4342</v>
      </c>
      <c r="D8" s="1289" t="s">
        <v>5082</v>
      </c>
      <c r="E8" s="1289" t="s">
        <v>5083</v>
      </c>
      <c r="F8" s="1289" t="s">
        <v>5084</v>
      </c>
      <c r="G8" s="1290" t="s">
        <v>5085</v>
      </c>
      <c r="I8" s="1291" t="s">
        <v>5084</v>
      </c>
      <c r="J8" s="1289" t="s">
        <v>5082</v>
      </c>
      <c r="K8" s="1289" t="s">
        <v>5085</v>
      </c>
      <c r="L8" s="1289" t="s">
        <v>5083</v>
      </c>
      <c r="M8" s="1290" t="s">
        <v>4342</v>
      </c>
      <c r="O8" s="1404"/>
      <c r="P8" s="1292" t="s">
        <v>1612</v>
      </c>
      <c r="Q8" s="1289" t="s">
        <v>5083</v>
      </c>
      <c r="R8" s="1289" t="s">
        <v>5084</v>
      </c>
      <c r="S8" s="1289" t="s">
        <v>5082</v>
      </c>
      <c r="T8" s="1289" t="s">
        <v>4342</v>
      </c>
      <c r="U8" s="1290" t="s">
        <v>5085</v>
      </c>
      <c r="V8" s="1405"/>
      <c r="W8" s="1291" t="s">
        <v>5085</v>
      </c>
      <c r="X8" s="1289" t="s">
        <v>5084</v>
      </c>
      <c r="Y8" s="1289" t="s">
        <v>4342</v>
      </c>
      <c r="Z8" s="1289" t="s">
        <v>5082</v>
      </c>
      <c r="AA8" s="1290" t="s">
        <v>5083</v>
      </c>
    </row>
    <row r="9" spans="1:29" ht="15" customHeight="1">
      <c r="A9" s="1404" t="s">
        <v>5086</v>
      </c>
      <c r="B9" s="1280" t="s">
        <v>5081</v>
      </c>
      <c r="C9" s="1281" t="s">
        <v>4342</v>
      </c>
      <c r="D9" s="1281" t="s">
        <v>5082</v>
      </c>
      <c r="E9" s="1281" t="s">
        <v>5083</v>
      </c>
      <c r="F9" s="1281" t="s">
        <v>5084</v>
      </c>
      <c r="G9" s="1282" t="s">
        <v>5085</v>
      </c>
      <c r="I9" s="1283" t="s">
        <v>5083</v>
      </c>
      <c r="J9" s="1281" t="s">
        <v>4342</v>
      </c>
      <c r="K9" s="1281" t="s">
        <v>5084</v>
      </c>
      <c r="L9" s="1281" t="s">
        <v>5082</v>
      </c>
      <c r="M9" s="1282" t="s">
        <v>5085</v>
      </c>
      <c r="O9" s="1404" t="s">
        <v>5087</v>
      </c>
      <c r="P9" s="1284" t="s">
        <v>1497</v>
      </c>
      <c r="Q9" s="1281" t="s">
        <v>5084</v>
      </c>
      <c r="R9" s="1281" t="s">
        <v>5085</v>
      </c>
      <c r="S9" s="1281" t="s">
        <v>5083</v>
      </c>
      <c r="T9" s="1281" t="s">
        <v>5082</v>
      </c>
      <c r="U9" s="1282" t="s">
        <v>4342</v>
      </c>
      <c r="V9" s="1406"/>
      <c r="W9" s="1283" t="s">
        <v>5082</v>
      </c>
      <c r="X9" s="1281" t="s">
        <v>4342</v>
      </c>
      <c r="Y9" s="1281" t="s">
        <v>5083</v>
      </c>
      <c r="Z9" s="1281" t="s">
        <v>5084</v>
      </c>
      <c r="AA9" s="1282" t="s">
        <v>5085</v>
      </c>
    </row>
    <row r="10" spans="1:29">
      <c r="A10" s="1404"/>
      <c r="B10" s="1279" t="s">
        <v>1701</v>
      </c>
      <c r="C10" s="1271" t="s">
        <v>5082</v>
      </c>
      <c r="D10" s="1271" t="s">
        <v>5083</v>
      </c>
      <c r="E10" s="1271" t="s">
        <v>5084</v>
      </c>
      <c r="F10" s="1271" t="s">
        <v>5085</v>
      </c>
      <c r="G10" s="1285" t="s">
        <v>4342</v>
      </c>
      <c r="I10" s="1286" t="s">
        <v>5085</v>
      </c>
      <c r="J10" s="1271" t="s">
        <v>5083</v>
      </c>
      <c r="K10" s="1271" t="s">
        <v>4342</v>
      </c>
      <c r="L10" s="1271" t="s">
        <v>5084</v>
      </c>
      <c r="M10" s="1285" t="s">
        <v>5082</v>
      </c>
      <c r="O10" s="1404"/>
      <c r="P10" s="1287" t="s">
        <v>5081</v>
      </c>
      <c r="Q10" s="1271" t="s">
        <v>5083</v>
      </c>
      <c r="R10" s="1271" t="s">
        <v>5084</v>
      </c>
      <c r="S10" s="1271" t="s">
        <v>5082</v>
      </c>
      <c r="T10" s="1271" t="s">
        <v>4342</v>
      </c>
      <c r="U10" s="1285" t="s">
        <v>5085</v>
      </c>
      <c r="V10" s="1406"/>
      <c r="W10" s="1286" t="s">
        <v>5085</v>
      </c>
      <c r="X10" s="1271" t="s">
        <v>5084</v>
      </c>
      <c r="Y10" s="1271" t="s">
        <v>4342</v>
      </c>
      <c r="Z10" s="1271" t="s">
        <v>5082</v>
      </c>
      <c r="AA10" s="1285" t="s">
        <v>5083</v>
      </c>
    </row>
    <row r="11" spans="1:29">
      <c r="A11" s="1404"/>
      <c r="B11" s="1279" t="s">
        <v>1612</v>
      </c>
      <c r="C11" s="1271" t="s">
        <v>5083</v>
      </c>
      <c r="D11" s="1271" t="s">
        <v>5084</v>
      </c>
      <c r="E11" s="1271" t="s">
        <v>5085</v>
      </c>
      <c r="F11" s="1271" t="s">
        <v>4342</v>
      </c>
      <c r="G11" s="1285" t="s">
        <v>5082</v>
      </c>
      <c r="I11" s="1286" t="s">
        <v>5082</v>
      </c>
      <c r="J11" s="1271" t="s">
        <v>5085</v>
      </c>
      <c r="K11" s="1271" t="s">
        <v>5083</v>
      </c>
      <c r="L11" s="1271" t="s">
        <v>4342</v>
      </c>
      <c r="M11" s="1285" t="s">
        <v>5084</v>
      </c>
      <c r="O11" s="1404"/>
      <c r="P11" s="1287" t="s">
        <v>1701</v>
      </c>
      <c r="Q11" s="1271" t="s">
        <v>5082</v>
      </c>
      <c r="R11" s="1271" t="s">
        <v>5083</v>
      </c>
      <c r="S11" s="1271" t="s">
        <v>4342</v>
      </c>
      <c r="T11" s="1271" t="s">
        <v>5085</v>
      </c>
      <c r="U11" s="1285" t="s">
        <v>5084</v>
      </c>
      <c r="V11" s="1406"/>
      <c r="W11" s="1286" t="s">
        <v>5083</v>
      </c>
      <c r="X11" s="1271" t="s">
        <v>5082</v>
      </c>
      <c r="Y11" s="1271" t="s">
        <v>5084</v>
      </c>
      <c r="Z11" s="1271" t="s">
        <v>5085</v>
      </c>
      <c r="AA11" s="1285" t="s">
        <v>4342</v>
      </c>
    </row>
    <row r="12" spans="1:29">
      <c r="A12" s="1404"/>
      <c r="B12" s="1279" t="s">
        <v>1497</v>
      </c>
      <c r="C12" s="1271" t="s">
        <v>5084</v>
      </c>
      <c r="D12" s="1271" t="s">
        <v>5085</v>
      </c>
      <c r="E12" s="1271" t="s">
        <v>4342</v>
      </c>
      <c r="F12" s="1271" t="s">
        <v>5082</v>
      </c>
      <c r="G12" s="1285" t="s">
        <v>5083</v>
      </c>
      <c r="I12" s="1286" t="s">
        <v>5084</v>
      </c>
      <c r="J12" s="1271" t="s">
        <v>5082</v>
      </c>
      <c r="K12" s="1271" t="s">
        <v>5085</v>
      </c>
      <c r="L12" s="1271" t="s">
        <v>5083</v>
      </c>
      <c r="M12" s="1285" t="s">
        <v>4342</v>
      </c>
      <c r="O12" s="1404"/>
      <c r="P12" s="1287" t="s">
        <v>1357</v>
      </c>
      <c r="Q12" s="1271" t="s">
        <v>4342</v>
      </c>
      <c r="R12" s="1271" t="s">
        <v>5082</v>
      </c>
      <c r="S12" s="1271" t="s">
        <v>5085</v>
      </c>
      <c r="T12" s="1271" t="s">
        <v>5084</v>
      </c>
      <c r="U12" s="1285" t="s">
        <v>5083</v>
      </c>
      <c r="V12" s="1406"/>
      <c r="W12" s="1286" t="s">
        <v>4342</v>
      </c>
      <c r="X12" s="1271" t="s">
        <v>5085</v>
      </c>
      <c r="Y12" s="1271" t="s">
        <v>5082</v>
      </c>
      <c r="Z12" s="1271" t="s">
        <v>5083</v>
      </c>
      <c r="AA12" s="1285" t="s">
        <v>5084</v>
      </c>
    </row>
    <row r="13" spans="1:29">
      <c r="A13" s="1404"/>
      <c r="B13" s="1288" t="s">
        <v>1357</v>
      </c>
      <c r="C13" s="1289" t="s">
        <v>5085</v>
      </c>
      <c r="D13" s="1289" t="s">
        <v>4342</v>
      </c>
      <c r="E13" s="1289" t="s">
        <v>5082</v>
      </c>
      <c r="F13" s="1289" t="s">
        <v>5083</v>
      </c>
      <c r="G13" s="1290" t="s">
        <v>5084</v>
      </c>
      <c r="I13" s="1291" t="s">
        <v>4342</v>
      </c>
      <c r="J13" s="1289" t="s">
        <v>5084</v>
      </c>
      <c r="K13" s="1289" t="s">
        <v>5082</v>
      </c>
      <c r="L13" s="1289" t="s">
        <v>5085</v>
      </c>
      <c r="M13" s="1290" t="s">
        <v>5083</v>
      </c>
      <c r="O13" s="1404"/>
      <c r="P13" s="1292" t="s">
        <v>1612</v>
      </c>
      <c r="Q13" s="1289" t="s">
        <v>5085</v>
      </c>
      <c r="R13" s="1289" t="s">
        <v>4342</v>
      </c>
      <c r="S13" s="1289" t="s">
        <v>5084</v>
      </c>
      <c r="T13" s="1289" t="s">
        <v>5083</v>
      </c>
      <c r="U13" s="1290" t="s">
        <v>5082</v>
      </c>
      <c r="V13" s="1406"/>
      <c r="W13" s="1291" t="s">
        <v>5084</v>
      </c>
      <c r="X13" s="1289" t="s">
        <v>5083</v>
      </c>
      <c r="Y13" s="1289" t="s">
        <v>5085</v>
      </c>
      <c r="Z13" s="1289" t="s">
        <v>4342</v>
      </c>
      <c r="AA13" s="1290" t="s">
        <v>5082</v>
      </c>
    </row>
    <row r="14" spans="1:29" ht="15" customHeight="1">
      <c r="A14" s="1404" t="s">
        <v>5088</v>
      </c>
      <c r="B14" s="1280" t="s">
        <v>5081</v>
      </c>
      <c r="C14" s="1281" t="s">
        <v>5085</v>
      </c>
      <c r="D14" s="1281" t="s">
        <v>4342</v>
      </c>
      <c r="E14" s="1281" t="s">
        <v>5082</v>
      </c>
      <c r="F14" s="1281" t="s">
        <v>5083</v>
      </c>
      <c r="G14" s="1282" t="s">
        <v>5084</v>
      </c>
      <c r="I14" s="1283" t="s">
        <v>5085</v>
      </c>
      <c r="J14" s="1281" t="s">
        <v>5083</v>
      </c>
      <c r="K14" s="1281" t="s">
        <v>4342</v>
      </c>
      <c r="L14" s="1281" t="s">
        <v>5084</v>
      </c>
      <c r="M14" s="1282" t="s">
        <v>5082</v>
      </c>
      <c r="O14" s="1404" t="s">
        <v>1446</v>
      </c>
      <c r="P14" s="1284" t="s">
        <v>1497</v>
      </c>
      <c r="Q14" s="1281" t="s">
        <v>5085</v>
      </c>
      <c r="R14" s="1281" t="s">
        <v>4342</v>
      </c>
      <c r="S14" s="1281" t="s">
        <v>5084</v>
      </c>
      <c r="T14" s="1281" t="s">
        <v>5083</v>
      </c>
      <c r="U14" s="1282" t="s">
        <v>5082</v>
      </c>
      <c r="V14" s="1407"/>
      <c r="W14" s="1283" t="s">
        <v>4342</v>
      </c>
      <c r="X14" s="1281" t="s">
        <v>5085</v>
      </c>
      <c r="Y14" s="1281" t="s">
        <v>5082</v>
      </c>
      <c r="Z14" s="1281" t="s">
        <v>5083</v>
      </c>
      <c r="AA14" s="1282" t="s">
        <v>5084</v>
      </c>
    </row>
    <row r="15" spans="1:29">
      <c r="A15" s="1404"/>
      <c r="B15" s="1279" t="s">
        <v>1701</v>
      </c>
      <c r="C15" s="1271" t="s">
        <v>4342</v>
      </c>
      <c r="D15" s="1271" t="s">
        <v>5082</v>
      </c>
      <c r="E15" s="1271" t="s">
        <v>5083</v>
      </c>
      <c r="F15" s="1271" t="s">
        <v>5084</v>
      </c>
      <c r="G15" s="1285" t="s">
        <v>5085</v>
      </c>
      <c r="I15" s="1286" t="s">
        <v>5082</v>
      </c>
      <c r="J15" s="1271" t="s">
        <v>5085</v>
      </c>
      <c r="K15" s="1271" t="s">
        <v>5083</v>
      </c>
      <c r="L15" s="1271" t="s">
        <v>4342</v>
      </c>
      <c r="M15" s="1285" t="s">
        <v>5084</v>
      </c>
      <c r="O15" s="1404"/>
      <c r="P15" s="1287" t="s">
        <v>5081</v>
      </c>
      <c r="Q15" s="1271" t="s">
        <v>5084</v>
      </c>
      <c r="R15" s="1271" t="s">
        <v>5085</v>
      </c>
      <c r="S15" s="1271" t="s">
        <v>5083</v>
      </c>
      <c r="T15" s="1271" t="s">
        <v>5082</v>
      </c>
      <c r="U15" s="1285" t="s">
        <v>4342</v>
      </c>
      <c r="V15" s="1407"/>
      <c r="W15" s="1286" t="s">
        <v>5084</v>
      </c>
      <c r="X15" s="1271" t="s">
        <v>5083</v>
      </c>
      <c r="Y15" s="1271" t="s">
        <v>5085</v>
      </c>
      <c r="Z15" s="1271" t="s">
        <v>4342</v>
      </c>
      <c r="AA15" s="1285" t="s">
        <v>5082</v>
      </c>
    </row>
    <row r="16" spans="1:29">
      <c r="A16" s="1404"/>
      <c r="B16" s="1279" t="s">
        <v>1612</v>
      </c>
      <c r="C16" s="1271" t="s">
        <v>5082</v>
      </c>
      <c r="D16" s="1271" t="s">
        <v>5083</v>
      </c>
      <c r="E16" s="1271" t="s">
        <v>5084</v>
      </c>
      <c r="F16" s="1271" t="s">
        <v>5085</v>
      </c>
      <c r="G16" s="1285" t="s">
        <v>4342</v>
      </c>
      <c r="I16" s="1286" t="s">
        <v>5084</v>
      </c>
      <c r="J16" s="1271" t="s">
        <v>5082</v>
      </c>
      <c r="K16" s="1271" t="s">
        <v>5085</v>
      </c>
      <c r="L16" s="1271" t="s">
        <v>5083</v>
      </c>
      <c r="M16" s="1285" t="s">
        <v>4342</v>
      </c>
      <c r="O16" s="1404"/>
      <c r="P16" s="1287" t="s">
        <v>1701</v>
      </c>
      <c r="Q16" s="1271" t="s">
        <v>5083</v>
      </c>
      <c r="R16" s="1271" t="s">
        <v>5084</v>
      </c>
      <c r="S16" s="1271" t="s">
        <v>5082</v>
      </c>
      <c r="T16" s="1271" t="s">
        <v>4342</v>
      </c>
      <c r="U16" s="1285" t="s">
        <v>5085</v>
      </c>
      <c r="V16" s="1407"/>
      <c r="W16" s="1286" t="s">
        <v>5082</v>
      </c>
      <c r="X16" s="1271" t="s">
        <v>4342</v>
      </c>
      <c r="Y16" s="1271" t="s">
        <v>5083</v>
      </c>
      <c r="Z16" s="1271" t="s">
        <v>5084</v>
      </c>
      <c r="AA16" s="1285" t="s">
        <v>5085</v>
      </c>
    </row>
    <row r="17" spans="1:27">
      <c r="A17" s="1404"/>
      <c r="B17" s="1279" t="s">
        <v>1497</v>
      </c>
      <c r="C17" s="1271" t="s">
        <v>5083</v>
      </c>
      <c r="D17" s="1271" t="s">
        <v>5084</v>
      </c>
      <c r="E17" s="1271" t="s">
        <v>5085</v>
      </c>
      <c r="F17" s="1271" t="s">
        <v>4342</v>
      </c>
      <c r="G17" s="1285" t="s">
        <v>5082</v>
      </c>
      <c r="I17" s="1286" t="s">
        <v>4342</v>
      </c>
      <c r="J17" s="1271" t="s">
        <v>5084</v>
      </c>
      <c r="K17" s="1271" t="s">
        <v>5082</v>
      </c>
      <c r="L17" s="1271" t="s">
        <v>5085</v>
      </c>
      <c r="M17" s="1285" t="s">
        <v>5083</v>
      </c>
      <c r="O17" s="1404"/>
      <c r="P17" s="1287" t="s">
        <v>1357</v>
      </c>
      <c r="Q17" s="1271" t="s">
        <v>5082</v>
      </c>
      <c r="R17" s="1271" t="s">
        <v>5083</v>
      </c>
      <c r="S17" s="1271" t="s">
        <v>4342</v>
      </c>
      <c r="T17" s="1271" t="s">
        <v>5085</v>
      </c>
      <c r="U17" s="1285" t="s">
        <v>5084</v>
      </c>
      <c r="V17" s="1407"/>
      <c r="W17" s="1286" t="s">
        <v>5085</v>
      </c>
      <c r="X17" s="1271" t="s">
        <v>5084</v>
      </c>
      <c r="Y17" s="1271" t="s">
        <v>4342</v>
      </c>
      <c r="Z17" s="1271" t="s">
        <v>5082</v>
      </c>
      <c r="AA17" s="1285" t="s">
        <v>5083</v>
      </c>
    </row>
    <row r="18" spans="1:27">
      <c r="A18" s="1404"/>
      <c r="B18" s="1288" t="s">
        <v>1357</v>
      </c>
      <c r="C18" s="1289" t="s">
        <v>5084</v>
      </c>
      <c r="D18" s="1289" t="s">
        <v>5085</v>
      </c>
      <c r="E18" s="1289" t="s">
        <v>4342</v>
      </c>
      <c r="F18" s="1289" t="s">
        <v>5082</v>
      </c>
      <c r="G18" s="1290" t="s">
        <v>5083</v>
      </c>
      <c r="I18" s="1291" t="s">
        <v>5083</v>
      </c>
      <c r="J18" s="1289" t="s">
        <v>4342</v>
      </c>
      <c r="K18" s="1289" t="s">
        <v>5084</v>
      </c>
      <c r="L18" s="1289" t="s">
        <v>5082</v>
      </c>
      <c r="M18" s="1290" t="s">
        <v>5085</v>
      </c>
      <c r="O18" s="1404"/>
      <c r="P18" s="1292" t="s">
        <v>1612</v>
      </c>
      <c r="Q18" s="1289" t="s">
        <v>4342</v>
      </c>
      <c r="R18" s="1289" t="s">
        <v>5082</v>
      </c>
      <c r="S18" s="1289" t="s">
        <v>5085</v>
      </c>
      <c r="T18" s="1289" t="s">
        <v>5084</v>
      </c>
      <c r="U18" s="1290" t="s">
        <v>5083</v>
      </c>
      <c r="V18" s="1407"/>
      <c r="W18" s="1291" t="s">
        <v>5083</v>
      </c>
      <c r="X18" s="1289" t="s">
        <v>5082</v>
      </c>
      <c r="Y18" s="1289" t="s">
        <v>5084</v>
      </c>
      <c r="Z18" s="1289" t="s">
        <v>5085</v>
      </c>
      <c r="AA18" s="1290" t="s">
        <v>4342</v>
      </c>
    </row>
    <row r="19" spans="1:27" ht="15" customHeight="1">
      <c r="A19" s="1404" t="s">
        <v>5089</v>
      </c>
      <c r="B19" s="1280" t="s">
        <v>5081</v>
      </c>
      <c r="C19" s="1281" t="s">
        <v>5084</v>
      </c>
      <c r="D19" s="1281" t="s">
        <v>5085</v>
      </c>
      <c r="E19" s="1281" t="s">
        <v>4342</v>
      </c>
      <c r="F19" s="1281" t="s">
        <v>5082</v>
      </c>
      <c r="G19" s="1282" t="s">
        <v>5083</v>
      </c>
      <c r="I19" s="1283" t="s">
        <v>5082</v>
      </c>
      <c r="J19" s="1281" t="s">
        <v>5085</v>
      </c>
      <c r="K19" s="1281" t="s">
        <v>5083</v>
      </c>
      <c r="L19" s="1281" t="s">
        <v>4342</v>
      </c>
      <c r="M19" s="1282" t="s">
        <v>5084</v>
      </c>
      <c r="O19" s="1293" t="s">
        <v>1538</v>
      </c>
      <c r="P19" s="1284" t="s">
        <v>1497</v>
      </c>
      <c r="Q19" s="1281" t="s">
        <v>5083</v>
      </c>
      <c r="R19" s="1281" t="s">
        <v>5084</v>
      </c>
      <c r="S19" s="1281" t="s">
        <v>5082</v>
      </c>
      <c r="T19" s="1281" t="s">
        <v>4342</v>
      </c>
      <c r="U19" s="1282" t="s">
        <v>5085</v>
      </c>
      <c r="V19" s="1294"/>
      <c r="W19" s="1283" t="s">
        <v>5084</v>
      </c>
      <c r="X19" s="1281" t="s">
        <v>5083</v>
      </c>
      <c r="Y19" s="1281" t="s">
        <v>5085</v>
      </c>
      <c r="Z19" s="1281" t="s">
        <v>4342</v>
      </c>
      <c r="AA19" s="1282" t="s">
        <v>5082</v>
      </c>
    </row>
    <row r="20" spans="1:27">
      <c r="A20" s="1404"/>
      <c r="B20" s="1279" t="s">
        <v>1701</v>
      </c>
      <c r="C20" s="1271" t="s">
        <v>5085</v>
      </c>
      <c r="D20" s="1271" t="s">
        <v>4342</v>
      </c>
      <c r="E20" s="1271" t="s">
        <v>5082</v>
      </c>
      <c r="F20" s="1271" t="s">
        <v>5083</v>
      </c>
      <c r="G20" s="1285" t="s">
        <v>5084</v>
      </c>
      <c r="I20" s="1286" t="s">
        <v>5084</v>
      </c>
      <c r="J20" s="1271" t="s">
        <v>5082</v>
      </c>
      <c r="K20" s="1271" t="s">
        <v>5085</v>
      </c>
      <c r="L20" s="1271" t="s">
        <v>5083</v>
      </c>
      <c r="M20" s="1285" t="s">
        <v>4342</v>
      </c>
      <c r="O20" s="1295"/>
      <c r="P20" s="1287" t="s">
        <v>5081</v>
      </c>
      <c r="Q20" s="1271" t="s">
        <v>5082</v>
      </c>
      <c r="R20" s="1271" t="s">
        <v>5083</v>
      </c>
      <c r="S20" s="1271" t="s">
        <v>4342</v>
      </c>
      <c r="T20" s="1271" t="s">
        <v>5085</v>
      </c>
      <c r="U20" s="1285" t="s">
        <v>5084</v>
      </c>
      <c r="W20" s="1286" t="s">
        <v>5082</v>
      </c>
      <c r="X20" s="1271" t="s">
        <v>4342</v>
      </c>
      <c r="Y20" s="1271" t="s">
        <v>5083</v>
      </c>
      <c r="Z20" s="1271" t="s">
        <v>5084</v>
      </c>
      <c r="AA20" s="1285" t="s">
        <v>5085</v>
      </c>
    </row>
    <row r="21" spans="1:27">
      <c r="A21" s="1404"/>
      <c r="B21" s="1279" t="s">
        <v>1612</v>
      </c>
      <c r="C21" s="1271" t="s">
        <v>4342</v>
      </c>
      <c r="D21" s="1271" t="s">
        <v>5082</v>
      </c>
      <c r="E21" s="1271" t="s">
        <v>5083</v>
      </c>
      <c r="F21" s="1271" t="s">
        <v>5084</v>
      </c>
      <c r="G21" s="1285" t="s">
        <v>5085</v>
      </c>
      <c r="I21" s="1286" t="s">
        <v>4342</v>
      </c>
      <c r="J21" s="1271" t="s">
        <v>5084</v>
      </c>
      <c r="K21" s="1271" t="s">
        <v>5082</v>
      </c>
      <c r="L21" s="1271" t="s">
        <v>5085</v>
      </c>
      <c r="M21" s="1285" t="s">
        <v>5083</v>
      </c>
      <c r="O21" s="1295"/>
      <c r="P21" s="1287" t="s">
        <v>1701</v>
      </c>
      <c r="Q21" s="1271" t="s">
        <v>4342</v>
      </c>
      <c r="R21" s="1271" t="s">
        <v>5082</v>
      </c>
      <c r="S21" s="1271" t="s">
        <v>5085</v>
      </c>
      <c r="T21" s="1271" t="s">
        <v>5084</v>
      </c>
      <c r="U21" s="1285" t="s">
        <v>5083</v>
      </c>
      <c r="W21" s="1286" t="s">
        <v>5085</v>
      </c>
      <c r="X21" s="1271" t="s">
        <v>5084</v>
      </c>
      <c r="Y21" s="1271" t="s">
        <v>4342</v>
      </c>
      <c r="Z21" s="1271" t="s">
        <v>5082</v>
      </c>
      <c r="AA21" s="1285" t="s">
        <v>5083</v>
      </c>
    </row>
    <row r="22" spans="1:27">
      <c r="A22" s="1404"/>
      <c r="B22" s="1279" t="s">
        <v>1497</v>
      </c>
      <c r="C22" s="1271" t="s">
        <v>5082</v>
      </c>
      <c r="D22" s="1271" t="s">
        <v>5083</v>
      </c>
      <c r="E22" s="1271" t="s">
        <v>5084</v>
      </c>
      <c r="F22" s="1271" t="s">
        <v>5085</v>
      </c>
      <c r="G22" s="1285" t="s">
        <v>4342</v>
      </c>
      <c r="I22" s="1286" t="s">
        <v>5083</v>
      </c>
      <c r="J22" s="1271" t="s">
        <v>4342</v>
      </c>
      <c r="K22" s="1271" t="s">
        <v>5084</v>
      </c>
      <c r="L22" s="1271" t="s">
        <v>5082</v>
      </c>
      <c r="M22" s="1285" t="s">
        <v>5085</v>
      </c>
      <c r="O22" s="1295"/>
      <c r="P22" s="1287" t="s">
        <v>1357</v>
      </c>
      <c r="Q22" s="1271" t="s">
        <v>5085</v>
      </c>
      <c r="R22" s="1271" t="s">
        <v>4342</v>
      </c>
      <c r="S22" s="1271" t="s">
        <v>5084</v>
      </c>
      <c r="T22" s="1271" t="s">
        <v>5083</v>
      </c>
      <c r="U22" s="1285" t="s">
        <v>5082</v>
      </c>
      <c r="W22" s="1286" t="s">
        <v>5083</v>
      </c>
      <c r="X22" s="1271" t="s">
        <v>5082</v>
      </c>
      <c r="Y22" s="1271" t="s">
        <v>5084</v>
      </c>
      <c r="Z22" s="1271" t="s">
        <v>5085</v>
      </c>
      <c r="AA22" s="1285" t="s">
        <v>4342</v>
      </c>
    </row>
    <row r="23" spans="1:27">
      <c r="A23" s="1404"/>
      <c r="B23" s="1288" t="s">
        <v>1357</v>
      </c>
      <c r="C23" s="1289" t="s">
        <v>5083</v>
      </c>
      <c r="D23" s="1289" t="s">
        <v>5084</v>
      </c>
      <c r="E23" s="1289" t="s">
        <v>5085</v>
      </c>
      <c r="F23" s="1289" t="s">
        <v>4342</v>
      </c>
      <c r="G23" s="1290" t="s">
        <v>5082</v>
      </c>
      <c r="I23" s="1291" t="s">
        <v>5085</v>
      </c>
      <c r="J23" s="1289" t="s">
        <v>5083</v>
      </c>
      <c r="K23" s="1289" t="s">
        <v>4342</v>
      </c>
      <c r="L23" s="1289" t="s">
        <v>5084</v>
      </c>
      <c r="M23" s="1290" t="s">
        <v>5082</v>
      </c>
      <c r="O23" s="1295"/>
      <c r="P23" s="1292" t="s">
        <v>1612</v>
      </c>
      <c r="Q23" s="1289" t="s">
        <v>5084</v>
      </c>
      <c r="R23" s="1289" t="s">
        <v>5085</v>
      </c>
      <c r="S23" s="1289" t="s">
        <v>5083</v>
      </c>
      <c r="T23" s="1289" t="s">
        <v>5082</v>
      </c>
      <c r="U23" s="1290" t="s">
        <v>4342</v>
      </c>
      <c r="W23" s="1291" t="s">
        <v>4342</v>
      </c>
      <c r="X23" s="1289" t="s">
        <v>5085</v>
      </c>
      <c r="Y23" s="1289" t="s">
        <v>5082</v>
      </c>
      <c r="Z23" s="1289" t="s">
        <v>5083</v>
      </c>
      <c r="AA23" s="1290" t="s">
        <v>5084</v>
      </c>
    </row>
    <row r="24" spans="1:27" ht="15" customHeight="1">
      <c r="A24" s="1404" t="s">
        <v>1682</v>
      </c>
      <c r="B24" s="1280" t="s">
        <v>5081</v>
      </c>
      <c r="C24" s="1281" t="s">
        <v>5083</v>
      </c>
      <c r="D24" s="1281" t="s">
        <v>5084</v>
      </c>
      <c r="E24" s="1281" t="s">
        <v>5085</v>
      </c>
      <c r="F24" s="1281" t="s">
        <v>4342</v>
      </c>
      <c r="G24" s="1282" t="s">
        <v>5082</v>
      </c>
      <c r="I24" s="1283" t="s">
        <v>5084</v>
      </c>
      <c r="J24" s="1281" t="s">
        <v>5082</v>
      </c>
      <c r="K24" s="1281" t="s">
        <v>5085</v>
      </c>
      <c r="L24" s="1281" t="s">
        <v>5083</v>
      </c>
      <c r="M24" s="1282" t="s">
        <v>4342</v>
      </c>
      <c r="O24" s="1293" t="s">
        <v>1613</v>
      </c>
      <c r="P24" s="1284" t="s">
        <v>1497</v>
      </c>
      <c r="Q24" s="1281" t="s">
        <v>4342</v>
      </c>
      <c r="R24" s="1281" t="s">
        <v>5082</v>
      </c>
      <c r="S24" s="1281" t="s">
        <v>5085</v>
      </c>
      <c r="T24" s="1281" t="s">
        <v>5084</v>
      </c>
      <c r="U24" s="1282" t="s">
        <v>5083</v>
      </c>
      <c r="V24" s="1294"/>
      <c r="W24" s="1283" t="s">
        <v>5085</v>
      </c>
      <c r="X24" s="1281" t="s">
        <v>5084</v>
      </c>
      <c r="Y24" s="1281" t="s">
        <v>4342</v>
      </c>
      <c r="Z24" s="1281" t="s">
        <v>5082</v>
      </c>
      <c r="AA24" s="1282" t="s">
        <v>5083</v>
      </c>
    </row>
    <row r="25" spans="1:27">
      <c r="A25" s="1404"/>
      <c r="B25" s="1279" t="s">
        <v>1701</v>
      </c>
      <c r="C25" s="1271" t="s">
        <v>5084</v>
      </c>
      <c r="D25" s="1271" t="s">
        <v>5085</v>
      </c>
      <c r="E25" s="1271" t="s">
        <v>4342</v>
      </c>
      <c r="F25" s="1271" t="s">
        <v>5082</v>
      </c>
      <c r="G25" s="1285" t="s">
        <v>5083</v>
      </c>
      <c r="I25" s="1286" t="s">
        <v>4342</v>
      </c>
      <c r="J25" s="1271" t="s">
        <v>5084</v>
      </c>
      <c r="K25" s="1271" t="s">
        <v>5082</v>
      </c>
      <c r="L25" s="1271" t="s">
        <v>5085</v>
      </c>
      <c r="M25" s="1285" t="s">
        <v>5083</v>
      </c>
      <c r="O25" s="1295"/>
      <c r="P25" s="1287" t="s">
        <v>5081</v>
      </c>
      <c r="Q25" s="1271" t="s">
        <v>5085</v>
      </c>
      <c r="R25" s="1271" t="s">
        <v>4342</v>
      </c>
      <c r="S25" s="1271" t="s">
        <v>5084</v>
      </c>
      <c r="T25" s="1271" t="s">
        <v>5083</v>
      </c>
      <c r="U25" s="1285" t="s">
        <v>5082</v>
      </c>
      <c r="W25" s="1286" t="s">
        <v>5083</v>
      </c>
      <c r="X25" s="1271" t="s">
        <v>5082</v>
      </c>
      <c r="Y25" s="1271" t="s">
        <v>5084</v>
      </c>
      <c r="Z25" s="1271" t="s">
        <v>5085</v>
      </c>
      <c r="AA25" s="1285" t="s">
        <v>4342</v>
      </c>
    </row>
    <row r="26" spans="1:27">
      <c r="A26" s="1404"/>
      <c r="B26" s="1279" t="s">
        <v>1612</v>
      </c>
      <c r="C26" s="1271" t="s">
        <v>5085</v>
      </c>
      <c r="D26" s="1271" t="s">
        <v>4342</v>
      </c>
      <c r="E26" s="1271" t="s">
        <v>5082</v>
      </c>
      <c r="F26" s="1271" t="s">
        <v>5083</v>
      </c>
      <c r="G26" s="1285" t="s">
        <v>5084</v>
      </c>
      <c r="I26" s="1286" t="s">
        <v>5083</v>
      </c>
      <c r="J26" s="1271" t="s">
        <v>4342</v>
      </c>
      <c r="K26" s="1271" t="s">
        <v>5084</v>
      </c>
      <c r="L26" s="1271" t="s">
        <v>5082</v>
      </c>
      <c r="M26" s="1285" t="s">
        <v>5085</v>
      </c>
      <c r="O26" s="1295"/>
      <c r="P26" s="1287" t="s">
        <v>1701</v>
      </c>
      <c r="Q26" s="1271" t="s">
        <v>5084</v>
      </c>
      <c r="R26" s="1271" t="s">
        <v>5085</v>
      </c>
      <c r="S26" s="1271" t="s">
        <v>5083</v>
      </c>
      <c r="T26" s="1271" t="s">
        <v>5082</v>
      </c>
      <c r="U26" s="1285" t="s">
        <v>4342</v>
      </c>
      <c r="W26" s="1286" t="s">
        <v>4342</v>
      </c>
      <c r="X26" s="1271" t="s">
        <v>5085</v>
      </c>
      <c r="Y26" s="1271" t="s">
        <v>5082</v>
      </c>
      <c r="Z26" s="1271" t="s">
        <v>5083</v>
      </c>
      <c r="AA26" s="1285" t="s">
        <v>5084</v>
      </c>
    </row>
    <row r="27" spans="1:27">
      <c r="A27" s="1404"/>
      <c r="B27" s="1279" t="s">
        <v>1497</v>
      </c>
      <c r="C27" s="1271" t="s">
        <v>4342</v>
      </c>
      <c r="D27" s="1271" t="s">
        <v>5082</v>
      </c>
      <c r="E27" s="1271" t="s">
        <v>5083</v>
      </c>
      <c r="F27" s="1271" t="s">
        <v>5084</v>
      </c>
      <c r="G27" s="1285" t="s">
        <v>5085</v>
      </c>
      <c r="I27" s="1286" t="s">
        <v>5085</v>
      </c>
      <c r="J27" s="1271" t="s">
        <v>5083</v>
      </c>
      <c r="K27" s="1271" t="s">
        <v>4342</v>
      </c>
      <c r="L27" s="1271" t="s">
        <v>5084</v>
      </c>
      <c r="M27" s="1285" t="s">
        <v>5082</v>
      </c>
      <c r="O27" s="1295"/>
      <c r="P27" s="1287" t="s">
        <v>1357</v>
      </c>
      <c r="Q27" s="1271" t="s">
        <v>5083</v>
      </c>
      <c r="R27" s="1271" t="s">
        <v>5084</v>
      </c>
      <c r="S27" s="1271" t="s">
        <v>5082</v>
      </c>
      <c r="T27" s="1271" t="s">
        <v>4342</v>
      </c>
      <c r="U27" s="1285" t="s">
        <v>5085</v>
      </c>
      <c r="W27" s="1286" t="s">
        <v>5084</v>
      </c>
      <c r="X27" s="1271" t="s">
        <v>5083</v>
      </c>
      <c r="Y27" s="1271" t="s">
        <v>5085</v>
      </c>
      <c r="Z27" s="1271" t="s">
        <v>4342</v>
      </c>
      <c r="AA27" s="1285" t="s">
        <v>5082</v>
      </c>
    </row>
    <row r="28" spans="1:27">
      <c r="A28" s="1404"/>
      <c r="B28" s="1288" t="s">
        <v>1357</v>
      </c>
      <c r="C28" s="1289" t="s">
        <v>5082</v>
      </c>
      <c r="D28" s="1289" t="s">
        <v>5083</v>
      </c>
      <c r="E28" s="1289" t="s">
        <v>5084</v>
      </c>
      <c r="F28" s="1289" t="s">
        <v>5085</v>
      </c>
      <c r="G28" s="1290" t="s">
        <v>4342</v>
      </c>
      <c r="I28" s="1291" t="s">
        <v>5082</v>
      </c>
      <c r="J28" s="1289" t="s">
        <v>5085</v>
      </c>
      <c r="K28" s="1289" t="s">
        <v>5083</v>
      </c>
      <c r="L28" s="1289" t="s">
        <v>4342</v>
      </c>
      <c r="M28" s="1290" t="s">
        <v>5084</v>
      </c>
      <c r="O28" s="1296"/>
      <c r="P28" s="1292" t="s">
        <v>1612</v>
      </c>
      <c r="Q28" s="1289" t="s">
        <v>5082</v>
      </c>
      <c r="R28" s="1289" t="s">
        <v>5083</v>
      </c>
      <c r="S28" s="1289" t="s">
        <v>4342</v>
      </c>
      <c r="T28" s="1289" t="s">
        <v>5085</v>
      </c>
      <c r="U28" s="1290" t="s">
        <v>5084</v>
      </c>
      <c r="W28" s="1291" t="s">
        <v>5082</v>
      </c>
      <c r="X28" s="1289" t="s">
        <v>4342</v>
      </c>
      <c r="Y28" s="1289" t="s">
        <v>5083</v>
      </c>
      <c r="Z28" s="1289" t="s">
        <v>5084</v>
      </c>
      <c r="AA28" s="1290" t="s">
        <v>5085</v>
      </c>
    </row>
    <row r="29" spans="1:27">
      <c r="A29" s="1294"/>
    </row>
    <row r="30" spans="1:27">
      <c r="B30" s="1403" t="s">
        <v>5090</v>
      </c>
      <c r="C30" s="1403"/>
      <c r="D30" s="1403"/>
      <c r="E30" s="1403"/>
      <c r="F30" s="1403"/>
      <c r="G30" s="1403"/>
      <c r="H30" s="1403"/>
      <c r="I30" s="1403"/>
      <c r="J30" s="1403"/>
      <c r="K30" s="1403"/>
      <c r="L30" s="1403"/>
      <c r="M30" s="1403"/>
      <c r="N30" s="1271" t="s">
        <v>5091</v>
      </c>
      <c r="O30" s="1403" t="s">
        <v>5092</v>
      </c>
      <c r="P30" s="1403"/>
      <c r="Q30" s="1403"/>
      <c r="R30" s="1403"/>
      <c r="S30" s="1403"/>
      <c r="T30" s="1403"/>
      <c r="U30" s="1403"/>
      <c r="V30" s="1403"/>
      <c r="W30" s="1403"/>
      <c r="X30" s="1403"/>
      <c r="Y30" s="1403"/>
      <c r="Z30" s="1403"/>
    </row>
    <row r="31" spans="1:27" s="1297" customFormat="1">
      <c r="A31" s="1297" t="s">
        <v>5078</v>
      </c>
      <c r="B31" s="1297" t="s">
        <v>5093</v>
      </c>
      <c r="C31" s="1297" t="s">
        <v>5094</v>
      </c>
      <c r="D31" s="1297" t="s">
        <v>5095</v>
      </c>
      <c r="E31" s="1297" t="s">
        <v>5096</v>
      </c>
      <c r="F31" s="1297" t="s">
        <v>4377</v>
      </c>
      <c r="G31" s="1297" t="s">
        <v>5097</v>
      </c>
      <c r="H31" s="1297" t="s">
        <v>780</v>
      </c>
      <c r="I31" s="1297" t="s">
        <v>476</v>
      </c>
      <c r="J31" s="1297" t="s">
        <v>5098</v>
      </c>
      <c r="K31" s="1297" t="s">
        <v>2290</v>
      </c>
      <c r="L31" s="1297" t="s">
        <v>474</v>
      </c>
      <c r="M31" s="1297" t="s">
        <v>475</v>
      </c>
      <c r="N31" s="1297" t="s">
        <v>2104</v>
      </c>
      <c r="O31" s="1297" t="s">
        <v>5099</v>
      </c>
      <c r="P31" s="1297" t="s">
        <v>5100</v>
      </c>
      <c r="Q31" s="1297" t="s">
        <v>5101</v>
      </c>
      <c r="R31" s="1297" t="s">
        <v>5102</v>
      </c>
      <c r="S31" s="1297" t="s">
        <v>5103</v>
      </c>
      <c r="T31" s="1297" t="s">
        <v>5104</v>
      </c>
      <c r="U31" s="1297" t="s">
        <v>893</v>
      </c>
      <c r="V31" s="1297" t="s">
        <v>894</v>
      </c>
      <c r="W31" s="1297" t="s">
        <v>895</v>
      </c>
      <c r="X31" s="1297" t="s">
        <v>2294</v>
      </c>
      <c r="Y31" s="1297" t="s">
        <v>2295</v>
      </c>
      <c r="Z31" s="1297" t="s">
        <v>5105</v>
      </c>
      <c r="AA31" s="1297" t="s">
        <v>5106</v>
      </c>
    </row>
    <row r="32" spans="1:27" s="1297" customFormat="1">
      <c r="A32" s="1297" t="s">
        <v>5081</v>
      </c>
      <c r="B32" s="1298" t="s">
        <v>5107</v>
      </c>
      <c r="C32" s="1297" t="s">
        <v>5108</v>
      </c>
      <c r="D32" s="1297" t="s">
        <v>1357</v>
      </c>
      <c r="E32" s="1297" t="s">
        <v>1701</v>
      </c>
      <c r="F32" s="1297" t="s">
        <v>1612</v>
      </c>
      <c r="G32" s="1297" t="s">
        <v>1497</v>
      </c>
      <c r="J32" s="1297" t="s">
        <v>5109</v>
      </c>
      <c r="N32" s="1299" t="s">
        <v>3155</v>
      </c>
      <c r="O32" s="1298" t="s">
        <v>5110</v>
      </c>
      <c r="P32" s="1297" t="s">
        <v>3957</v>
      </c>
      <c r="Q32" s="1297" t="s">
        <v>1357</v>
      </c>
      <c r="R32" s="1297" t="s">
        <v>1612</v>
      </c>
      <c r="S32" s="1297" t="s">
        <v>1701</v>
      </c>
      <c r="T32" s="1297" t="s">
        <v>1497</v>
      </c>
    </row>
    <row r="33" spans="1:20" s="1297" customFormat="1">
      <c r="A33" s="1297" t="s">
        <v>1701</v>
      </c>
      <c r="B33" s="1298" t="s">
        <v>5110</v>
      </c>
      <c r="C33" s="1297" t="s">
        <v>5111</v>
      </c>
      <c r="D33" s="1297" t="s">
        <v>5081</v>
      </c>
      <c r="E33" s="1297" t="s">
        <v>1612</v>
      </c>
      <c r="F33" s="1297" t="s">
        <v>1357</v>
      </c>
      <c r="G33" s="1297" t="s">
        <v>1497</v>
      </c>
      <c r="J33" s="1297" t="s">
        <v>5112</v>
      </c>
      <c r="N33" s="1299" t="s">
        <v>3161</v>
      </c>
      <c r="O33" s="1298" t="s">
        <v>5113</v>
      </c>
      <c r="P33" s="1297" t="s">
        <v>158</v>
      </c>
      <c r="Q33" s="1297" t="s">
        <v>1497</v>
      </c>
      <c r="R33" s="1297" t="s">
        <v>1612</v>
      </c>
      <c r="S33" s="1297" t="s">
        <v>5081</v>
      </c>
      <c r="T33" s="1297" t="s">
        <v>1357</v>
      </c>
    </row>
    <row r="34" spans="1:20" s="1297" customFormat="1">
      <c r="A34" s="1297" t="s">
        <v>1612</v>
      </c>
      <c r="B34" s="1298" t="s">
        <v>5113</v>
      </c>
      <c r="C34" s="1297" t="s">
        <v>3960</v>
      </c>
      <c r="D34" s="1297" t="s">
        <v>1701</v>
      </c>
      <c r="E34" s="1297" t="s">
        <v>1497</v>
      </c>
      <c r="F34" s="1297" t="s">
        <v>5081</v>
      </c>
      <c r="G34" s="1297" t="s">
        <v>1357</v>
      </c>
      <c r="J34" s="1297" t="s">
        <v>5114</v>
      </c>
      <c r="N34" s="1299" t="s">
        <v>3164</v>
      </c>
      <c r="O34" s="1298" t="s">
        <v>5115</v>
      </c>
      <c r="P34" s="1297" t="s">
        <v>5116</v>
      </c>
      <c r="Q34" s="1297" t="s">
        <v>1701</v>
      </c>
      <c r="R34" s="1297" t="s">
        <v>5081</v>
      </c>
      <c r="S34" s="1297" t="s">
        <v>1357</v>
      </c>
      <c r="T34" s="1297" t="s">
        <v>1497</v>
      </c>
    </row>
    <row r="35" spans="1:20" s="1297" customFormat="1">
      <c r="A35" s="1297" t="s">
        <v>1497</v>
      </c>
      <c r="B35" s="1298" t="s">
        <v>5117</v>
      </c>
      <c r="C35" s="1297" t="s">
        <v>3961</v>
      </c>
      <c r="D35" s="1297" t="s">
        <v>1357</v>
      </c>
      <c r="E35" s="1297" t="s">
        <v>1612</v>
      </c>
      <c r="F35" s="1297" t="s">
        <v>5081</v>
      </c>
      <c r="G35" s="1297" t="s">
        <v>1701</v>
      </c>
      <c r="J35" s="1297" t="s">
        <v>5118</v>
      </c>
      <c r="N35" s="1299" t="s">
        <v>3229</v>
      </c>
      <c r="O35" s="1298" t="s">
        <v>5107</v>
      </c>
      <c r="P35" s="1297" t="s">
        <v>3958</v>
      </c>
      <c r="Q35" s="1297" t="s">
        <v>1357</v>
      </c>
      <c r="R35" s="1297" t="s">
        <v>1701</v>
      </c>
      <c r="S35" s="1297" t="s">
        <v>1612</v>
      </c>
      <c r="T35" s="1297" t="s">
        <v>5081</v>
      </c>
    </row>
    <row r="36" spans="1:20" s="1297" customFormat="1">
      <c r="A36" s="1297" t="s">
        <v>1357</v>
      </c>
      <c r="B36" s="1298" t="s">
        <v>5115</v>
      </c>
      <c r="C36" s="1297" t="s">
        <v>462</v>
      </c>
      <c r="D36" s="1297" t="s">
        <v>1701</v>
      </c>
      <c r="E36" s="1297" t="s">
        <v>1497</v>
      </c>
      <c r="F36" s="1297" t="s">
        <v>1701</v>
      </c>
      <c r="G36" s="1297" t="s">
        <v>1612</v>
      </c>
      <c r="J36" s="1297" t="s">
        <v>5119</v>
      </c>
      <c r="N36" s="1299" t="s">
        <v>3228</v>
      </c>
      <c r="O36" s="1298" t="s">
        <v>5117</v>
      </c>
      <c r="P36" s="1297" t="s">
        <v>5120</v>
      </c>
      <c r="Q36" s="1297" t="s">
        <v>5081</v>
      </c>
      <c r="R36" s="1297" t="s">
        <v>1497</v>
      </c>
      <c r="S36" s="1297" t="s">
        <v>1701</v>
      </c>
      <c r="T36" s="1297" t="s">
        <v>1612</v>
      </c>
    </row>
    <row r="38" spans="1:20" s="1273" customFormat="1">
      <c r="A38" s="1273" t="s">
        <v>5121</v>
      </c>
      <c r="B38" s="1273" t="s">
        <v>5122</v>
      </c>
      <c r="C38" s="1273" t="s">
        <v>5123</v>
      </c>
      <c r="D38" s="1273" t="s">
        <v>5124</v>
      </c>
      <c r="E38" s="1273" t="s">
        <v>5125</v>
      </c>
      <c r="F38" s="1273" t="s">
        <v>5126</v>
      </c>
      <c r="G38" s="1273" t="s">
        <v>5127</v>
      </c>
    </row>
    <row r="39" spans="1:20" s="1273" customFormat="1">
      <c r="A39" s="1273" t="s">
        <v>5082</v>
      </c>
      <c r="B39" s="1300">
        <f>B41/3</f>
        <v>0.33333333333333331</v>
      </c>
      <c r="D39" s="1300">
        <v>1.5</v>
      </c>
      <c r="E39" s="1301">
        <v>1.25</v>
      </c>
      <c r="F39" s="1300">
        <v>2</v>
      </c>
      <c r="G39" s="1301">
        <v>1.75</v>
      </c>
    </row>
    <row r="40" spans="1:20" s="1273" customFormat="1">
      <c r="A40" s="1273" t="s">
        <v>5083</v>
      </c>
      <c r="B40" s="1300">
        <f>B39/2</f>
        <v>0.16666666666666666</v>
      </c>
      <c r="D40" s="1300">
        <v>1.25</v>
      </c>
      <c r="E40" s="1301">
        <v>1.25</v>
      </c>
      <c r="F40" s="1300">
        <v>1.5</v>
      </c>
      <c r="G40" s="1301">
        <v>1.75</v>
      </c>
    </row>
    <row r="41" spans="1:20" s="1273" customFormat="1">
      <c r="A41" s="1273" t="s">
        <v>5084</v>
      </c>
      <c r="B41" s="1300">
        <v>1</v>
      </c>
      <c r="D41" s="1300">
        <v>2</v>
      </c>
      <c r="E41" s="1301">
        <v>1</v>
      </c>
      <c r="F41" s="1300">
        <v>0.75</v>
      </c>
      <c r="G41" s="1301">
        <v>0.75</v>
      </c>
    </row>
    <row r="42" spans="1:20" s="1273" customFormat="1">
      <c r="A42" s="1273" t="s">
        <v>5085</v>
      </c>
      <c r="B42" s="1300">
        <f>B40/2</f>
        <v>8.3333333333333329E-2</v>
      </c>
      <c r="D42" s="1300">
        <v>0.75</v>
      </c>
      <c r="E42" s="1301">
        <v>1</v>
      </c>
      <c r="F42" s="1300">
        <v>0.5</v>
      </c>
      <c r="G42" s="1301">
        <v>0.75</v>
      </c>
      <c r="J42" s="1302"/>
      <c r="K42" s="1303"/>
    </row>
    <row r="43" spans="1:20" s="1273" customFormat="1">
      <c r="A43" s="1273" t="s">
        <v>4342</v>
      </c>
      <c r="B43" s="1300">
        <f>B42/2</f>
        <v>4.1666666666666664E-2</v>
      </c>
      <c r="C43" s="1273" t="s">
        <v>5128</v>
      </c>
      <c r="D43" s="1300">
        <v>0.5</v>
      </c>
      <c r="E43" s="1301">
        <v>1.5</v>
      </c>
      <c r="F43" s="1300">
        <v>1.25</v>
      </c>
      <c r="G43" s="1301">
        <v>1</v>
      </c>
      <c r="J43" s="1302"/>
      <c r="K43" s="1303"/>
    </row>
    <row r="44" spans="1:20">
      <c r="J44" s="1302"/>
      <c r="K44" s="1303"/>
    </row>
    <row r="45" spans="1:20">
      <c r="J45" s="1302"/>
      <c r="K45" s="1303"/>
    </row>
    <row r="46" spans="1:20">
      <c r="J46" s="1304"/>
      <c r="K46" s="1305"/>
    </row>
  </sheetData>
  <mergeCells count="17">
    <mergeCell ref="A19:A23"/>
    <mergeCell ref="A24:A28"/>
    <mergeCell ref="B30:M30"/>
    <mergeCell ref="O30:Z30"/>
    <mergeCell ref="A9:A13"/>
    <mergeCell ref="O9:O13"/>
    <mergeCell ref="V9:V13"/>
    <mergeCell ref="A14:A18"/>
    <mergeCell ref="O14:O18"/>
    <mergeCell ref="V14:V18"/>
    <mergeCell ref="C2:G2"/>
    <mergeCell ref="I2:M2"/>
    <mergeCell ref="Q2:U2"/>
    <mergeCell ref="W2:AA2"/>
    <mergeCell ref="A4:A8"/>
    <mergeCell ref="O4:O8"/>
    <mergeCell ref="V4:V8"/>
  </mergeCells>
  <pageMargins left="0.7" right="0.7" top="0.75" bottom="0.75" header="0.511811023622047" footer="0.511811023622047"/>
  <pageSetup orientation="portrait" horizontalDpi="300" verticalDpi="300"/>
  <tableParts count="2">
    <tablePart r:id="rId1"/>
    <tablePart r:id="rId2"/>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J30"/>
  <sheetViews>
    <sheetView topLeftCell="A9" zoomScaleNormal="100" workbookViewId="0">
      <selection activeCell="R25" sqref="R25"/>
    </sheetView>
  </sheetViews>
  <sheetFormatPr defaultColWidth="4.5703125" defaultRowHeight="15"/>
  <cols>
    <col min="1" max="39" width="4.5703125" style="1306"/>
    <col min="40" max="40" width="4.5703125" style="1307"/>
    <col min="41" max="1024" width="4.5703125" style="1306"/>
  </cols>
  <sheetData>
    <row r="1" spans="12:41">
      <c r="N1" s="1306" t="s">
        <v>466</v>
      </c>
      <c r="R1" s="1306" t="s">
        <v>5129</v>
      </c>
      <c r="V1" s="1306" t="s">
        <v>5130</v>
      </c>
      <c r="Z1" s="1306" t="s">
        <v>5131</v>
      </c>
      <c r="AD1" s="1306" t="s">
        <v>5132</v>
      </c>
      <c r="AH1" s="1306" t="s">
        <v>466</v>
      </c>
      <c r="AO1" s="1306" t="s">
        <v>4695</v>
      </c>
    </row>
    <row r="2" spans="12:41" ht="21.75" customHeight="1">
      <c r="M2" s="1308"/>
      <c r="N2" s="1309"/>
      <c r="O2" s="1310"/>
      <c r="P2" s="1310"/>
      <c r="Q2" s="1311"/>
      <c r="R2" s="1408" t="s">
        <v>2463</v>
      </c>
      <c r="S2" s="1408"/>
      <c r="T2" s="1408"/>
      <c r="U2" s="1408"/>
      <c r="V2" s="1408" t="s">
        <v>639</v>
      </c>
      <c r="W2" s="1408"/>
      <c r="X2" s="1408"/>
      <c r="Y2" s="1408"/>
      <c r="Z2" s="1408" t="s">
        <v>640</v>
      </c>
      <c r="AA2" s="1408"/>
      <c r="AB2" s="1408"/>
      <c r="AC2" s="1408"/>
      <c r="AD2" s="1408" t="s">
        <v>641</v>
      </c>
      <c r="AE2" s="1408"/>
      <c r="AF2" s="1408"/>
      <c r="AG2" s="1408"/>
      <c r="AH2" s="1408" t="s">
        <v>1457</v>
      </c>
      <c r="AI2" s="1408"/>
      <c r="AJ2" s="1408"/>
      <c r="AK2" s="1408"/>
      <c r="AL2" s="1409" t="s">
        <v>5133</v>
      </c>
      <c r="AM2" s="1409"/>
      <c r="AN2" s="1312" t="s">
        <v>4179</v>
      </c>
    </row>
    <row r="3" spans="12:41" ht="21.75" customHeight="1">
      <c r="M3" s="1313"/>
      <c r="N3" s="1410" t="s">
        <v>5134</v>
      </c>
      <c r="O3" s="1410"/>
      <c r="P3" s="1410"/>
      <c r="Q3" s="1410"/>
      <c r="R3" s="1411" t="s">
        <v>1334</v>
      </c>
      <c r="S3" s="1411"/>
      <c r="T3" s="1411"/>
      <c r="U3" s="1411"/>
      <c r="V3" s="1411"/>
      <c r="W3" s="1411"/>
      <c r="X3" s="1411"/>
      <c r="Y3" s="1411"/>
      <c r="Z3" s="1411"/>
      <c r="AA3" s="1412" t="s">
        <v>4783</v>
      </c>
      <c r="AB3" s="1412"/>
      <c r="AC3" s="1412"/>
      <c r="AD3" s="1412"/>
      <c r="AE3" s="1412"/>
      <c r="AF3" s="1412"/>
      <c r="AG3" s="1412"/>
      <c r="AH3" s="1412"/>
      <c r="AI3" s="1412"/>
      <c r="AJ3" s="1413" t="s">
        <v>5135</v>
      </c>
      <c r="AK3" s="1413"/>
      <c r="AL3" s="1413"/>
      <c r="AM3" s="1413"/>
      <c r="AN3" s="1314" t="s">
        <v>2240</v>
      </c>
    </row>
    <row r="4" spans="12:41" ht="21.75" customHeight="1">
      <c r="M4" s="1313"/>
      <c r="N4" s="1410"/>
      <c r="O4" s="1410"/>
      <c r="P4" s="1410"/>
      <c r="Q4" s="1410"/>
      <c r="R4" s="1411"/>
      <c r="S4" s="1411"/>
      <c r="T4" s="1411"/>
      <c r="U4" s="1411"/>
      <c r="V4" s="1411"/>
      <c r="W4" s="1411"/>
      <c r="X4" s="1411"/>
      <c r="Y4" s="1411"/>
      <c r="Z4" s="1411"/>
      <c r="AA4" s="1412"/>
      <c r="AB4" s="1412"/>
      <c r="AC4" s="1412"/>
      <c r="AD4" s="1412"/>
      <c r="AE4" s="1412"/>
      <c r="AF4" s="1412"/>
      <c r="AG4" s="1412"/>
      <c r="AH4" s="1412"/>
      <c r="AI4" s="1412"/>
      <c r="AJ4" s="1413"/>
      <c r="AK4" s="1413"/>
      <c r="AL4" s="1413"/>
      <c r="AM4" s="1413"/>
      <c r="AN4" s="1414" t="s">
        <v>643</v>
      </c>
      <c r="AO4" s="1306" t="s">
        <v>5131</v>
      </c>
    </row>
    <row r="5" spans="12:41" ht="21.75" customHeight="1">
      <c r="L5" s="1306" t="s">
        <v>5132</v>
      </c>
      <c r="M5" s="1315"/>
      <c r="N5" s="1410"/>
      <c r="O5" s="1410"/>
      <c r="P5" s="1410"/>
      <c r="Q5" s="1410"/>
      <c r="R5" s="1411"/>
      <c r="S5" s="1411"/>
      <c r="T5" s="1411"/>
      <c r="U5" s="1411"/>
      <c r="V5" s="1411"/>
      <c r="W5" s="1411"/>
      <c r="X5" s="1411"/>
      <c r="Y5" s="1411"/>
      <c r="Z5" s="1411"/>
      <c r="AA5" s="1412"/>
      <c r="AB5" s="1412"/>
      <c r="AC5" s="1412"/>
      <c r="AD5" s="1412"/>
      <c r="AE5" s="1412"/>
      <c r="AF5" s="1412"/>
      <c r="AG5" s="1412"/>
      <c r="AH5" s="1412"/>
      <c r="AI5" s="1412"/>
      <c r="AJ5" s="1413"/>
      <c r="AK5" s="1413"/>
      <c r="AL5" s="1413"/>
      <c r="AM5" s="1413"/>
      <c r="AN5" s="1414"/>
    </row>
    <row r="6" spans="12:41" ht="21.75" customHeight="1">
      <c r="M6" s="1308"/>
      <c r="N6" s="1410"/>
      <c r="O6" s="1410"/>
      <c r="P6" s="1410"/>
      <c r="Q6" s="1410"/>
      <c r="R6" s="1411"/>
      <c r="S6" s="1411"/>
      <c r="T6" s="1411"/>
      <c r="U6" s="1411"/>
      <c r="V6" s="1411"/>
      <c r="W6" s="1411"/>
      <c r="X6" s="1411"/>
      <c r="Y6" s="1411"/>
      <c r="Z6" s="1411"/>
      <c r="AA6" s="1412"/>
      <c r="AB6" s="1412"/>
      <c r="AC6" s="1412"/>
      <c r="AD6" s="1412"/>
      <c r="AE6" s="1412"/>
      <c r="AF6" s="1412"/>
      <c r="AG6" s="1412"/>
      <c r="AH6" s="1412"/>
      <c r="AI6" s="1412"/>
      <c r="AJ6" s="1413"/>
      <c r="AK6" s="1413"/>
      <c r="AL6" s="1413"/>
      <c r="AM6" s="1413"/>
      <c r="AN6" s="1414"/>
    </row>
    <row r="7" spans="12:41" ht="21.75" customHeight="1">
      <c r="M7" s="1313"/>
      <c r="N7" s="1415" t="s">
        <v>5136</v>
      </c>
      <c r="O7" s="1415"/>
      <c r="P7" s="1415"/>
      <c r="Q7" s="1415"/>
      <c r="R7" s="1416"/>
      <c r="S7" s="1416"/>
      <c r="T7" s="1416"/>
      <c r="U7" s="1416"/>
      <c r="V7" s="1416"/>
      <c r="W7" s="1416"/>
      <c r="X7" s="1416"/>
      <c r="Y7" s="1416"/>
      <c r="Z7" s="1416"/>
      <c r="AA7" s="1416"/>
      <c r="AB7" s="1416"/>
      <c r="AC7" s="1416"/>
      <c r="AD7" s="1416"/>
      <c r="AE7" s="1416"/>
      <c r="AF7" s="1416"/>
      <c r="AG7" s="1416"/>
      <c r="AH7" s="1416"/>
      <c r="AI7" s="1416"/>
      <c r="AJ7" s="1415" t="s">
        <v>5137</v>
      </c>
      <c r="AK7" s="1415"/>
      <c r="AL7" s="1415"/>
      <c r="AM7" s="1415"/>
      <c r="AN7" s="1414"/>
    </row>
    <row r="8" spans="12:41" ht="21.75" customHeight="1">
      <c r="M8" s="1313"/>
      <c r="N8" s="1415"/>
      <c r="O8" s="1415"/>
      <c r="P8" s="1415"/>
      <c r="Q8" s="1415"/>
      <c r="R8" s="1416"/>
      <c r="S8" s="1416"/>
      <c r="T8" s="1416"/>
      <c r="U8" s="1416"/>
      <c r="V8" s="1416"/>
      <c r="W8" s="1416"/>
      <c r="X8" s="1416"/>
      <c r="Y8" s="1416"/>
      <c r="Z8" s="1416"/>
      <c r="AA8" s="1416"/>
      <c r="AB8" s="1416"/>
      <c r="AC8" s="1416"/>
      <c r="AD8" s="1416"/>
      <c r="AE8" s="1416"/>
      <c r="AF8" s="1416"/>
      <c r="AG8" s="1416"/>
      <c r="AH8" s="1416"/>
      <c r="AI8" s="1416"/>
      <c r="AJ8" s="1415"/>
      <c r="AK8" s="1415"/>
      <c r="AL8" s="1415"/>
      <c r="AM8" s="1415"/>
      <c r="AN8" s="1414" t="s">
        <v>566</v>
      </c>
      <c r="AO8" s="1306" t="s">
        <v>5130</v>
      </c>
    </row>
    <row r="9" spans="12:41" ht="21.75" customHeight="1">
      <c r="L9" s="1306" t="s">
        <v>5131</v>
      </c>
      <c r="M9" s="1315"/>
      <c r="N9" s="1415"/>
      <c r="O9" s="1415"/>
      <c r="P9" s="1415"/>
      <c r="Q9" s="1415"/>
      <c r="R9" s="1416"/>
      <c r="S9" s="1416"/>
      <c r="T9" s="1416"/>
      <c r="U9" s="1416"/>
      <c r="V9" s="1416"/>
      <c r="W9" s="1416"/>
      <c r="X9" s="1416"/>
      <c r="Y9" s="1416"/>
      <c r="Z9" s="1416"/>
      <c r="AA9" s="1416"/>
      <c r="AB9" s="1416"/>
      <c r="AC9" s="1416"/>
      <c r="AD9" s="1416"/>
      <c r="AE9" s="1416"/>
      <c r="AF9" s="1416"/>
      <c r="AG9" s="1416"/>
      <c r="AH9" s="1416"/>
      <c r="AI9" s="1416"/>
      <c r="AJ9" s="1415"/>
      <c r="AK9" s="1415"/>
      <c r="AL9" s="1415"/>
      <c r="AM9" s="1415"/>
      <c r="AN9" s="1414"/>
    </row>
    <row r="10" spans="12:41" ht="21.75" customHeight="1">
      <c r="M10" s="1308"/>
      <c r="N10" s="1415"/>
      <c r="O10" s="1415"/>
      <c r="P10" s="1415"/>
      <c r="Q10" s="1415"/>
      <c r="R10" s="1416"/>
      <c r="S10" s="1416"/>
      <c r="T10" s="1416"/>
      <c r="U10" s="1416"/>
      <c r="V10" s="1416"/>
      <c r="W10" s="1416"/>
      <c r="X10" s="1416"/>
      <c r="Y10" s="1416"/>
      <c r="Z10" s="1416"/>
      <c r="AA10" s="1416"/>
      <c r="AB10" s="1416"/>
      <c r="AC10" s="1416"/>
      <c r="AD10" s="1416"/>
      <c r="AE10" s="1416"/>
      <c r="AF10" s="1416"/>
      <c r="AG10" s="1416"/>
      <c r="AH10" s="1416"/>
      <c r="AI10" s="1416"/>
      <c r="AJ10" s="1415"/>
      <c r="AK10" s="1415"/>
      <c r="AL10" s="1415"/>
      <c r="AM10" s="1415"/>
      <c r="AN10" s="1414"/>
    </row>
    <row r="11" spans="12:41" ht="21.75" customHeight="1">
      <c r="M11" s="1313"/>
      <c r="N11" s="1415"/>
      <c r="O11" s="1415"/>
      <c r="P11" s="1415"/>
      <c r="Q11" s="1415"/>
      <c r="R11" s="1416"/>
      <c r="S11" s="1416"/>
      <c r="T11" s="1416"/>
      <c r="U11" s="1416"/>
      <c r="V11" s="1416"/>
      <c r="W11" s="1416"/>
      <c r="X11" s="1416"/>
      <c r="Y11" s="1416"/>
      <c r="Z11" s="1416"/>
      <c r="AA11" s="1416"/>
      <c r="AB11" s="1416"/>
      <c r="AC11" s="1416"/>
      <c r="AD11" s="1416"/>
      <c r="AE11" s="1416"/>
      <c r="AF11" s="1416"/>
      <c r="AG11" s="1416"/>
      <c r="AH11" s="1416"/>
      <c r="AI11" s="1416"/>
      <c r="AJ11" s="1415"/>
      <c r="AK11" s="1415"/>
      <c r="AL11" s="1415"/>
      <c r="AM11" s="1415"/>
      <c r="AN11" s="1414"/>
    </row>
    <row r="12" spans="12:41" ht="21.75" customHeight="1">
      <c r="M12" s="1313"/>
      <c r="N12" s="1415"/>
      <c r="O12" s="1415"/>
      <c r="P12" s="1415"/>
      <c r="Q12" s="1415"/>
      <c r="R12" s="1416"/>
      <c r="S12" s="1416"/>
      <c r="T12" s="1416"/>
      <c r="U12" s="1416"/>
      <c r="V12" s="1416"/>
      <c r="W12" s="1416"/>
      <c r="X12" s="1416"/>
      <c r="Y12" s="1416"/>
      <c r="Z12" s="1416"/>
      <c r="AA12" s="1416"/>
      <c r="AB12" s="1416"/>
      <c r="AC12" s="1416"/>
      <c r="AD12" s="1416"/>
      <c r="AE12" s="1416"/>
      <c r="AF12" s="1416"/>
      <c r="AG12" s="1416"/>
      <c r="AH12" s="1416"/>
      <c r="AI12" s="1416"/>
      <c r="AJ12" s="1415"/>
      <c r="AK12" s="1415"/>
      <c r="AL12" s="1415"/>
      <c r="AM12" s="1415"/>
      <c r="AN12" s="1414" t="s">
        <v>644</v>
      </c>
      <c r="AO12" s="1306" t="s">
        <v>5129</v>
      </c>
    </row>
    <row r="13" spans="12:41" ht="21.75" customHeight="1">
      <c r="L13" s="1306" t="s">
        <v>5130</v>
      </c>
      <c r="M13" s="1315"/>
      <c r="N13" s="1415"/>
      <c r="O13" s="1415"/>
      <c r="P13" s="1415"/>
      <c r="Q13" s="1415"/>
      <c r="R13" s="1416"/>
      <c r="S13" s="1416"/>
      <c r="T13" s="1416"/>
      <c r="U13" s="1416"/>
      <c r="V13" s="1416"/>
      <c r="W13" s="1416"/>
      <c r="X13" s="1416"/>
      <c r="Y13" s="1416"/>
      <c r="Z13" s="1416"/>
      <c r="AA13" s="1416"/>
      <c r="AB13" s="1416"/>
      <c r="AC13" s="1416"/>
      <c r="AD13" s="1416"/>
      <c r="AE13" s="1416"/>
      <c r="AF13" s="1416"/>
      <c r="AG13" s="1416"/>
      <c r="AH13" s="1416"/>
      <c r="AI13" s="1416"/>
      <c r="AJ13" s="1415"/>
      <c r="AK13" s="1415"/>
      <c r="AL13" s="1415"/>
      <c r="AM13" s="1415"/>
      <c r="AN13" s="1414"/>
    </row>
    <row r="14" spans="12:41" ht="21.75" customHeight="1">
      <c r="M14" s="1308"/>
      <c r="N14" s="1415"/>
      <c r="O14" s="1415"/>
      <c r="P14" s="1415"/>
      <c r="Q14" s="1415"/>
      <c r="R14" s="1416"/>
      <c r="S14" s="1416"/>
      <c r="T14" s="1416"/>
      <c r="U14" s="1416"/>
      <c r="V14" s="1416"/>
      <c r="W14" s="1416"/>
      <c r="X14" s="1416"/>
      <c r="Y14" s="1416"/>
      <c r="Z14" s="1416"/>
      <c r="AA14" s="1416"/>
      <c r="AB14" s="1416"/>
      <c r="AC14" s="1416"/>
      <c r="AD14" s="1416"/>
      <c r="AE14" s="1416"/>
      <c r="AF14" s="1416"/>
      <c r="AG14" s="1416"/>
      <c r="AH14" s="1416"/>
      <c r="AI14" s="1416"/>
      <c r="AJ14" s="1415"/>
      <c r="AK14" s="1415"/>
      <c r="AL14" s="1415"/>
      <c r="AM14" s="1415"/>
      <c r="AN14" s="1414"/>
    </row>
    <row r="15" spans="12:41" ht="21.75" customHeight="1">
      <c r="M15" s="1313"/>
      <c r="N15" s="1415"/>
      <c r="O15" s="1415"/>
      <c r="P15" s="1415"/>
      <c r="Q15" s="1415"/>
      <c r="R15" s="1416"/>
      <c r="S15" s="1416"/>
      <c r="T15" s="1416"/>
      <c r="U15" s="1416"/>
      <c r="V15" s="1416"/>
      <c r="W15" s="1416"/>
      <c r="X15" s="1416"/>
      <c r="Y15" s="1416"/>
      <c r="Z15" s="1416"/>
      <c r="AA15" s="1416"/>
      <c r="AB15" s="1416"/>
      <c r="AC15" s="1416"/>
      <c r="AD15" s="1416"/>
      <c r="AE15" s="1416"/>
      <c r="AF15" s="1416"/>
      <c r="AG15" s="1416"/>
      <c r="AH15" s="1416"/>
      <c r="AI15" s="1416"/>
      <c r="AJ15" s="1415"/>
      <c r="AK15" s="1415"/>
      <c r="AL15" s="1415"/>
      <c r="AM15" s="1415"/>
      <c r="AN15" s="1414"/>
    </row>
    <row r="16" spans="12:41" ht="21.75" customHeight="1">
      <c r="M16" s="1313"/>
      <c r="N16" s="1415" t="s">
        <v>5138</v>
      </c>
      <c r="O16" s="1415"/>
      <c r="P16" s="1415"/>
      <c r="Q16" s="1415"/>
      <c r="R16" s="1416"/>
      <c r="S16" s="1416"/>
      <c r="T16" s="1416"/>
      <c r="U16" s="1416"/>
      <c r="V16" s="1416"/>
      <c r="W16" s="1416"/>
      <c r="X16" s="1416"/>
      <c r="Y16" s="1416"/>
      <c r="Z16" s="1416"/>
      <c r="AA16" s="1416"/>
      <c r="AB16" s="1416"/>
      <c r="AC16" s="1416"/>
      <c r="AD16" s="1416"/>
      <c r="AE16" s="1416"/>
      <c r="AF16" s="1416"/>
      <c r="AG16" s="1416"/>
      <c r="AH16" s="1416"/>
      <c r="AI16" s="1416"/>
      <c r="AJ16" s="1415" t="s">
        <v>5139</v>
      </c>
      <c r="AK16" s="1415"/>
      <c r="AL16" s="1415"/>
      <c r="AM16" s="1415"/>
      <c r="AN16" s="1414"/>
      <c r="AO16" s="1306" t="s">
        <v>466</v>
      </c>
    </row>
    <row r="17" spans="12:41" ht="21.75" customHeight="1">
      <c r="L17" s="1306" t="s">
        <v>5129</v>
      </c>
      <c r="M17" s="1315"/>
      <c r="N17" s="1415"/>
      <c r="O17" s="1415"/>
      <c r="P17" s="1415"/>
      <c r="Q17" s="1415"/>
      <c r="R17" s="1416"/>
      <c r="S17" s="1416"/>
      <c r="T17" s="1416"/>
      <c r="U17" s="1416"/>
      <c r="V17" s="1416"/>
      <c r="W17" s="1416"/>
      <c r="X17" s="1416"/>
      <c r="Y17" s="1416"/>
      <c r="Z17" s="1416"/>
      <c r="AA17" s="1416"/>
      <c r="AB17" s="1416"/>
      <c r="AC17" s="1416"/>
      <c r="AD17" s="1416"/>
      <c r="AE17" s="1416"/>
      <c r="AF17" s="1416"/>
      <c r="AG17" s="1416"/>
      <c r="AH17" s="1416"/>
      <c r="AI17" s="1416"/>
      <c r="AJ17" s="1415"/>
      <c r="AK17" s="1415"/>
      <c r="AL17" s="1415"/>
      <c r="AM17" s="1415"/>
      <c r="AN17" s="1414"/>
    </row>
    <row r="18" spans="12:41" ht="21.75" customHeight="1">
      <c r="M18" s="1308"/>
      <c r="N18" s="1415"/>
      <c r="O18" s="1415"/>
      <c r="P18" s="1415"/>
      <c r="Q18" s="1415"/>
      <c r="R18" s="1416"/>
      <c r="S18" s="1416"/>
      <c r="T18" s="1416"/>
      <c r="U18" s="1416"/>
      <c r="V18" s="1416"/>
      <c r="W18" s="1416"/>
      <c r="X18" s="1416"/>
      <c r="Y18" s="1416"/>
      <c r="Z18" s="1416"/>
      <c r="AA18" s="1416"/>
      <c r="AB18" s="1416"/>
      <c r="AC18" s="1416"/>
      <c r="AD18" s="1416"/>
      <c r="AE18" s="1416"/>
      <c r="AF18" s="1416"/>
      <c r="AG18" s="1416"/>
      <c r="AH18" s="1416"/>
      <c r="AI18" s="1416"/>
      <c r="AJ18" s="1415"/>
      <c r="AK18" s="1415"/>
      <c r="AL18" s="1415"/>
      <c r="AM18" s="1415"/>
      <c r="AN18" s="1414"/>
    </row>
    <row r="19" spans="12:41" ht="21.75" customHeight="1">
      <c r="M19" s="1313"/>
      <c r="N19" s="1415"/>
      <c r="O19" s="1415"/>
      <c r="P19" s="1415"/>
      <c r="Q19" s="1415"/>
      <c r="R19" s="1416"/>
      <c r="S19" s="1416"/>
      <c r="T19" s="1416"/>
      <c r="U19" s="1416"/>
      <c r="V19" s="1416"/>
      <c r="W19" s="1416"/>
      <c r="X19" s="1416"/>
      <c r="Y19" s="1416"/>
      <c r="Z19" s="1416"/>
      <c r="AA19" s="1416"/>
      <c r="AB19" s="1416"/>
      <c r="AC19" s="1416"/>
      <c r="AD19" s="1416"/>
      <c r="AE19" s="1416"/>
      <c r="AF19" s="1416"/>
      <c r="AG19" s="1416"/>
      <c r="AH19" s="1416"/>
      <c r="AI19" s="1416"/>
      <c r="AJ19" s="1415"/>
      <c r="AK19" s="1415"/>
      <c r="AL19" s="1415"/>
      <c r="AM19" s="1415"/>
      <c r="AN19" s="1414"/>
    </row>
    <row r="20" spans="12:41" ht="21.75" customHeight="1">
      <c r="L20" s="1306" t="s">
        <v>4695</v>
      </c>
      <c r="M20" s="1313"/>
      <c r="N20" s="1415"/>
      <c r="O20" s="1415"/>
      <c r="P20" s="1415"/>
      <c r="Q20" s="1415"/>
      <c r="R20" s="1416"/>
      <c r="S20" s="1416"/>
      <c r="T20" s="1416"/>
      <c r="U20" s="1416"/>
      <c r="V20" s="1416"/>
      <c r="W20" s="1416"/>
      <c r="X20" s="1416"/>
      <c r="Y20" s="1416"/>
      <c r="Z20" s="1416"/>
      <c r="AA20" s="1416"/>
      <c r="AB20" s="1416"/>
      <c r="AC20" s="1416"/>
      <c r="AD20" s="1416"/>
      <c r="AE20" s="1416"/>
      <c r="AF20" s="1416"/>
      <c r="AG20" s="1416"/>
      <c r="AH20" s="1416"/>
      <c r="AI20" s="1416"/>
      <c r="AJ20" s="1415"/>
      <c r="AK20" s="1415"/>
      <c r="AL20" s="1415"/>
      <c r="AM20" s="1415"/>
      <c r="AN20" s="1316"/>
      <c r="AO20" s="1306" t="s">
        <v>5132</v>
      </c>
    </row>
    <row r="21" spans="12:41" ht="21.75" customHeight="1">
      <c r="M21" s="1315"/>
      <c r="N21" s="1415"/>
      <c r="O21" s="1415"/>
      <c r="P21" s="1415"/>
      <c r="Q21" s="1415"/>
      <c r="R21" s="1416"/>
      <c r="S21" s="1416"/>
      <c r="T21" s="1416"/>
      <c r="U21" s="1416"/>
      <c r="V21" s="1416"/>
      <c r="W21" s="1416"/>
      <c r="X21" s="1416"/>
      <c r="Y21" s="1416"/>
      <c r="Z21" s="1416"/>
      <c r="AA21" s="1416"/>
      <c r="AB21" s="1416"/>
      <c r="AC21" s="1416"/>
      <c r="AD21" s="1416"/>
      <c r="AE21" s="1416"/>
      <c r="AF21" s="1416"/>
      <c r="AG21" s="1416"/>
      <c r="AH21" s="1416"/>
      <c r="AI21" s="1416"/>
      <c r="AJ21" s="1415"/>
      <c r="AK21" s="1415"/>
      <c r="AL21" s="1415"/>
      <c r="AM21" s="1415"/>
      <c r="AN21" s="1317"/>
    </row>
    <row r="22" spans="12:41" ht="21.75" customHeight="1">
      <c r="M22" s="1308"/>
      <c r="N22" s="1415"/>
      <c r="O22" s="1415"/>
      <c r="P22" s="1415"/>
      <c r="Q22" s="1415"/>
      <c r="R22" s="1416"/>
      <c r="S22" s="1416"/>
      <c r="T22" s="1416"/>
      <c r="U22" s="1416"/>
      <c r="V22" s="1416"/>
      <c r="W22" s="1416"/>
      <c r="X22" s="1416"/>
      <c r="Y22" s="1416"/>
      <c r="Z22" s="1416"/>
      <c r="AA22" s="1416"/>
      <c r="AB22" s="1416"/>
      <c r="AC22" s="1416"/>
      <c r="AD22" s="1416"/>
      <c r="AE22" s="1416"/>
      <c r="AF22" s="1416"/>
      <c r="AG22" s="1416"/>
      <c r="AH22" s="1416"/>
      <c r="AI22" s="1416"/>
      <c r="AJ22" s="1415"/>
      <c r="AK22" s="1415"/>
      <c r="AL22" s="1415"/>
      <c r="AM22" s="1415"/>
      <c r="AN22" s="1317"/>
    </row>
    <row r="23" spans="12:41" ht="21.75" customHeight="1">
      <c r="M23" s="1313"/>
      <c r="N23" s="1415"/>
      <c r="O23" s="1415"/>
      <c r="P23" s="1415"/>
      <c r="Q23" s="1415"/>
      <c r="R23" s="1416"/>
      <c r="S23" s="1416"/>
      <c r="T23" s="1416"/>
      <c r="U23" s="1416"/>
      <c r="V23" s="1416"/>
      <c r="W23" s="1416"/>
      <c r="X23" s="1416"/>
      <c r="Y23" s="1416"/>
      <c r="Z23" s="1416"/>
      <c r="AA23" s="1416"/>
      <c r="AB23" s="1416"/>
      <c r="AC23" s="1416"/>
      <c r="AD23" s="1416"/>
      <c r="AE23" s="1416"/>
      <c r="AF23" s="1416"/>
      <c r="AG23" s="1416"/>
      <c r="AH23" s="1416"/>
      <c r="AI23" s="1416"/>
      <c r="AJ23" s="1415"/>
      <c r="AK23" s="1415"/>
      <c r="AL23" s="1415"/>
      <c r="AM23" s="1415"/>
      <c r="AN23" s="1314"/>
    </row>
    <row r="24" spans="12:41" ht="21.75" customHeight="1">
      <c r="M24" s="1313"/>
      <c r="N24" s="1415"/>
      <c r="O24" s="1415"/>
      <c r="P24" s="1415"/>
      <c r="Q24" s="1415"/>
      <c r="R24" s="1416"/>
      <c r="S24" s="1416"/>
      <c r="T24" s="1416"/>
      <c r="U24" s="1416"/>
      <c r="V24" s="1416"/>
      <c r="W24" s="1416"/>
      <c r="X24" s="1416"/>
      <c r="Y24" s="1416"/>
      <c r="Z24" s="1416"/>
      <c r="AA24" s="1416"/>
      <c r="AB24" s="1416"/>
      <c r="AC24" s="1416"/>
      <c r="AD24" s="1416"/>
      <c r="AE24" s="1416"/>
      <c r="AF24" s="1416"/>
      <c r="AG24" s="1416"/>
      <c r="AH24" s="1416"/>
      <c r="AI24" s="1416"/>
      <c r="AJ24" s="1415"/>
      <c r="AK24" s="1415"/>
      <c r="AL24" s="1415"/>
      <c r="AM24" s="1415"/>
      <c r="AN24" s="1316"/>
      <c r="AO24" s="1306" t="s">
        <v>5130</v>
      </c>
    </row>
    <row r="25" spans="12:41" ht="21.75" customHeight="1">
      <c r="L25" s="1306" t="s">
        <v>5131</v>
      </c>
      <c r="M25" s="1315"/>
      <c r="N25" s="1417" t="s">
        <v>5140</v>
      </c>
      <c r="O25" s="1417"/>
      <c r="P25" s="1417"/>
      <c r="Q25" s="1417"/>
      <c r="R25" s="1418" t="s">
        <v>5141</v>
      </c>
      <c r="S25" s="1418"/>
      <c r="T25" s="1418"/>
      <c r="U25" s="1418"/>
      <c r="V25" s="1418"/>
      <c r="W25" s="1418"/>
      <c r="X25" s="1418"/>
      <c r="Y25" s="1418"/>
      <c r="Z25" s="1418"/>
      <c r="AA25" s="1418" t="s">
        <v>5142</v>
      </c>
      <c r="AB25" s="1418"/>
      <c r="AC25" s="1418"/>
      <c r="AD25" s="1418"/>
      <c r="AE25" s="1418"/>
      <c r="AF25" s="1418"/>
      <c r="AG25" s="1418"/>
      <c r="AH25" s="1418"/>
      <c r="AI25" s="1418"/>
      <c r="AJ25" s="1419" t="s">
        <v>5143</v>
      </c>
      <c r="AK25" s="1419"/>
      <c r="AL25" s="1419"/>
      <c r="AM25" s="1419"/>
      <c r="AN25" s="1317"/>
    </row>
    <row r="26" spans="12:41" ht="21.75" customHeight="1">
      <c r="M26" s="1308"/>
      <c r="N26" s="1417"/>
      <c r="O26" s="1417"/>
      <c r="P26" s="1417"/>
      <c r="Q26" s="1417"/>
      <c r="R26" s="1418"/>
      <c r="S26" s="1418"/>
      <c r="T26" s="1418"/>
      <c r="U26" s="1418"/>
      <c r="V26" s="1418"/>
      <c r="W26" s="1418"/>
      <c r="X26" s="1418"/>
      <c r="Y26" s="1418"/>
      <c r="Z26" s="1418"/>
      <c r="AA26" s="1418"/>
      <c r="AB26" s="1418"/>
      <c r="AC26" s="1418"/>
      <c r="AD26" s="1418"/>
      <c r="AE26" s="1418"/>
      <c r="AF26" s="1418"/>
      <c r="AG26" s="1418"/>
      <c r="AH26" s="1418"/>
      <c r="AI26" s="1418"/>
      <c r="AJ26" s="1419"/>
      <c r="AK26" s="1419"/>
      <c r="AL26" s="1419"/>
      <c r="AM26" s="1419"/>
      <c r="AN26" s="1317"/>
    </row>
    <row r="27" spans="12:41" ht="21.75" customHeight="1">
      <c r="M27" s="1313"/>
      <c r="N27" s="1417"/>
      <c r="O27" s="1417"/>
      <c r="P27" s="1417"/>
      <c r="Q27" s="1417"/>
      <c r="R27" s="1418"/>
      <c r="S27" s="1418"/>
      <c r="T27" s="1418"/>
      <c r="U27" s="1418"/>
      <c r="V27" s="1418"/>
      <c r="W27" s="1418"/>
      <c r="X27" s="1418"/>
      <c r="Y27" s="1418"/>
      <c r="Z27" s="1418"/>
      <c r="AA27" s="1418"/>
      <c r="AB27" s="1418"/>
      <c r="AC27" s="1418"/>
      <c r="AD27" s="1418"/>
      <c r="AE27" s="1418"/>
      <c r="AF27" s="1418"/>
      <c r="AG27" s="1418"/>
      <c r="AH27" s="1418"/>
      <c r="AI27" s="1418"/>
      <c r="AJ27" s="1419"/>
      <c r="AK27" s="1419"/>
      <c r="AL27" s="1419"/>
      <c r="AM27" s="1419"/>
      <c r="AN27" s="1314"/>
    </row>
    <row r="28" spans="12:41" ht="21.75" customHeight="1">
      <c r="M28" s="1313"/>
      <c r="N28" s="1417"/>
      <c r="O28" s="1417"/>
      <c r="P28" s="1417"/>
      <c r="Q28" s="1417"/>
      <c r="R28" s="1418"/>
      <c r="S28" s="1418"/>
      <c r="T28" s="1418"/>
      <c r="U28" s="1418"/>
      <c r="V28" s="1418"/>
      <c r="W28" s="1418"/>
      <c r="X28" s="1418"/>
      <c r="Y28" s="1418"/>
      <c r="Z28" s="1418"/>
      <c r="AA28" s="1418"/>
      <c r="AB28" s="1418"/>
      <c r="AC28" s="1418"/>
      <c r="AD28" s="1418"/>
      <c r="AE28" s="1418"/>
      <c r="AF28" s="1418"/>
      <c r="AG28" s="1418"/>
      <c r="AH28" s="1418"/>
      <c r="AI28" s="1418"/>
      <c r="AJ28" s="1419"/>
      <c r="AK28" s="1419"/>
      <c r="AL28" s="1419"/>
      <c r="AM28" s="1419"/>
      <c r="AN28" s="1316"/>
    </row>
    <row r="29" spans="12:41" ht="21.75" customHeight="1">
      <c r="L29" s="1306" t="s">
        <v>5130</v>
      </c>
      <c r="M29" s="1315"/>
      <c r="N29" s="1310"/>
      <c r="O29" s="1310"/>
      <c r="P29" s="1310"/>
      <c r="Q29" s="1311"/>
      <c r="R29" s="1309"/>
      <c r="S29" s="1310"/>
      <c r="T29" s="1310"/>
      <c r="U29" s="1311"/>
      <c r="V29" s="1309"/>
      <c r="W29" s="1310"/>
      <c r="X29" s="1310"/>
      <c r="Y29" s="1311"/>
      <c r="Z29" s="1309"/>
      <c r="AA29" s="1310"/>
      <c r="AB29" s="1310"/>
      <c r="AC29" s="1311"/>
      <c r="AD29" s="1309"/>
      <c r="AE29" s="1310"/>
      <c r="AF29" s="1310"/>
      <c r="AG29" s="1311"/>
      <c r="AH29" s="1309"/>
      <c r="AI29" s="1310"/>
      <c r="AJ29" s="1310"/>
      <c r="AK29" s="1311"/>
      <c r="AL29" s="1309"/>
      <c r="AM29" s="1310"/>
      <c r="AN29" s="1318"/>
    </row>
    <row r="30" spans="12:41">
      <c r="Q30" s="1306" t="s">
        <v>5129</v>
      </c>
      <c r="U30" s="1306" t="s">
        <v>466</v>
      </c>
      <c r="Y30" s="1306" t="s">
        <v>5132</v>
      </c>
      <c r="AC30" s="1306" t="s">
        <v>5129</v>
      </c>
      <c r="AG30" s="1306" t="s">
        <v>466</v>
      </c>
      <c r="AK30" s="1306" t="s">
        <v>5132</v>
      </c>
      <c r="AO30" s="1306" t="s">
        <v>5131</v>
      </c>
    </row>
  </sheetData>
  <mergeCells count="23">
    <mergeCell ref="N25:Q28"/>
    <mergeCell ref="R25:Z28"/>
    <mergeCell ref="AA25:AI28"/>
    <mergeCell ref="AJ25:AM28"/>
    <mergeCell ref="AN4:AN7"/>
    <mergeCell ref="N7:Q15"/>
    <mergeCell ref="R7:AI24"/>
    <mergeCell ref="AJ7:AM15"/>
    <mergeCell ref="AN8:AN11"/>
    <mergeCell ref="AN12:AN15"/>
    <mergeCell ref="N16:Q24"/>
    <mergeCell ref="AJ16:AM24"/>
    <mergeCell ref="AN16:AN19"/>
    <mergeCell ref="AL2:AM2"/>
    <mergeCell ref="N3:Q6"/>
    <mergeCell ref="R3:Z6"/>
    <mergeCell ref="AA3:AI6"/>
    <mergeCell ref="AJ3:AM6"/>
    <mergeCell ref="R2:U2"/>
    <mergeCell ref="V2:Y2"/>
    <mergeCell ref="Z2:AC2"/>
    <mergeCell ref="AD2:AG2"/>
    <mergeCell ref="AH2:AK2"/>
  </mergeCells>
  <pageMargins left="0.7" right="0.7" top="0.75" bottom="0.75" header="0.511811023622047" footer="0.511811023622047"/>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1536</TotalTime>
  <Application>Microsoft Excel</Application>
  <DocSecurity>0</DocSecurity>
  <ScaleCrop>false</ScaleCrop>
  <HeadingPairs>
    <vt:vector size="4" baseType="variant">
      <vt:variant>
        <vt:lpstr>Worksheets</vt:lpstr>
      </vt:variant>
      <vt:variant>
        <vt:i4>29</vt:i4>
      </vt:variant>
      <vt:variant>
        <vt:lpstr>Named Ranges</vt:lpstr>
      </vt:variant>
      <vt:variant>
        <vt:i4>153</vt:i4>
      </vt:variant>
    </vt:vector>
  </HeadingPairs>
  <TitlesOfParts>
    <vt:vector size="182" baseType="lpstr">
      <vt:lpstr>JHora</vt:lpstr>
      <vt:lpstr>Basics</vt:lpstr>
      <vt:lpstr>Charts</vt:lpstr>
      <vt:lpstr>Sp.Nakshatra</vt:lpstr>
      <vt:lpstr>Ayush</vt:lpstr>
      <vt:lpstr>Shadbala</vt:lpstr>
      <vt:lpstr>Vimshottari</vt:lpstr>
      <vt:lpstr>Vimshottari@Date</vt:lpstr>
      <vt:lpstr>Yuti Yoga</vt:lpstr>
      <vt:lpstr>Udu</vt:lpstr>
      <vt:lpstr>KalaChakra Dasa</vt:lpstr>
      <vt:lpstr>Ashtakavarga</vt:lpstr>
      <vt:lpstr>DATA</vt:lpstr>
      <vt:lpstr>Tattva</vt:lpstr>
      <vt:lpstr>NarayanaDasa</vt:lpstr>
      <vt:lpstr>Sarvotabhadra</vt:lpstr>
      <vt:lpstr>Sahamas</vt:lpstr>
      <vt:lpstr>NavaTara</vt:lpstr>
      <vt:lpstr>Shata Patha Chakra</vt:lpstr>
      <vt:lpstr>Kalachakra</vt:lpstr>
      <vt:lpstr>Lagna</vt:lpstr>
      <vt:lpstr>MatchMaking</vt:lpstr>
      <vt:lpstr>Murhurtha Rulers</vt:lpstr>
      <vt:lpstr>Navanayaka</vt:lpstr>
      <vt:lpstr>Progressions</vt:lpstr>
      <vt:lpstr>WorkSheet</vt:lpstr>
      <vt:lpstr>Rudra</vt:lpstr>
      <vt:lpstr>PanchaPakshi</vt:lpstr>
      <vt:lpstr>RashiNxPada</vt:lpstr>
      <vt:lpstr>Ashtakavarga!_FilterDatabase</vt:lpstr>
      <vt:lpstr>Sahamas!_FilterDatabase</vt:lpstr>
      <vt:lpstr>Age</vt:lpstr>
      <vt:lpstr>Ahargana</vt:lpstr>
      <vt:lpstr>AharganaBase</vt:lpstr>
      <vt:lpstr>AharganaBaseDate</vt:lpstr>
      <vt:lpstr>AllPAV</vt:lpstr>
      <vt:lpstr>AshtottariNaxRulers</vt:lpstr>
      <vt:lpstr>AshtottariNaxYears</vt:lpstr>
      <vt:lpstr>Balance1</vt:lpstr>
      <vt:lpstr>BAV</vt:lpstr>
      <vt:lpstr>BhavaInfo</vt:lpstr>
      <vt:lpstr>BorderDegrees</vt:lpstr>
      <vt:lpstr>Chart</vt:lpstr>
      <vt:lpstr>ChartInfo</vt:lpstr>
      <vt:lpstr>D150EnglishNames</vt:lpstr>
      <vt:lpstr>D150InequalDegrees</vt:lpstr>
      <vt:lpstr>D20Deities</vt:lpstr>
      <vt:lpstr>D24Deities</vt:lpstr>
      <vt:lpstr>D27Deities</vt:lpstr>
      <vt:lpstr>D60Dieties</vt:lpstr>
      <vt:lpstr>DasaSpans</vt:lpstr>
      <vt:lpstr>DasaYears</vt:lpstr>
      <vt:lpstr>Date</vt:lpstr>
      <vt:lpstr>DayBirth</vt:lpstr>
      <vt:lpstr>DaysInYear</vt:lpstr>
      <vt:lpstr>DinaMaana</vt:lpstr>
      <vt:lpstr>DivCharts</vt:lpstr>
      <vt:lpstr>DoB</vt:lpstr>
      <vt:lpstr>DTattvaUnit</vt:lpstr>
      <vt:lpstr>Excel_BuiltIn__FilterDatabase_11</vt:lpstr>
      <vt:lpstr>FinancialRelations</vt:lpstr>
      <vt:lpstr>FirstDasaYrs1</vt:lpstr>
      <vt:lpstr>FourthLord</vt:lpstr>
      <vt:lpstr>GhatakaChakra</vt:lpstr>
      <vt:lpstr>GowriPanchanga</vt:lpstr>
      <vt:lpstr>GrahaOrder</vt:lpstr>
      <vt:lpstr>GrahaShayanadiGunanka</vt:lpstr>
      <vt:lpstr>GrahaWeekdayOrder</vt:lpstr>
      <vt:lpstr>Gunachakra</vt:lpstr>
      <vt:lpstr>Hora</vt:lpstr>
      <vt:lpstr>HoraLagna</vt:lpstr>
      <vt:lpstr>JanmaGhatika</vt:lpstr>
      <vt:lpstr>JupDeb</vt:lpstr>
      <vt:lpstr>JupEx</vt:lpstr>
      <vt:lpstr>Jupiter</vt:lpstr>
      <vt:lpstr>JupiterHouse</vt:lpstr>
      <vt:lpstr>Kalachakra</vt:lpstr>
      <vt:lpstr>KalachakraTbl</vt:lpstr>
      <vt:lpstr>Ketu</vt:lpstr>
      <vt:lpstr>KetuDeb</vt:lpstr>
      <vt:lpstr>KetuEx</vt:lpstr>
      <vt:lpstr>Lagna</vt:lpstr>
      <vt:lpstr>Lagnahouse</vt:lpstr>
      <vt:lpstr>LagnaLord</vt:lpstr>
      <vt:lpstr>LagnaLordD</vt:lpstr>
      <vt:lpstr>LL</vt:lpstr>
      <vt:lpstr>Lord2h</vt:lpstr>
      <vt:lpstr>LordsInHouses</vt:lpstr>
      <vt:lpstr>MahaDasaTable</vt:lpstr>
      <vt:lpstr>Mandi</vt:lpstr>
      <vt:lpstr>Mars</vt:lpstr>
      <vt:lpstr>MarsDeb</vt:lpstr>
      <vt:lpstr>MarsEx</vt:lpstr>
      <vt:lpstr>MarsHouse</vt:lpstr>
      <vt:lpstr>MercDeb</vt:lpstr>
      <vt:lpstr>MercEx</vt:lpstr>
      <vt:lpstr>Mercury</vt:lpstr>
      <vt:lpstr>MercuryHouse</vt:lpstr>
      <vt:lpstr>Moon</vt:lpstr>
      <vt:lpstr>MoonDeb</vt:lpstr>
      <vt:lpstr>MoonDeg</vt:lpstr>
      <vt:lpstr>MoonEx</vt:lpstr>
      <vt:lpstr>MoonHouse</vt:lpstr>
      <vt:lpstr>MoonPeriod</vt:lpstr>
      <vt:lpstr>NakshatraInfo</vt:lpstr>
      <vt:lpstr>NakshatraSpan</vt:lpstr>
      <vt:lpstr>NakshatraTbl</vt:lpstr>
      <vt:lpstr>NaxDeg28</vt:lpstr>
      <vt:lpstr>NaxNames28</vt:lpstr>
      <vt:lpstr>NDasaC</vt:lpstr>
      <vt:lpstr>NDasaSeq</vt:lpstr>
      <vt:lpstr>NDDaysInYEar</vt:lpstr>
      <vt:lpstr>NDDoB</vt:lpstr>
      <vt:lpstr>NDTable</vt:lpstr>
      <vt:lpstr>Pachakaadi</vt:lpstr>
      <vt:lpstr>palbhaa</vt:lpstr>
      <vt:lpstr>PanchangaVaara</vt:lpstr>
      <vt:lpstr>PanchangaYoga</vt:lpstr>
      <vt:lpstr>PlanetData</vt:lpstr>
      <vt:lpstr>PlanetDataSeq</vt:lpstr>
      <vt:lpstr>Basics!Print_Area</vt:lpstr>
      <vt:lpstr>PunyaSaham</vt:lpstr>
      <vt:lpstr>PushyaDegree</vt:lpstr>
      <vt:lpstr>RaashiMaan2</vt:lpstr>
      <vt:lpstr>RaashiMaana</vt:lpstr>
      <vt:lpstr>RaashiMaana1</vt:lpstr>
      <vt:lpstr>Raashimaana3</vt:lpstr>
      <vt:lpstr>Rahu</vt:lpstr>
      <vt:lpstr>RahuDeb</vt:lpstr>
      <vt:lpstr>RahuEx</vt:lpstr>
      <vt:lpstr>RahuHouse</vt:lpstr>
      <vt:lpstr>RasiDeg</vt:lpstr>
      <vt:lpstr>RasiInfo</vt:lpstr>
      <vt:lpstr>RasiNarayan</vt:lpstr>
      <vt:lpstr>RasiTbl_11</vt:lpstr>
      <vt:lpstr>RasiTbl_3</vt:lpstr>
      <vt:lpstr>RatriMaana</vt:lpstr>
      <vt:lpstr>RsInfo</vt:lpstr>
      <vt:lpstr>RsTbl</vt:lpstr>
      <vt:lpstr>SamvatsaraTable</vt:lpstr>
      <vt:lpstr>SatDeb</vt:lpstr>
      <vt:lpstr>SatEx</vt:lpstr>
      <vt:lpstr>Saturn</vt:lpstr>
      <vt:lpstr>SaturnHouse</vt:lpstr>
      <vt:lpstr>SecondLord</vt:lpstr>
      <vt:lpstr>ShayanaadiAvastha</vt:lpstr>
      <vt:lpstr>ShodhanaMinimum</vt:lpstr>
      <vt:lpstr>SignSym</vt:lpstr>
      <vt:lpstr>StarDeg</vt:lpstr>
      <vt:lpstr>Start1</vt:lpstr>
      <vt:lpstr>Sun</vt:lpstr>
      <vt:lpstr>SunDeb</vt:lpstr>
      <vt:lpstr>SunDeg</vt:lpstr>
      <vt:lpstr>SunEx</vt:lpstr>
      <vt:lpstr>SunHouse</vt:lpstr>
      <vt:lpstr>SunRise</vt:lpstr>
      <vt:lpstr>SunSet</vt:lpstr>
      <vt:lpstr>ThirdLord</vt:lpstr>
      <vt:lpstr>Tithi</vt:lpstr>
      <vt:lpstr>ToB</vt:lpstr>
      <vt:lpstr>triṁśāṁśa_phala</vt:lpstr>
      <vt:lpstr>VenuDeb</vt:lpstr>
      <vt:lpstr>Venus</vt:lpstr>
      <vt:lpstr>VenusEx</vt:lpstr>
      <vt:lpstr>VenusHouse</vt:lpstr>
      <vt:lpstr>VimAD</vt:lpstr>
      <vt:lpstr>VimAntarDasa</vt:lpstr>
      <vt:lpstr>VimFactor</vt:lpstr>
      <vt:lpstr>VimFrac</vt:lpstr>
      <vt:lpstr>VimMahaDasa</vt:lpstr>
      <vt:lpstr>VimMD</vt:lpstr>
      <vt:lpstr>VimPAD</vt:lpstr>
      <vt:lpstr>VimPD</vt:lpstr>
      <vt:lpstr>VimSD</vt:lpstr>
      <vt:lpstr>Vimshopaaka</vt:lpstr>
      <vt:lpstr>VimshottariDAP</vt:lpstr>
      <vt:lpstr>VimshottariDasa</vt:lpstr>
      <vt:lpstr>VimshottariMD</vt:lpstr>
      <vt:lpstr>VimTotal</vt:lpstr>
      <vt:lpstr>Year</vt:lpstr>
      <vt:lpstr>YogiDeg</vt:lpstr>
      <vt:lpstr>अकथह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Jyotish Work Sheet</dc:title>
  <dc:subject/>
  <dc:creator>sprabhak</dc:creator>
  <dc:description/>
  <cp:lastModifiedBy>Sanjay Prabhakaran</cp:lastModifiedBy>
  <cp:revision>938</cp:revision>
  <cp:lastPrinted>2018-12-10T16:45:18Z</cp:lastPrinted>
  <dcterms:created xsi:type="dcterms:W3CDTF">2000-07-28T15:28:39Z</dcterms:created>
  <dcterms:modified xsi:type="dcterms:W3CDTF">2023-06-13T09:08:51Z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